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C Raw Case Data Report" sheetId="1" r:id="rId1"/>
  </sheets>
  <calcPr calcId="124519" fullCalcOnLoad="1"/>
</workbook>
</file>

<file path=xl/sharedStrings.xml><?xml version="1.0" encoding="utf-8"?>
<sst xmlns="http://schemas.openxmlformats.org/spreadsheetml/2006/main" count="51095" uniqueCount="11236">
  <si>
    <t>Hyperlinked Case #</t>
  </si>
  <si>
    <t>Primary Advocate</t>
  </si>
  <si>
    <t>Client First Name</t>
  </si>
  <si>
    <t>Client Last Name</t>
  </si>
  <si>
    <t>Street Address</t>
  </si>
  <si>
    <t>Apt#/Suite#</t>
  </si>
  <si>
    <t>City</t>
  </si>
  <si>
    <t>Zip Code</t>
  </si>
  <si>
    <t>HRA Release?</t>
  </si>
  <si>
    <t>Housing Signed DHCI Form</t>
  </si>
  <si>
    <t>Gen Case Index Number</t>
  </si>
  <si>
    <t>Housing Type Of Case</t>
  </si>
  <si>
    <t>Housing Level of Service</t>
  </si>
  <si>
    <t>Close Reason</t>
  </si>
  <si>
    <t>Primary Funding Code</t>
  </si>
  <si>
    <t>Housing Building Case?</t>
  </si>
  <si>
    <t>Secondary Funding Codes</t>
  </si>
  <si>
    <t>Legal Problem Code</t>
  </si>
  <si>
    <t>Housing Posture of Case on Eligibility Date</t>
  </si>
  <si>
    <t>HAL Eligibility Date</t>
  </si>
  <si>
    <t>Housing Total Monthly Rent</t>
  </si>
  <si>
    <t>Assigned Branch/CC</t>
  </si>
  <si>
    <t>Referral Source</t>
  </si>
  <si>
    <t>IOLA Outcome</t>
  </si>
  <si>
    <t>Date of Birth</t>
  </si>
  <si>
    <t>Gen Pub Assist Case Number</t>
  </si>
  <si>
    <t>Social Security #</t>
  </si>
  <si>
    <t>Housing Number Of Units In Building</t>
  </si>
  <si>
    <t>Housing Form Of Regulation</t>
  </si>
  <si>
    <t>Housing Subsidy Type</t>
  </si>
  <si>
    <t>Housing Years Living In Apartment</t>
  </si>
  <si>
    <t>Number of People 18 and Over</t>
  </si>
  <si>
    <t>Number of People under 18</t>
  </si>
  <si>
    <t>Percentage of Poverty</t>
  </si>
  <si>
    <t>Housing Date Of Waiver Approval</t>
  </si>
  <si>
    <t>Housing TRC HRA Waiver Categories</t>
  </si>
  <si>
    <t>Language</t>
  </si>
  <si>
    <t xml:space="preserve">Total Annual Income </t>
  </si>
  <si>
    <t>Housing Funding Note</t>
  </si>
  <si>
    <t>Housing Activity Indicators</t>
  </si>
  <si>
    <t>Housing Services Rendered to Client</t>
  </si>
  <si>
    <t>Housing Outcome</t>
  </si>
  <si>
    <t>Housing Outcome Date</t>
  </si>
  <si>
    <t>Total Time For Case</t>
  </si>
  <si>
    <t>Service Date</t>
  </si>
  <si>
    <t>Caseworker Name</t>
  </si>
  <si>
    <t>Housing Income Verification</t>
  </si>
  <si>
    <t>Case Disposition</t>
  </si>
  <si>
    <t>Date Opened</t>
  </si>
  <si>
    <t>Date Closed</t>
  </si>
  <si>
    <t>Succop, Steven</t>
  </si>
  <si>
    <t>Burns, Erin</t>
  </si>
  <si>
    <t>McHugh Mills, Maura</t>
  </si>
  <si>
    <t>Massey, Randi</t>
  </si>
  <si>
    <t>Savinon, Clara</t>
  </si>
  <si>
    <t>Braudy, Erica</t>
  </si>
  <si>
    <t>Gennari, Regina</t>
  </si>
  <si>
    <t>Atuegbu, Chidera</t>
  </si>
  <si>
    <t>Shearer, Diane</t>
  </si>
  <si>
    <t>Goldberg, Heather</t>
  </si>
  <si>
    <t>Puleo Jr, Michael</t>
  </si>
  <si>
    <t>Ascher, Ann</t>
  </si>
  <si>
    <t>Neilson, Kathryn</t>
  </si>
  <si>
    <t>Chan, Vincce</t>
  </si>
  <si>
    <t>Ma, Chiansan</t>
  </si>
  <si>
    <t>Freeman, Daniel</t>
  </si>
  <si>
    <t>Navarro, Norey</t>
  </si>
  <si>
    <t>Cisneros, Marisol</t>
  </si>
  <si>
    <t>Nachman, Fraidy</t>
  </si>
  <si>
    <t>St. Louis, Bianca</t>
  </si>
  <si>
    <t>Vujica, Visnja</t>
  </si>
  <si>
    <t>Fuller-Bennett, Reuben</t>
  </si>
  <si>
    <t>Elmore, Josh</t>
  </si>
  <si>
    <t>Casey, Jonnelle</t>
  </si>
  <si>
    <t>Mancias, Fernando</t>
  </si>
  <si>
    <t>Sun, Dao</t>
  </si>
  <si>
    <t>Osei, Dionne</t>
  </si>
  <si>
    <t>Ross, Jasmine</t>
  </si>
  <si>
    <t>Abbas, Sayeda</t>
  </si>
  <si>
    <t>Barreda, Catherine</t>
  </si>
  <si>
    <t>Lam, Kevin</t>
  </si>
  <si>
    <t>Eisom, Stanley</t>
  </si>
  <si>
    <t>Joly, Coco</t>
  </si>
  <si>
    <t>Deluca, Sally</t>
  </si>
  <si>
    <t>Xie, Vivian</t>
  </si>
  <si>
    <t>Zabizhin, Albert</t>
  </si>
  <si>
    <t>Granfield, Rachel</t>
  </si>
  <si>
    <t>James, Natalie</t>
  </si>
  <si>
    <t>Schiff, Logan</t>
  </si>
  <si>
    <t>Hong, Connie</t>
  </si>
  <si>
    <t>Stevens, Jean</t>
  </si>
  <si>
    <t>McCowen, Tamella</t>
  </si>
  <si>
    <t>Cepeda, Jeanette</t>
  </si>
  <si>
    <t>Pettit, Stephanie</t>
  </si>
  <si>
    <t>Stone, Gary</t>
  </si>
  <si>
    <t>Lee, Jooyeon</t>
  </si>
  <si>
    <t>Cappellini, Bianca</t>
  </si>
  <si>
    <t>Carlier, Milton</t>
  </si>
  <si>
    <t>Frierson, Jerome</t>
  </si>
  <si>
    <t>Gonzalez, Gabriela</t>
  </si>
  <si>
    <t>Goyzueta, Anna</t>
  </si>
  <si>
    <t>Rave, Helen</t>
  </si>
  <si>
    <t>Shah, Ami</t>
  </si>
  <si>
    <t>Kalum, Nicole</t>
  </si>
  <si>
    <t>Guzman, Michael</t>
  </si>
  <si>
    <t>Scott, Samuel</t>
  </si>
  <si>
    <t>Chew, Thomas</t>
  </si>
  <si>
    <t>De Silva, Natasia</t>
  </si>
  <si>
    <t>Caldwell-Kuru, Hazel</t>
  </si>
  <si>
    <t>McDonald, John</t>
  </si>
  <si>
    <t>Vega, Rita</t>
  </si>
  <si>
    <t>Briggs, John</t>
  </si>
  <si>
    <t>James, Lelia</t>
  </si>
  <si>
    <t>Siegel, Jill</t>
  </si>
  <si>
    <t>Purcell, Emily</t>
  </si>
  <si>
    <t>Maltezos, Alexander</t>
  </si>
  <si>
    <t>Arias, Sandra</t>
  </si>
  <si>
    <t>Twersky, Jonathan</t>
  </si>
  <si>
    <t>Gathing, Vance</t>
  </si>
  <si>
    <t>Rubin, Jenn</t>
  </si>
  <si>
    <t>Guerra, Yolanda</t>
  </si>
  <si>
    <t>Nadeau-Rifkind, Al</t>
  </si>
  <si>
    <t>Tan, Andrea</t>
  </si>
  <si>
    <t>Bromberg, Iris</t>
  </si>
  <si>
    <t>Pangonis, Dustin</t>
  </si>
  <si>
    <t>Smith, Sara</t>
  </si>
  <si>
    <t>Schryver, Erik</t>
  </si>
  <si>
    <t>Lowery, Liam</t>
  </si>
  <si>
    <t>Nunez, Crystal</t>
  </si>
  <si>
    <t>Dolin, Brett</t>
  </si>
  <si>
    <t>Wong, Humbert</t>
  </si>
  <si>
    <t>Singh, Ermela</t>
  </si>
  <si>
    <t>Alba, Sarah</t>
  </si>
  <si>
    <t>Isaias, Bianca</t>
  </si>
  <si>
    <t>Sinton, Jennifer</t>
  </si>
  <si>
    <t>Herman, Terry</t>
  </si>
  <si>
    <t>Ortiz, Andrew</t>
  </si>
  <si>
    <t>Solivan, Jackeline</t>
  </si>
  <si>
    <t>Castronovo, Julian</t>
  </si>
  <si>
    <t>Lebro-Lopez, Wanda</t>
  </si>
  <si>
    <t>Baptiste, Sharon</t>
  </si>
  <si>
    <t>Villalobos, Tanya</t>
  </si>
  <si>
    <t>Schafler, Eliza</t>
  </si>
  <si>
    <t>Deolarte, Stephanie</t>
  </si>
  <si>
    <t>Pacheco, Joe</t>
  </si>
  <si>
    <t>Torres, Jasmin</t>
  </si>
  <si>
    <t>Newton, Christopher</t>
  </si>
  <si>
    <t>Katz, Cindy</t>
  </si>
  <si>
    <t>Schwartz, Irv</t>
  </si>
  <si>
    <t>Lerman, Jennifer</t>
  </si>
  <si>
    <t>Manaugh, Sara</t>
  </si>
  <si>
    <t>Griffin, Jacquelyn</t>
  </si>
  <si>
    <t>Lorenzo, Alexis</t>
  </si>
  <si>
    <t>Abrigo, Jose</t>
  </si>
  <si>
    <t>Basu, Shantonu</t>
  </si>
  <si>
    <t>Crisona, Kathryn</t>
  </si>
  <si>
    <t>Stephenson, Anne</t>
  </si>
  <si>
    <t>Black, Rosalind</t>
  </si>
  <si>
    <t>MacRae, John</t>
  </si>
  <si>
    <t>Dunlop-German, Allison</t>
  </si>
  <si>
    <t>Odoemene, Udoka</t>
  </si>
  <si>
    <t>Rodriguez, Priscilla</t>
  </si>
  <si>
    <t>Kenick, William</t>
  </si>
  <si>
    <t>Geballe, Rachel</t>
  </si>
  <si>
    <t>Cook, Veronica</t>
  </si>
  <si>
    <t>Goncharov-Cruickshnk, Natalie</t>
  </si>
  <si>
    <t>Norton, Carolyn</t>
  </si>
  <si>
    <t>Kellogg, Martha</t>
  </si>
  <si>
    <t>Haarmann, Landry</t>
  </si>
  <si>
    <t>Woods, Stacey</t>
  </si>
  <si>
    <t>Hao, Lindsay</t>
  </si>
  <si>
    <t>Giles, Debra</t>
  </si>
  <si>
    <t>Anderson, Theresa</t>
  </si>
  <si>
    <t>Romeo, Franklin</t>
  </si>
  <si>
    <t>Eisenberg, Jennifer</t>
  </si>
  <si>
    <t>Hecht-Felella, Laura</t>
  </si>
  <si>
    <t>Gonzalez, Migdalia</t>
  </si>
  <si>
    <t>Morgan, Zuri</t>
  </si>
  <si>
    <t>Honan, Thomas</t>
  </si>
  <si>
    <t>Amjad, Robia</t>
  </si>
  <si>
    <t>Laureano, Luz</t>
  </si>
  <si>
    <t>Scherman, Randi</t>
  </si>
  <si>
    <t>Drumm, Kristen</t>
  </si>
  <si>
    <t>Castro, Cristina</t>
  </si>
  <si>
    <t>Hammond, Robert</t>
  </si>
  <si>
    <t>Cruz-Perez, Javier</t>
  </si>
  <si>
    <t>Santos, Marisol</t>
  </si>
  <si>
    <t>Rosen, David</t>
  </si>
  <si>
    <t>Mbame, Etondi</t>
  </si>
  <si>
    <t>Tadepalli, Ashwin</t>
  </si>
  <si>
    <t>Silliman, Stacey</t>
  </si>
  <si>
    <t>Salas, Emma</t>
  </si>
  <si>
    <t>Catuira, Rochelle</t>
  </si>
  <si>
    <t>Nimis, Roland</t>
  </si>
  <si>
    <t>Geha, Nada</t>
  </si>
  <si>
    <t>Greene, Janelle</t>
  </si>
  <si>
    <t>Brutus, Jean-Pierre</t>
  </si>
  <si>
    <t>Douglas, Tanya</t>
  </si>
  <si>
    <t>Herrmann, Neil</t>
  </si>
  <si>
    <t>Price, Adriana</t>
  </si>
  <si>
    <t>Mui, Ernie</t>
  </si>
  <si>
    <t>Licharson, Tom</t>
  </si>
  <si>
    <t>Tongo, Salima</t>
  </si>
  <si>
    <t>Ansari, Saif</t>
  </si>
  <si>
    <t>Jacobs, Alex</t>
  </si>
  <si>
    <t>McCormick, James</t>
  </si>
  <si>
    <t>Treadwell, Nathan</t>
  </si>
  <si>
    <t>Gonzalez, Atenedoro</t>
  </si>
  <si>
    <t>Cowen, Lindsay</t>
  </si>
  <si>
    <t>Ocana, Johanna</t>
  </si>
  <si>
    <t>Golden, Tashanna</t>
  </si>
  <si>
    <t>Chen, Eugene</t>
  </si>
  <si>
    <t>Spencer, Eleanor</t>
  </si>
  <si>
    <t>Rookwood, Shardae</t>
  </si>
  <si>
    <t>Farrell, Emily</t>
  </si>
  <si>
    <t>Miller, Thomas</t>
  </si>
  <si>
    <t>Evers, Erin</t>
  </si>
  <si>
    <t>Lin, Tina</t>
  </si>
  <si>
    <t>Alvarez, Adriana</t>
  </si>
  <si>
    <t>Santana, Bridgette</t>
  </si>
  <si>
    <t>Lynch, Megan</t>
  </si>
  <si>
    <t>Fukuda, Noriko</t>
  </si>
  <si>
    <t>Feliz, Oswald</t>
  </si>
  <si>
    <t>Mottley, Darlene</t>
  </si>
  <si>
    <t>Sandoval, Sandra</t>
  </si>
  <si>
    <t>Lee, Thomas</t>
  </si>
  <si>
    <t>Porcelli, Ronald</t>
  </si>
  <si>
    <t>Hammersmith, Amy</t>
  </si>
  <si>
    <t>Ijaz, Kulsoom</t>
  </si>
  <si>
    <t>Garcia, Alexandra</t>
  </si>
  <si>
    <t>Mulles, Carlos</t>
  </si>
  <si>
    <t>Reed, Jessica</t>
  </si>
  <si>
    <t>Hoque, Shatti</t>
  </si>
  <si>
    <t>Johnson, Chantal</t>
  </si>
  <si>
    <t>Heller, Steven</t>
  </si>
  <si>
    <t>Patel, Mona</t>
  </si>
  <si>
    <t>Samuel, Somalia</t>
  </si>
  <si>
    <t>Pozo, Caridad</t>
  </si>
  <si>
    <t>Costa, Stephanie</t>
  </si>
  <si>
    <t>Isobe, Catherine</t>
  </si>
  <si>
    <t>Vaz, Marie</t>
  </si>
  <si>
    <t>Gardner III, George</t>
  </si>
  <si>
    <t>Carter, Corinthia</t>
  </si>
  <si>
    <t>Diaz, Lino</t>
  </si>
  <si>
    <t>Guillaume, Naura</t>
  </si>
  <si>
    <t>Sharma, Sagar</t>
  </si>
  <si>
    <t>Barrett, Samantha</t>
  </si>
  <si>
    <t>Flores, Irene</t>
  </si>
  <si>
    <t>Saywack, Priam</t>
  </si>
  <si>
    <t>Englard, Rubin</t>
  </si>
  <si>
    <t>Bailey, Michael</t>
  </si>
  <si>
    <t>Rhee, Bohee</t>
  </si>
  <si>
    <t>Anunkor, Ifeoma</t>
  </si>
  <si>
    <t>Latterner, Matt</t>
  </si>
  <si>
    <t>Taylor, Mark</t>
  </si>
  <si>
    <t>Ginsberg, Irene</t>
  </si>
  <si>
    <t>Umoke, Jacob</t>
  </si>
  <si>
    <t>He, Ricky</t>
  </si>
  <si>
    <t>Wilkes, Nicole</t>
  </si>
  <si>
    <t>Roberts, Jonathan</t>
  </si>
  <si>
    <t>Jonas, Myrtle</t>
  </si>
  <si>
    <t>Corcione, Emily</t>
  </si>
  <si>
    <t>Yamasaki, Emily Woo</t>
  </si>
  <si>
    <t>Pepe, Lailah</t>
  </si>
  <si>
    <t>Bauer, Kai</t>
  </si>
  <si>
    <t>Namuche, Raquel</t>
  </si>
  <si>
    <t>Allen, Sharette</t>
  </si>
  <si>
    <t>Watson, Michael</t>
  </si>
  <si>
    <t>Corsaro, Veronica</t>
  </si>
  <si>
    <t>Montoute, John</t>
  </si>
  <si>
    <t>Frizell, Catherine</t>
  </si>
  <si>
    <t>Kramer, Kramer</t>
  </si>
  <si>
    <t>Telson, Sarah</t>
  </si>
  <si>
    <t>Breakstone, Chelsea</t>
  </si>
  <si>
    <t>Rahman, Urooj</t>
  </si>
  <si>
    <t>Barney, Darryl</t>
  </si>
  <si>
    <t>Henriquez, Luis</t>
  </si>
  <si>
    <t>DeVolld, Angela</t>
  </si>
  <si>
    <t>Belhomme, Wilesca</t>
  </si>
  <si>
    <t>Ukegbu, Ezi</t>
  </si>
  <si>
    <t>Oquendo, Joann</t>
  </si>
  <si>
    <t>Falco, Fara</t>
  </si>
  <si>
    <t>DeLong, Sarah</t>
  </si>
  <si>
    <t>Morgan, Rose</t>
  </si>
  <si>
    <t>Roman, Melissa</t>
  </si>
  <si>
    <t>Newton, Jack</t>
  </si>
  <si>
    <t>Porcelli, Matthew</t>
  </si>
  <si>
    <t>Rosner, Julia</t>
  </si>
  <si>
    <t>Encarnacion-Badru, Bea</t>
  </si>
  <si>
    <t>Clifford, Mun</t>
  </si>
  <si>
    <t>McDonald, Geoffrey</t>
  </si>
  <si>
    <t>Fischman, Jean</t>
  </si>
  <si>
    <t>Burkle, Arthur</t>
  </si>
  <si>
    <t>Tillona, Thomas</t>
  </si>
  <si>
    <t>Restrepo-Serrano, Francois</t>
  </si>
  <si>
    <t>McCune, Mary</t>
  </si>
  <si>
    <t>Salcedo, Luciris</t>
  </si>
  <si>
    <t>Luce, Samantha</t>
  </si>
  <si>
    <t>Daniels, Jesse</t>
  </si>
  <si>
    <t>Baldwin, Sarah</t>
  </si>
  <si>
    <t>Patel, Roopal</t>
  </si>
  <si>
    <t>McDonald, Susan</t>
  </si>
  <si>
    <t>Akbari, Muska</t>
  </si>
  <si>
    <t>Vu, Michelle</t>
  </si>
  <si>
    <t>Thomas, Leigh</t>
  </si>
  <si>
    <t>Velasquez, Diana</t>
  </si>
  <si>
    <t>Dale</t>
  </si>
  <si>
    <t>Rachel</t>
  </si>
  <si>
    <t>Evelia</t>
  </si>
  <si>
    <t>Tasha</t>
  </si>
  <si>
    <t>Ahimo</t>
  </si>
  <si>
    <t>Shaniquewa</t>
  </si>
  <si>
    <t>Timothy</t>
  </si>
  <si>
    <t>Efua</t>
  </si>
  <si>
    <t>Derrickar</t>
  </si>
  <si>
    <t>Cozette</t>
  </si>
  <si>
    <t>Sarah</t>
  </si>
  <si>
    <t>Bryant</t>
  </si>
  <si>
    <t>Jessica</t>
  </si>
  <si>
    <t>Amirrah</t>
  </si>
  <si>
    <t>Humberto</t>
  </si>
  <si>
    <t>Nicole</t>
  </si>
  <si>
    <t>Francesca</t>
  </si>
  <si>
    <t>Davina</t>
  </si>
  <si>
    <t>Daniela</t>
  </si>
  <si>
    <t>Gilbert</t>
  </si>
  <si>
    <t>Cleo</t>
  </si>
  <si>
    <t>Steve</t>
  </si>
  <si>
    <t>Shirley</t>
  </si>
  <si>
    <t>Rosa</t>
  </si>
  <si>
    <t>Susan</t>
  </si>
  <si>
    <t>Pernell</t>
  </si>
  <si>
    <t>Israel</t>
  </si>
  <si>
    <t>Tabu</t>
  </si>
  <si>
    <t>Anthony</t>
  </si>
  <si>
    <t>Maria</t>
  </si>
  <si>
    <t>Teshawna</t>
  </si>
  <si>
    <t>Clyde</t>
  </si>
  <si>
    <t>Sherika</t>
  </si>
  <si>
    <t>Orma</t>
  </si>
  <si>
    <t>Mechelle</t>
  </si>
  <si>
    <t>Lourdes</t>
  </si>
  <si>
    <t>Ivan</t>
  </si>
  <si>
    <t>Carmen</t>
  </si>
  <si>
    <t>JUANA</t>
  </si>
  <si>
    <t>Ana</t>
  </si>
  <si>
    <t>Karla</t>
  </si>
  <si>
    <t>Shashi</t>
  </si>
  <si>
    <t>Carol</t>
  </si>
  <si>
    <t>Guadalupe</t>
  </si>
  <si>
    <t>George</t>
  </si>
  <si>
    <t>You Min</t>
  </si>
  <si>
    <t>Jean</t>
  </si>
  <si>
    <t>Lisa</t>
  </si>
  <si>
    <t>Cecilia</t>
  </si>
  <si>
    <t>Sharon</t>
  </si>
  <si>
    <t>James</t>
  </si>
  <si>
    <t>Tyron</t>
  </si>
  <si>
    <t>Aida</t>
  </si>
  <si>
    <t>Denise</t>
  </si>
  <si>
    <t>Lidia</t>
  </si>
  <si>
    <t>Janice</t>
  </si>
  <si>
    <t>Kyemia</t>
  </si>
  <si>
    <t>Beulah</t>
  </si>
  <si>
    <t>Moshe</t>
  </si>
  <si>
    <t>Louis</t>
  </si>
  <si>
    <t>Edwin</t>
  </si>
  <si>
    <t>Marilyn</t>
  </si>
  <si>
    <t>Henrietta</t>
  </si>
  <si>
    <t>Daniel</t>
  </si>
  <si>
    <t>Madeline</t>
  </si>
  <si>
    <t>Sonia</t>
  </si>
  <si>
    <t>Brenda</t>
  </si>
  <si>
    <t>Gabriel</t>
  </si>
  <si>
    <t>Felix</t>
  </si>
  <si>
    <t>Naeem</t>
  </si>
  <si>
    <t>Reginald</t>
  </si>
  <si>
    <t>Roderick</t>
  </si>
  <si>
    <t>Haydee</t>
  </si>
  <si>
    <t>Gloria</t>
  </si>
  <si>
    <t>Hoagxoa</t>
  </si>
  <si>
    <t>Aliaksandr</t>
  </si>
  <si>
    <t>Akira</t>
  </si>
  <si>
    <t>Maurenee</t>
  </si>
  <si>
    <t>Khitam</t>
  </si>
  <si>
    <t>Pablo</t>
  </si>
  <si>
    <t>Christine</t>
  </si>
  <si>
    <t>Laure</t>
  </si>
  <si>
    <t>Natalie</t>
  </si>
  <si>
    <t>Anna</t>
  </si>
  <si>
    <t>Lillian</t>
  </si>
  <si>
    <t>Kailey</t>
  </si>
  <si>
    <t>Mildred</t>
  </si>
  <si>
    <t>Myrtle</t>
  </si>
  <si>
    <t>Mariam</t>
  </si>
  <si>
    <t>Tatiana</t>
  </si>
  <si>
    <t>Julius</t>
  </si>
  <si>
    <t>Lazar</t>
  </si>
  <si>
    <t>Lydia</t>
  </si>
  <si>
    <t>Manuel</t>
  </si>
  <si>
    <t>Tsilya</t>
  </si>
  <si>
    <t>Pauline</t>
  </si>
  <si>
    <t>Joy</t>
  </si>
  <si>
    <t>Adina</t>
  </si>
  <si>
    <t>Antoinette</t>
  </si>
  <si>
    <t>MaryMar</t>
  </si>
  <si>
    <t>Celeste</t>
  </si>
  <si>
    <t>Angela</t>
  </si>
  <si>
    <t>Donisha</t>
  </si>
  <si>
    <t>Gisela</t>
  </si>
  <si>
    <t>Mario</t>
  </si>
  <si>
    <t>Marisol</t>
  </si>
  <si>
    <t>Dorothy</t>
  </si>
  <si>
    <t>Khadijah</t>
  </si>
  <si>
    <t>Dionne</t>
  </si>
  <si>
    <t>Tiffany</t>
  </si>
  <si>
    <t>Catherine</t>
  </si>
  <si>
    <t>Mohamed</t>
  </si>
  <si>
    <t>Curline</t>
  </si>
  <si>
    <t>Betty</t>
  </si>
  <si>
    <t>Rafael</t>
  </si>
  <si>
    <t>Nga</t>
  </si>
  <si>
    <t>Carlton</t>
  </si>
  <si>
    <t>Luis</t>
  </si>
  <si>
    <t>Helena</t>
  </si>
  <si>
    <t>Brandon</t>
  </si>
  <si>
    <t>Jerali</t>
  </si>
  <si>
    <t>Tawanna</t>
  </si>
  <si>
    <t>Kacper</t>
  </si>
  <si>
    <t>Shamika</t>
  </si>
  <si>
    <t>Lorena</t>
  </si>
  <si>
    <t>Walesca</t>
  </si>
  <si>
    <t>Roberto</t>
  </si>
  <si>
    <t>Manuela</t>
  </si>
  <si>
    <t>Tesha</t>
  </si>
  <si>
    <t>John</t>
  </si>
  <si>
    <t>Catalina</t>
  </si>
  <si>
    <t>Clarence</t>
  </si>
  <si>
    <t>William</t>
  </si>
  <si>
    <t>Elvira</t>
  </si>
  <si>
    <t>Carneal</t>
  </si>
  <si>
    <t>Thomas</t>
  </si>
  <si>
    <t>Loretta</t>
  </si>
  <si>
    <t>Arelis</t>
  </si>
  <si>
    <t>Fernanda</t>
  </si>
  <si>
    <t>Richard</t>
  </si>
  <si>
    <t>Ivonne</t>
  </si>
  <si>
    <t>Richelle</t>
  </si>
  <si>
    <t>Aga</t>
  </si>
  <si>
    <t>Earl</t>
  </si>
  <si>
    <t>Luz</t>
  </si>
  <si>
    <t>DEBRA</t>
  </si>
  <si>
    <t>Tania</t>
  </si>
  <si>
    <t>Jose</t>
  </si>
  <si>
    <t>Joachim</t>
  </si>
  <si>
    <t>Carolin</t>
  </si>
  <si>
    <t>Lucinda</t>
  </si>
  <si>
    <t>Sergey</t>
  </si>
  <si>
    <t>Patricia</t>
  </si>
  <si>
    <t>Bernice</t>
  </si>
  <si>
    <t>Janet</t>
  </si>
  <si>
    <t>Debora</t>
  </si>
  <si>
    <t>Kimberly</t>
  </si>
  <si>
    <t>Al</t>
  </si>
  <si>
    <t>Valerie</t>
  </si>
  <si>
    <t>Lyudmila</t>
  </si>
  <si>
    <t>Guy</t>
  </si>
  <si>
    <t>Dashaun</t>
  </si>
  <si>
    <t>Eunice</t>
  </si>
  <si>
    <t>Jeanette</t>
  </si>
  <si>
    <t>Glenda</t>
  </si>
  <si>
    <t>Sandy</t>
  </si>
  <si>
    <t>Elizabeth</t>
  </si>
  <si>
    <t>Ivette</t>
  </si>
  <si>
    <t>Efren</t>
  </si>
  <si>
    <t>Edward</t>
  </si>
  <si>
    <t>Darren</t>
  </si>
  <si>
    <t>Oscar</t>
  </si>
  <si>
    <t>Glenn</t>
  </si>
  <si>
    <t>Robert</t>
  </si>
  <si>
    <t>Nelson</t>
  </si>
  <si>
    <t>Edith</t>
  </si>
  <si>
    <t>David</t>
  </si>
  <si>
    <t>Elena</t>
  </si>
  <si>
    <t>Maurice</t>
  </si>
  <si>
    <t>Zoltan</t>
  </si>
  <si>
    <t>Anamaria</t>
  </si>
  <si>
    <t>Brunilda</t>
  </si>
  <si>
    <t>Melba</t>
  </si>
  <si>
    <t>Frederick</t>
  </si>
  <si>
    <t>Steven</t>
  </si>
  <si>
    <t>Michael</t>
  </si>
  <si>
    <t>Yafrigi</t>
  </si>
  <si>
    <t>Carlos</t>
  </si>
  <si>
    <t>Teodulfa</t>
  </si>
  <si>
    <t>Francisco</t>
  </si>
  <si>
    <t>Abdus</t>
  </si>
  <si>
    <t>Rigel</t>
  </si>
  <si>
    <t>Nataliya</t>
  </si>
  <si>
    <t>Felia</t>
  </si>
  <si>
    <t>Evelyn</t>
  </si>
  <si>
    <t>Barbara</t>
  </si>
  <si>
    <t>Rosalie</t>
  </si>
  <si>
    <t>Dulce</t>
  </si>
  <si>
    <t>Nesbit</t>
  </si>
  <si>
    <t>Marcia</t>
  </si>
  <si>
    <t>Vilma</t>
  </si>
  <si>
    <t>Destiny</t>
  </si>
  <si>
    <t>Brender</t>
  </si>
  <si>
    <t>Cecil</t>
  </si>
  <si>
    <t>Cedric</t>
  </si>
  <si>
    <t>Lateefah</t>
  </si>
  <si>
    <t>Michelle</t>
  </si>
  <si>
    <t>Garland</t>
  </si>
  <si>
    <t>Roselee</t>
  </si>
  <si>
    <t>Teodoro</t>
  </si>
  <si>
    <t>Zislaw</t>
  </si>
  <si>
    <t>Karen</t>
  </si>
  <si>
    <t>Alphia</t>
  </si>
  <si>
    <t>Kevin</t>
  </si>
  <si>
    <t>Olivia</t>
  </si>
  <si>
    <t>Millie</t>
  </si>
  <si>
    <t>Hassan</t>
  </si>
  <si>
    <t>Mariano</t>
  </si>
  <si>
    <t>Kecia</t>
  </si>
  <si>
    <t>Staci</t>
  </si>
  <si>
    <t>Tramane</t>
  </si>
  <si>
    <t>Surujdai</t>
  </si>
  <si>
    <t>Leroy</t>
  </si>
  <si>
    <t>De</t>
  </si>
  <si>
    <t>SHANELL</t>
  </si>
  <si>
    <t>Eli</t>
  </si>
  <si>
    <t>Darrin</t>
  </si>
  <si>
    <t>Ruth</t>
  </si>
  <si>
    <t>Merita</t>
  </si>
  <si>
    <t>Morris</t>
  </si>
  <si>
    <t>Marien</t>
  </si>
  <si>
    <t>Donna</t>
  </si>
  <si>
    <t>Miriam</t>
  </si>
  <si>
    <t>Matou</t>
  </si>
  <si>
    <t>Jacqueline</t>
  </si>
  <si>
    <t>Eric</t>
  </si>
  <si>
    <t>Marshon</t>
  </si>
  <si>
    <t>Alvin</t>
  </si>
  <si>
    <t>Antonio</t>
  </si>
  <si>
    <t>Chaloea</t>
  </si>
  <si>
    <t>Willie</t>
  </si>
  <si>
    <t>Virlyn</t>
  </si>
  <si>
    <t>Kelvin</t>
  </si>
  <si>
    <t>Gregory</t>
  </si>
  <si>
    <t>Yiwen</t>
  </si>
  <si>
    <t>Gwenneth</t>
  </si>
  <si>
    <t>Avi</t>
  </si>
  <si>
    <t>Wayne</t>
  </si>
  <si>
    <t>Jon</t>
  </si>
  <si>
    <t>Atanda</t>
  </si>
  <si>
    <t>Shanequa</t>
  </si>
  <si>
    <t>Ofelia</t>
  </si>
  <si>
    <t>Shakeena</t>
  </si>
  <si>
    <t>Carolyn</t>
  </si>
  <si>
    <t>Cheryl</t>
  </si>
  <si>
    <t>Alberta</t>
  </si>
  <si>
    <t>Dwayne</t>
  </si>
  <si>
    <t>Sarit</t>
  </si>
  <si>
    <t>Jaimie</t>
  </si>
  <si>
    <t>Myahdellese</t>
  </si>
  <si>
    <t>Khamion</t>
  </si>
  <si>
    <t>Laroi</t>
  </si>
  <si>
    <t>Ronny</t>
  </si>
  <si>
    <t>Ernesto</t>
  </si>
  <si>
    <t>Wilhemina</t>
  </si>
  <si>
    <t>Rafaela</t>
  </si>
  <si>
    <t>Gladys</t>
  </si>
  <si>
    <t>Leonor</t>
  </si>
  <si>
    <t>Yvette</t>
  </si>
  <si>
    <t>Bonnie</t>
  </si>
  <si>
    <t>Chloe</t>
  </si>
  <si>
    <t>Larry</t>
  </si>
  <si>
    <t>Kinshasa</t>
  </si>
  <si>
    <t>Grethel</t>
  </si>
  <si>
    <t>Balbina</t>
  </si>
  <si>
    <t>FAITH</t>
  </si>
  <si>
    <t>Tanya</t>
  </si>
  <si>
    <t>Yawo</t>
  </si>
  <si>
    <t>Hazel</t>
  </si>
  <si>
    <t>Philip</t>
  </si>
  <si>
    <t>norkis</t>
  </si>
  <si>
    <t>Bruce</t>
  </si>
  <si>
    <t>Angelica</t>
  </si>
  <si>
    <t>Viola</t>
  </si>
  <si>
    <t>Kerrington</t>
  </si>
  <si>
    <t>Shiri</t>
  </si>
  <si>
    <t>Julie</t>
  </si>
  <si>
    <t>Carine</t>
  </si>
  <si>
    <t>Blu</t>
  </si>
  <si>
    <t>Charlie</t>
  </si>
  <si>
    <t>Aurora</t>
  </si>
  <si>
    <t>Ernest</t>
  </si>
  <si>
    <t>Ray</t>
  </si>
  <si>
    <t>Mark</t>
  </si>
  <si>
    <t>Yelany</t>
  </si>
  <si>
    <t>Doris</t>
  </si>
  <si>
    <t>Juana</t>
  </si>
  <si>
    <t>Christia</t>
  </si>
  <si>
    <t>Sandra</t>
  </si>
  <si>
    <t>Alex</t>
  </si>
  <si>
    <t>Anasha</t>
  </si>
  <si>
    <t>Hoathi</t>
  </si>
  <si>
    <t>Louise</t>
  </si>
  <si>
    <t>Jackeline</t>
  </si>
  <si>
    <t>Frida</t>
  </si>
  <si>
    <t>Cassetta</t>
  </si>
  <si>
    <t>Katie</t>
  </si>
  <si>
    <t>Lizzane</t>
  </si>
  <si>
    <t>Coanne</t>
  </si>
  <si>
    <t>America</t>
  </si>
  <si>
    <t>Kiewanna</t>
  </si>
  <si>
    <t>Migdalia</t>
  </si>
  <si>
    <t>Gabby</t>
  </si>
  <si>
    <t>Kia</t>
  </si>
  <si>
    <t>Vera</t>
  </si>
  <si>
    <t>Megnal</t>
  </si>
  <si>
    <t>Irene</t>
  </si>
  <si>
    <t>Martha</t>
  </si>
  <si>
    <t>Beverly</t>
  </si>
  <si>
    <t>Ebony</t>
  </si>
  <si>
    <t>Elnora</t>
  </si>
  <si>
    <t>Roma</t>
  </si>
  <si>
    <t>Magdalia</t>
  </si>
  <si>
    <t>Ruben</t>
  </si>
  <si>
    <t>Socorro</t>
  </si>
  <si>
    <t>Keith</t>
  </si>
  <si>
    <t>Roxanne</t>
  </si>
  <si>
    <t>Joyce</t>
  </si>
  <si>
    <t>Ru Yao</t>
  </si>
  <si>
    <t>Asa</t>
  </si>
  <si>
    <t>Muhammad</t>
  </si>
  <si>
    <t>Tiara</t>
  </si>
  <si>
    <t>Hidelkis</t>
  </si>
  <si>
    <t>Bizzy</t>
  </si>
  <si>
    <t>Maeen</t>
  </si>
  <si>
    <t>Noreen</t>
  </si>
  <si>
    <t>Josephine</t>
  </si>
  <si>
    <t>Gillian</t>
  </si>
  <si>
    <t>Ansonia</t>
  </si>
  <si>
    <t>Tommey</t>
  </si>
  <si>
    <t>Barry</t>
  </si>
  <si>
    <t>Audrey</t>
  </si>
  <si>
    <t>Eleodora</t>
  </si>
  <si>
    <t>Alfredo</t>
  </si>
  <si>
    <t>Denyse</t>
  </si>
  <si>
    <t>Moussa</t>
  </si>
  <si>
    <t>Enyinna</t>
  </si>
  <si>
    <t>Noemi</t>
  </si>
  <si>
    <t>Altagracia</t>
  </si>
  <si>
    <t>Beatriz</t>
  </si>
  <si>
    <t>Paulette</t>
  </si>
  <si>
    <t>Henny</t>
  </si>
  <si>
    <t>Puters</t>
  </si>
  <si>
    <t>Frankie</t>
  </si>
  <si>
    <t>Erica</t>
  </si>
  <si>
    <t>Alvaro</t>
  </si>
  <si>
    <t>Joseph</t>
  </si>
  <si>
    <t>Pamela</t>
  </si>
  <si>
    <t>Frances</t>
  </si>
  <si>
    <t>Daphne</t>
  </si>
  <si>
    <t>Christopher</t>
  </si>
  <si>
    <t>Arinola</t>
  </si>
  <si>
    <t>Sylvia</t>
  </si>
  <si>
    <t>Aaron</t>
  </si>
  <si>
    <t>Lucy</t>
  </si>
  <si>
    <t>Losseni</t>
  </si>
  <si>
    <t>Jonathan</t>
  </si>
  <si>
    <t>Stanley</t>
  </si>
  <si>
    <t>Helen</t>
  </si>
  <si>
    <t>Segundo</t>
  </si>
  <si>
    <t>Ella</t>
  </si>
  <si>
    <t>Jeffrey</t>
  </si>
  <si>
    <t>Nnamdi</t>
  </si>
  <si>
    <t>Theresa</t>
  </si>
  <si>
    <t>Terril</t>
  </si>
  <si>
    <t>Fior</t>
  </si>
  <si>
    <t>Manuelita</t>
  </si>
  <si>
    <t>Julio</t>
  </si>
  <si>
    <t>Debra</t>
  </si>
  <si>
    <t>India</t>
  </si>
  <si>
    <t>Brian</t>
  </si>
  <si>
    <t>Abigail</t>
  </si>
  <si>
    <t>Lanette</t>
  </si>
  <si>
    <t>Sherine</t>
  </si>
  <si>
    <t>Kamani</t>
  </si>
  <si>
    <t>Tanisha</t>
  </si>
  <si>
    <t>Daouda</t>
  </si>
  <si>
    <t>Donicia</t>
  </si>
  <si>
    <t>Stephanie</t>
  </si>
  <si>
    <t>Ayesha</t>
  </si>
  <si>
    <t>Venus</t>
  </si>
  <si>
    <t>Olga</t>
  </si>
  <si>
    <t>Michele</t>
  </si>
  <si>
    <t>Hernan</t>
  </si>
  <si>
    <t>Carlin</t>
  </si>
  <si>
    <t>Miguel</t>
  </si>
  <si>
    <t>Nereida</t>
  </si>
  <si>
    <t>Keila</t>
  </si>
  <si>
    <t>Szilvia</t>
  </si>
  <si>
    <t>Eglan</t>
  </si>
  <si>
    <t>Jennifer</t>
  </si>
  <si>
    <t>Hope</t>
  </si>
  <si>
    <t>Angel</t>
  </si>
  <si>
    <t>Vanessa</t>
  </si>
  <si>
    <t>Anderson</t>
  </si>
  <si>
    <t>Sursattie</t>
  </si>
  <si>
    <t>Chotsani</t>
  </si>
  <si>
    <t>Brigit</t>
  </si>
  <si>
    <t>Casio</t>
  </si>
  <si>
    <t>Tatyana</t>
  </si>
  <si>
    <t>Ralph</t>
  </si>
  <si>
    <t>Dane</t>
  </si>
  <si>
    <t>Chadia</t>
  </si>
  <si>
    <t>Kowsilia</t>
  </si>
  <si>
    <t>Marlene</t>
  </si>
  <si>
    <t>Tawanda</t>
  </si>
  <si>
    <t>Kenneth</t>
  </si>
  <si>
    <t>Geneva</t>
  </si>
  <si>
    <t>Aquilina</t>
  </si>
  <si>
    <t>Maleka</t>
  </si>
  <si>
    <t>Juanne</t>
  </si>
  <si>
    <t>Celenio</t>
  </si>
  <si>
    <t>Delia</t>
  </si>
  <si>
    <t>Gina</t>
  </si>
  <si>
    <t>Rodolfo</t>
  </si>
  <si>
    <t>Juan</t>
  </si>
  <si>
    <t>Ramon</t>
  </si>
  <si>
    <t>Sayed</t>
  </si>
  <si>
    <t>Svetlana</t>
  </si>
  <si>
    <t>Konstantin</t>
  </si>
  <si>
    <t>Dakota</t>
  </si>
  <si>
    <t>Carman</t>
  </si>
  <si>
    <t>Somayra</t>
  </si>
  <si>
    <t>Gerardo</t>
  </si>
  <si>
    <t>Alla</t>
  </si>
  <si>
    <t>Modesta</t>
  </si>
  <si>
    <t>Candace</t>
  </si>
  <si>
    <t>Hamdaani</t>
  </si>
  <si>
    <t>Myrna</t>
  </si>
  <si>
    <t>Paul</t>
  </si>
  <si>
    <t>Ona</t>
  </si>
  <si>
    <t>Marian</t>
  </si>
  <si>
    <t>Maya</t>
  </si>
  <si>
    <t>Vladislav</t>
  </si>
  <si>
    <t>Larisa</t>
  </si>
  <si>
    <t>Magnolia</t>
  </si>
  <si>
    <t>Davon</t>
  </si>
  <si>
    <t>Milton</t>
  </si>
  <si>
    <t>Anthia</t>
  </si>
  <si>
    <t>Aaliyah</t>
  </si>
  <si>
    <t>Atifete</t>
  </si>
  <si>
    <t>Connie</t>
  </si>
  <si>
    <t>Yasmin</t>
  </si>
  <si>
    <t>Tyrone</t>
  </si>
  <si>
    <t>Shannon</t>
  </si>
  <si>
    <t>Eduardo</t>
  </si>
  <si>
    <t>Selena</t>
  </si>
  <si>
    <t>Nancy</t>
  </si>
  <si>
    <t>Indhira</t>
  </si>
  <si>
    <t>LOURDES</t>
  </si>
  <si>
    <t>virgen</t>
  </si>
  <si>
    <t>Lauren</t>
  </si>
  <si>
    <t>Linda</t>
  </si>
  <si>
    <t>Moutakilou</t>
  </si>
  <si>
    <t>Kim</t>
  </si>
  <si>
    <t>Kwame</t>
  </si>
  <si>
    <t>Shonell</t>
  </si>
  <si>
    <t>Maribel</t>
  </si>
  <si>
    <t>Liz</t>
  </si>
  <si>
    <t>Ingrit</t>
  </si>
  <si>
    <t>Alam</t>
  </si>
  <si>
    <t>Jehiah</t>
  </si>
  <si>
    <t>Laye</t>
  </si>
  <si>
    <t>Auralina</t>
  </si>
  <si>
    <t>Gabriella</t>
  </si>
  <si>
    <t>Malik</t>
  </si>
  <si>
    <t>Colleen</t>
  </si>
  <si>
    <t>Evgenya</t>
  </si>
  <si>
    <t>Isabel</t>
  </si>
  <si>
    <t>Cynthia</t>
  </si>
  <si>
    <t>Tasia</t>
  </si>
  <si>
    <t>Cielo</t>
  </si>
  <si>
    <t>Azaad</t>
  </si>
  <si>
    <t>Claire</t>
  </si>
  <si>
    <t>Jermaine</t>
  </si>
  <si>
    <t>Adrielle</t>
  </si>
  <si>
    <t>Greta</t>
  </si>
  <si>
    <t>LaToya</t>
  </si>
  <si>
    <t>Roberta</t>
  </si>
  <si>
    <t>Celina</t>
  </si>
  <si>
    <t>Thurman</t>
  </si>
  <si>
    <t>Rabiat</t>
  </si>
  <si>
    <t>Canute</t>
  </si>
  <si>
    <t>Mercedes</t>
  </si>
  <si>
    <t>Robin</t>
  </si>
  <si>
    <t>Fatima</t>
  </si>
  <si>
    <t>Conseuelo</t>
  </si>
  <si>
    <t>Stacey</t>
  </si>
  <si>
    <t>Orlando</t>
  </si>
  <si>
    <t>Adera</t>
  </si>
  <si>
    <t>Joann</t>
  </si>
  <si>
    <t>Claude</t>
  </si>
  <si>
    <t>Teresa</t>
  </si>
  <si>
    <t>Iris</t>
  </si>
  <si>
    <t>Roger</t>
  </si>
  <si>
    <t>Sofia</t>
  </si>
  <si>
    <t>Lora</t>
  </si>
  <si>
    <t>Iza</t>
  </si>
  <si>
    <t>Saffie</t>
  </si>
  <si>
    <t>Emogene</t>
  </si>
  <si>
    <t>Gayla</t>
  </si>
  <si>
    <t>Leidy</t>
  </si>
  <si>
    <t>Mariatou</t>
  </si>
  <si>
    <t>Shah</t>
  </si>
  <si>
    <t>Towanda</t>
  </si>
  <si>
    <t>Stefanie</t>
  </si>
  <si>
    <t>Shaida</t>
  </si>
  <si>
    <t>Ricki</t>
  </si>
  <si>
    <t>Cinthia</t>
  </si>
  <si>
    <t>Marya</t>
  </si>
  <si>
    <t>Lana</t>
  </si>
  <si>
    <t>Abu</t>
  </si>
  <si>
    <t>Salvatore</t>
  </si>
  <si>
    <t>Neil</t>
  </si>
  <si>
    <t>Derek</t>
  </si>
  <si>
    <t>willie</t>
  </si>
  <si>
    <t>Candice</t>
  </si>
  <si>
    <t>Eladio</t>
  </si>
  <si>
    <t>Trisha</t>
  </si>
  <si>
    <t>Jasmine</t>
  </si>
  <si>
    <t>Susalin</t>
  </si>
  <si>
    <t>Ariel</t>
  </si>
  <si>
    <t>Edgard</t>
  </si>
  <si>
    <t>Saabirah</t>
  </si>
  <si>
    <t>Karyn</t>
  </si>
  <si>
    <t>Abdiel</t>
  </si>
  <si>
    <t>Gwendolyn</t>
  </si>
  <si>
    <t>Rob</t>
  </si>
  <si>
    <t>Salimah</t>
  </si>
  <si>
    <t>Alicya</t>
  </si>
  <si>
    <t>Yeveniya</t>
  </si>
  <si>
    <t>Ahmed</t>
  </si>
  <si>
    <t>Lester</t>
  </si>
  <si>
    <t>Monirul</t>
  </si>
  <si>
    <t>Nemesio</t>
  </si>
  <si>
    <t>Gail</t>
  </si>
  <si>
    <t>Marjorie</t>
  </si>
  <si>
    <t>LaJoya</t>
  </si>
  <si>
    <t>Mahbub</t>
  </si>
  <si>
    <t>Racquel</t>
  </si>
  <si>
    <t>Jing</t>
  </si>
  <si>
    <t>Miklos</t>
  </si>
  <si>
    <t>Joel</t>
  </si>
  <si>
    <t>Desiree</t>
  </si>
  <si>
    <t>Cathy</t>
  </si>
  <si>
    <t>Herbert</t>
  </si>
  <si>
    <t>Emely</t>
  </si>
  <si>
    <t>Alexander</t>
  </si>
  <si>
    <t>Hector</t>
  </si>
  <si>
    <t>Christina</t>
  </si>
  <si>
    <t>Washington</t>
  </si>
  <si>
    <t>Patrice</t>
  </si>
  <si>
    <t>Matt</t>
  </si>
  <si>
    <t>Tyrice</t>
  </si>
  <si>
    <t>Lola</t>
  </si>
  <si>
    <t>Beatrice</t>
  </si>
  <si>
    <t>Mary</t>
  </si>
  <si>
    <t>Tariq</t>
  </si>
  <si>
    <t>Andrea</t>
  </si>
  <si>
    <t>Evelinda</t>
  </si>
  <si>
    <t>Ramona</t>
  </si>
  <si>
    <t>Marie</t>
  </si>
  <si>
    <t>Kuntie</t>
  </si>
  <si>
    <t>Desmond</t>
  </si>
  <si>
    <t>Victoria</t>
  </si>
  <si>
    <t>Crystal</t>
  </si>
  <si>
    <t>Diana</t>
  </si>
  <si>
    <t>Nandanie</t>
  </si>
  <si>
    <t>Ashraf</t>
  </si>
  <si>
    <t>Wilmer</t>
  </si>
  <si>
    <t>Leon</t>
  </si>
  <si>
    <t>Claudia</t>
  </si>
  <si>
    <t>Wildlyne</t>
  </si>
  <si>
    <t>Pedro</t>
  </si>
  <si>
    <t>Eileen</t>
  </si>
  <si>
    <t>Lorraine</t>
  </si>
  <si>
    <t>Latoya</t>
  </si>
  <si>
    <t>Leslie</t>
  </si>
  <si>
    <t>Kalven</t>
  </si>
  <si>
    <t>Maritza</t>
  </si>
  <si>
    <t>Qing Hai</t>
  </si>
  <si>
    <t>Xenia</t>
  </si>
  <si>
    <t>Phillip</t>
  </si>
  <si>
    <t>Veronica</t>
  </si>
  <si>
    <t>Melissa</t>
  </si>
  <si>
    <t>Judith</t>
  </si>
  <si>
    <t>Bridget</t>
  </si>
  <si>
    <t>Mohammed</t>
  </si>
  <si>
    <t>Early</t>
  </si>
  <si>
    <t>Zulfakar</t>
  </si>
  <si>
    <t>Lucia</t>
  </si>
  <si>
    <t>Laiza</t>
  </si>
  <si>
    <t>Tonya</t>
  </si>
  <si>
    <t>Venice</t>
  </si>
  <si>
    <t>Chung Wing</t>
  </si>
  <si>
    <t>Prime-Rose</t>
  </si>
  <si>
    <t>Trach</t>
  </si>
  <si>
    <t>Dong</t>
  </si>
  <si>
    <t>Waquar</t>
  </si>
  <si>
    <t>Woodiana</t>
  </si>
  <si>
    <t>Oluwatosin</t>
  </si>
  <si>
    <t>Erica Gomez</t>
  </si>
  <si>
    <t>Manoucheka</t>
  </si>
  <si>
    <t>Evan</t>
  </si>
  <si>
    <t>Rosa Marie</t>
  </si>
  <si>
    <t>Lucero</t>
  </si>
  <si>
    <t>Laura</t>
  </si>
  <si>
    <t>Chastity</t>
  </si>
  <si>
    <t>Zulma</t>
  </si>
  <si>
    <t>Isa</t>
  </si>
  <si>
    <t>Guillermo</t>
  </si>
  <si>
    <t>Gary</t>
  </si>
  <si>
    <t>Russell</t>
  </si>
  <si>
    <t>Calvin</t>
  </si>
  <si>
    <t>Wendell</t>
  </si>
  <si>
    <t>Dolores</t>
  </si>
  <si>
    <t>Joe</t>
  </si>
  <si>
    <t>Chalette</t>
  </si>
  <si>
    <t>Kulsuma</t>
  </si>
  <si>
    <t>Deborah</t>
  </si>
  <si>
    <t>Charmine</t>
  </si>
  <si>
    <t>Marie Guileme</t>
  </si>
  <si>
    <t>Janicia</t>
  </si>
  <si>
    <t>Latisha</t>
  </si>
  <si>
    <t>Rose</t>
  </si>
  <si>
    <t>Ashley</t>
  </si>
  <si>
    <t>Arminda</t>
  </si>
  <si>
    <t>Terrall</t>
  </si>
  <si>
    <t>Ingrid</t>
  </si>
  <si>
    <t>Simone</t>
  </si>
  <si>
    <t>Wandy</t>
  </si>
  <si>
    <t>Shakeem</t>
  </si>
  <si>
    <t>Pamella</t>
  </si>
  <si>
    <t>Hermione</t>
  </si>
  <si>
    <t>Malonnie</t>
  </si>
  <si>
    <t>Margarita</t>
  </si>
  <si>
    <t>Asia</t>
  </si>
  <si>
    <t>Reyna</t>
  </si>
  <si>
    <t>Tameka</t>
  </si>
  <si>
    <t>Latesha</t>
  </si>
  <si>
    <t>Katherine</t>
  </si>
  <si>
    <t>Delisse</t>
  </si>
  <si>
    <t>Flor</t>
  </si>
  <si>
    <t>Firoz</t>
  </si>
  <si>
    <t>Todd</t>
  </si>
  <si>
    <t>Stalyce</t>
  </si>
  <si>
    <t>Ayanna</t>
  </si>
  <si>
    <t>Kathryn</t>
  </si>
  <si>
    <t>Wanda</t>
  </si>
  <si>
    <t>Greigory</t>
  </si>
  <si>
    <t>Charles</t>
  </si>
  <si>
    <t>Diego</t>
  </si>
  <si>
    <t>Tracey</t>
  </si>
  <si>
    <t>Agnes</t>
  </si>
  <si>
    <t>Mutasim</t>
  </si>
  <si>
    <t>Tamika</t>
  </si>
  <si>
    <t>Renee</t>
  </si>
  <si>
    <t>Arabella</t>
  </si>
  <si>
    <t>Eddison</t>
  </si>
  <si>
    <t>Dania</t>
  </si>
  <si>
    <t>Alberto</t>
  </si>
  <si>
    <t>Frederica</t>
  </si>
  <si>
    <t>Harold</t>
  </si>
  <si>
    <t>Conrad</t>
  </si>
  <si>
    <t>Yolanda</t>
  </si>
  <si>
    <t>Terri</t>
  </si>
  <si>
    <t>Ashok</t>
  </si>
  <si>
    <t>Shameika</t>
  </si>
  <si>
    <t>Lissa</t>
  </si>
  <si>
    <t>Yesenia</t>
  </si>
  <si>
    <t>Darlene</t>
  </si>
  <si>
    <t>Susana</t>
  </si>
  <si>
    <t>Nathaniel</t>
  </si>
  <si>
    <t>Gautam</t>
  </si>
  <si>
    <t>Violeta</t>
  </si>
  <si>
    <t>Saul</t>
  </si>
  <si>
    <t>Fode</t>
  </si>
  <si>
    <t>Ivy</t>
  </si>
  <si>
    <t>Alice</t>
  </si>
  <si>
    <t>Regina</t>
  </si>
  <si>
    <t>Xiomara</t>
  </si>
  <si>
    <t>Jeannette</t>
  </si>
  <si>
    <t>Anyelina</t>
  </si>
  <si>
    <t>Bassam</t>
  </si>
  <si>
    <t>Tamara</t>
  </si>
  <si>
    <t>Zishe</t>
  </si>
  <si>
    <t>Natasha</t>
  </si>
  <si>
    <t>Bessie</t>
  </si>
  <si>
    <t>Dewitt</t>
  </si>
  <si>
    <t>Alba</t>
  </si>
  <si>
    <t>Ricarrdo</t>
  </si>
  <si>
    <t>Irina</t>
  </si>
  <si>
    <t>Alsacia</t>
  </si>
  <si>
    <t>Cesar</t>
  </si>
  <si>
    <t>Narcisa</t>
  </si>
  <si>
    <t>Temistocles</t>
  </si>
  <si>
    <t>Mehira</t>
  </si>
  <si>
    <t>Bukola</t>
  </si>
  <si>
    <t>Lanae</t>
  </si>
  <si>
    <t>Andres</t>
  </si>
  <si>
    <t>Shauna</t>
  </si>
  <si>
    <t>Dora</t>
  </si>
  <si>
    <t>Keenan</t>
  </si>
  <si>
    <t>Heidi</t>
  </si>
  <si>
    <t>Jorinda</t>
  </si>
  <si>
    <t>Muhamed</t>
  </si>
  <si>
    <t>Jenny</t>
  </si>
  <si>
    <t>Beth</t>
  </si>
  <si>
    <t>Dhaiana</t>
  </si>
  <si>
    <t>Enaya</t>
  </si>
  <si>
    <t>Murris</t>
  </si>
  <si>
    <t>Luisa</t>
  </si>
  <si>
    <t>Elaine</t>
  </si>
  <si>
    <t>Liza</t>
  </si>
  <si>
    <t>Yomaira</t>
  </si>
  <si>
    <t>Frank</t>
  </si>
  <si>
    <t>Courtney</t>
  </si>
  <si>
    <t>Borhan</t>
  </si>
  <si>
    <t>Eugene</t>
  </si>
  <si>
    <t>Rosalia</t>
  </si>
  <si>
    <t>Lori</t>
  </si>
  <si>
    <t>Paula</t>
  </si>
  <si>
    <t>Shatima</t>
  </si>
  <si>
    <t>Marina</t>
  </si>
  <si>
    <t>Terrence</t>
  </si>
  <si>
    <t>Albert</t>
  </si>
  <si>
    <t>Julia</t>
  </si>
  <si>
    <t>Young</t>
  </si>
  <si>
    <t>Carla</t>
  </si>
  <si>
    <t>Benjamin</t>
  </si>
  <si>
    <t>Leodia</t>
  </si>
  <si>
    <t>Felipa</t>
  </si>
  <si>
    <t>Fabian</t>
  </si>
  <si>
    <t>Govchlya</t>
  </si>
  <si>
    <t>yvonne</t>
  </si>
  <si>
    <t>Natacha</t>
  </si>
  <si>
    <t>Sara</t>
  </si>
  <si>
    <t>Elsa</t>
  </si>
  <si>
    <t>Sadatu</t>
  </si>
  <si>
    <t>Hesham</t>
  </si>
  <si>
    <t>Diane</t>
  </si>
  <si>
    <t>Digna</t>
  </si>
  <si>
    <t>Iesha</t>
  </si>
  <si>
    <t>Raphel</t>
  </si>
  <si>
    <t>Dusley</t>
  </si>
  <si>
    <t>ANA</t>
  </si>
  <si>
    <t>Vincent</t>
  </si>
  <si>
    <t>Trilbie</t>
  </si>
  <si>
    <t>La-Dawn</t>
  </si>
  <si>
    <t>Hanirka</t>
  </si>
  <si>
    <t>Jason</t>
  </si>
  <si>
    <t>Inocencio</t>
  </si>
  <si>
    <t>Freddy</t>
  </si>
  <si>
    <t>Donald</t>
  </si>
  <si>
    <t>Danesha</t>
  </si>
  <si>
    <t>Joanne</t>
  </si>
  <si>
    <t>Samantha</t>
  </si>
  <si>
    <t>Ebrunilda</t>
  </si>
  <si>
    <t>Monica</t>
  </si>
  <si>
    <t>Esperanza</t>
  </si>
  <si>
    <t>Alfred</t>
  </si>
  <si>
    <t>Johny</t>
  </si>
  <si>
    <t>Ethel</t>
  </si>
  <si>
    <t>Mireya</t>
  </si>
  <si>
    <t>Nasgina</t>
  </si>
  <si>
    <t>Craig</t>
  </si>
  <si>
    <t>Monique</t>
  </si>
  <si>
    <t>Daewoo</t>
  </si>
  <si>
    <t>Phyllis</t>
  </si>
  <si>
    <t>Shaquana</t>
  </si>
  <si>
    <t>Osvaldo</t>
  </si>
  <si>
    <t>Tamica</t>
  </si>
  <si>
    <t>Jorge</t>
  </si>
  <si>
    <t>Myron</t>
  </si>
  <si>
    <t>Leorn</t>
  </si>
  <si>
    <t>Ghislaine</t>
  </si>
  <si>
    <t>Avesta</t>
  </si>
  <si>
    <t>Tandie</t>
  </si>
  <si>
    <t>Jerry</t>
  </si>
  <si>
    <t>Angelique</t>
  </si>
  <si>
    <t>Alora</t>
  </si>
  <si>
    <t>Randolph</t>
  </si>
  <si>
    <t>Charmise</t>
  </si>
  <si>
    <t>Esofina</t>
  </si>
  <si>
    <t>Taywanna</t>
  </si>
  <si>
    <t>Nora</t>
  </si>
  <si>
    <t>Corina</t>
  </si>
  <si>
    <t>Daneil</t>
  </si>
  <si>
    <t>Letisha</t>
  </si>
  <si>
    <t>Charaya</t>
  </si>
  <si>
    <t>Yorkelis</t>
  </si>
  <si>
    <t>Albizu</t>
  </si>
  <si>
    <t>Nidia</t>
  </si>
  <si>
    <t>Lawrence</t>
  </si>
  <si>
    <t>Grace</t>
  </si>
  <si>
    <t>Fariha</t>
  </si>
  <si>
    <t>Geoffrey</t>
  </si>
  <si>
    <t>Yvonne</t>
  </si>
  <si>
    <t>Havelet</t>
  </si>
  <si>
    <t>Keba</t>
  </si>
  <si>
    <t>Aginum</t>
  </si>
  <si>
    <t>Troy</t>
  </si>
  <si>
    <t>Denis</t>
  </si>
  <si>
    <t>Hosnahara</t>
  </si>
  <si>
    <t>Krystyna</t>
  </si>
  <si>
    <t>Shanoya</t>
  </si>
  <si>
    <t>Danielle</t>
  </si>
  <si>
    <t>Damien</t>
  </si>
  <si>
    <t>Haleem</t>
  </si>
  <si>
    <t>Tiyana</t>
  </si>
  <si>
    <t>Hugh</t>
  </si>
  <si>
    <t>Jan</t>
  </si>
  <si>
    <t>Gabriela</t>
  </si>
  <si>
    <t>Warleidys</t>
  </si>
  <si>
    <t>Victor</t>
  </si>
  <si>
    <t>Melanie</t>
  </si>
  <si>
    <t>Prakash</t>
  </si>
  <si>
    <t>Cassandra</t>
  </si>
  <si>
    <t>Kathleen</t>
  </si>
  <si>
    <t>Young Tae</t>
  </si>
  <si>
    <t>Daina</t>
  </si>
  <si>
    <t>Yuverky</t>
  </si>
  <si>
    <t>Ernestine</t>
  </si>
  <si>
    <t>Tiffani</t>
  </si>
  <si>
    <t>Aysha</t>
  </si>
  <si>
    <t>Ronald</t>
  </si>
  <si>
    <t>Marian Valdez</t>
  </si>
  <si>
    <t>Ena</t>
  </si>
  <si>
    <t>Horacio</t>
  </si>
  <si>
    <t>Rita</t>
  </si>
  <si>
    <t>Atla</t>
  </si>
  <si>
    <t>Zira</t>
  </si>
  <si>
    <t>Cortney</t>
  </si>
  <si>
    <t>Ytalia</t>
  </si>
  <si>
    <t>Joycelin</t>
  </si>
  <si>
    <t>Chungsoo</t>
  </si>
  <si>
    <t>Lassani</t>
  </si>
  <si>
    <t>Mireveline</t>
  </si>
  <si>
    <t>Gene</t>
  </si>
  <si>
    <t>Karisma</t>
  </si>
  <si>
    <t>Kadisha</t>
  </si>
  <si>
    <t>Dekechres</t>
  </si>
  <si>
    <t>Marthe</t>
  </si>
  <si>
    <t>Kenton</t>
  </si>
  <si>
    <t>Derrick</t>
  </si>
  <si>
    <t>Genise</t>
  </si>
  <si>
    <t>Chimene</t>
  </si>
  <si>
    <t>Elder</t>
  </si>
  <si>
    <t>Blake</t>
  </si>
  <si>
    <t>Heather</t>
  </si>
  <si>
    <t>Raymond</t>
  </si>
  <si>
    <t>Bernadale</t>
  </si>
  <si>
    <t>Dashawna</t>
  </si>
  <si>
    <t>Lashanda</t>
  </si>
  <si>
    <t>Metognisse</t>
  </si>
  <si>
    <t>Brittany</t>
  </si>
  <si>
    <t>Natalize</t>
  </si>
  <si>
    <t>Freeman</t>
  </si>
  <si>
    <t>Sheila</t>
  </si>
  <si>
    <t>Walid</t>
  </si>
  <si>
    <t>Hasanah</t>
  </si>
  <si>
    <t>Alyssa</t>
  </si>
  <si>
    <t>Alexandra</t>
  </si>
  <si>
    <t>Ventesa</t>
  </si>
  <si>
    <t>Amanda</t>
  </si>
  <si>
    <t>Ramiro</t>
  </si>
  <si>
    <t>Arline</t>
  </si>
  <si>
    <t>Hamid</t>
  </si>
  <si>
    <t>Sueheily</t>
  </si>
  <si>
    <t>Nickcole</t>
  </si>
  <si>
    <t>Mouhamadou</t>
  </si>
  <si>
    <t>Preye</t>
  </si>
  <si>
    <t>MILAGROS</t>
  </si>
  <si>
    <t>Angelic</t>
  </si>
  <si>
    <t>Rudy</t>
  </si>
  <si>
    <t>Valarie</t>
  </si>
  <si>
    <t>Dawne</t>
  </si>
  <si>
    <t>Shaunina</t>
  </si>
  <si>
    <t>Arlene</t>
  </si>
  <si>
    <t>Adrian</t>
  </si>
  <si>
    <t>Maxine</t>
  </si>
  <si>
    <t>Shannarra</t>
  </si>
  <si>
    <t>LaShey</t>
  </si>
  <si>
    <t>Carttresse</t>
  </si>
  <si>
    <t>Akil</t>
  </si>
  <si>
    <t>Leshell</t>
  </si>
  <si>
    <t>Andrew</t>
  </si>
  <si>
    <t>Nedra</t>
  </si>
  <si>
    <t>Magino</t>
  </si>
  <si>
    <t>Girleene</t>
  </si>
  <si>
    <t>Lizzie</t>
  </si>
  <si>
    <t>Nikita</t>
  </si>
  <si>
    <t>Lakisha</t>
  </si>
  <si>
    <t>Silvia</t>
  </si>
  <si>
    <t>Analisa</t>
  </si>
  <si>
    <t>Julissa</t>
  </si>
  <si>
    <t>Jazz</t>
  </si>
  <si>
    <t>Gelean</t>
  </si>
  <si>
    <t>Kaba</t>
  </si>
  <si>
    <t>Blanca</t>
  </si>
  <si>
    <t>Shoshanna</t>
  </si>
  <si>
    <t>Aleksandr</t>
  </si>
  <si>
    <t>Amy</t>
  </si>
  <si>
    <t>Yousif</t>
  </si>
  <si>
    <t>Rosario</t>
  </si>
  <si>
    <t>Monesha</t>
  </si>
  <si>
    <t>Shiasia</t>
  </si>
  <si>
    <t>Jarelle</t>
  </si>
  <si>
    <t>Daisy</t>
  </si>
  <si>
    <t>Charlene</t>
  </si>
  <si>
    <t>Zorina</t>
  </si>
  <si>
    <t>Santa</t>
  </si>
  <si>
    <t>Monserrato</t>
  </si>
  <si>
    <t>Gordon</t>
  </si>
  <si>
    <t>JENNY</t>
  </si>
  <si>
    <t>Milady</t>
  </si>
  <si>
    <t>Kesha</t>
  </si>
  <si>
    <t>Avril</t>
  </si>
  <si>
    <t>Kechel</t>
  </si>
  <si>
    <t>Felicia</t>
  </si>
  <si>
    <t>Tafazzul</t>
  </si>
  <si>
    <t>Sabur</t>
  </si>
  <si>
    <t>Yaniri</t>
  </si>
  <si>
    <t>Giovanni</t>
  </si>
  <si>
    <t>Alexis</t>
  </si>
  <si>
    <t>Chervon</t>
  </si>
  <si>
    <t>Taniesha</t>
  </si>
  <si>
    <t>Cherise</t>
  </si>
  <si>
    <t>GLEINYS</t>
  </si>
  <si>
    <t>Cherish</t>
  </si>
  <si>
    <t>Hellen</t>
  </si>
  <si>
    <t>Lakysha</t>
  </si>
  <si>
    <t>Dorothy Janet</t>
  </si>
  <si>
    <t>Shaundania</t>
  </si>
  <si>
    <t>Johana</t>
  </si>
  <si>
    <t>Johnson</t>
  </si>
  <si>
    <t>OLGA</t>
  </si>
  <si>
    <t>Yiselt</t>
  </si>
  <si>
    <t>Sophia</t>
  </si>
  <si>
    <t>Charline</t>
  </si>
  <si>
    <t>Moumouni</t>
  </si>
  <si>
    <t>Jasmin</t>
  </si>
  <si>
    <t>Anastacia</t>
  </si>
  <si>
    <t>Adele</t>
  </si>
  <si>
    <t>Karima</t>
  </si>
  <si>
    <t>Guerda</t>
  </si>
  <si>
    <t>TAWANNA</t>
  </si>
  <si>
    <t>Rebecca</t>
  </si>
  <si>
    <t>Ruby</t>
  </si>
  <si>
    <t>Esther</t>
  </si>
  <si>
    <t>Angellica</t>
  </si>
  <si>
    <t>Dana</t>
  </si>
  <si>
    <t>Tandeka</t>
  </si>
  <si>
    <t>Ashia</t>
  </si>
  <si>
    <t>Banfaly</t>
  </si>
  <si>
    <t>Earnest</t>
  </si>
  <si>
    <t>Lovelle</t>
  </si>
  <si>
    <t>Romualda</t>
  </si>
  <si>
    <t>Deslyn</t>
  </si>
  <si>
    <t>Rene</t>
  </si>
  <si>
    <t>Aileen</t>
  </si>
  <si>
    <t>Adelaida</t>
  </si>
  <si>
    <t>Ashish</t>
  </si>
  <si>
    <t>Mariana</t>
  </si>
  <si>
    <t>Cesarina</t>
  </si>
  <si>
    <t>Emvie</t>
  </si>
  <si>
    <t>Ayana</t>
  </si>
  <si>
    <t>Estarlin</t>
  </si>
  <si>
    <t>Luciana</t>
  </si>
  <si>
    <t>Enkeleyda</t>
  </si>
  <si>
    <t>Taisha</t>
  </si>
  <si>
    <t>Kelly</t>
  </si>
  <si>
    <t>Nyasia</t>
  </si>
  <si>
    <t>Veronique</t>
  </si>
  <si>
    <t>Quinchi</t>
  </si>
  <si>
    <t>Salahuddin</t>
  </si>
  <si>
    <t>Mattie</t>
  </si>
  <si>
    <t>Trelane</t>
  </si>
  <si>
    <t>Evette</t>
  </si>
  <si>
    <t>Nouel</t>
  </si>
  <si>
    <t>Lila</t>
  </si>
  <si>
    <t>Tomasina</t>
  </si>
  <si>
    <t>Clair</t>
  </si>
  <si>
    <t>Perla</t>
  </si>
  <si>
    <t>Carlotta</t>
  </si>
  <si>
    <t>Stevenson</t>
  </si>
  <si>
    <t>Josefina</t>
  </si>
  <si>
    <t>Moses</t>
  </si>
  <si>
    <t>Karah</t>
  </si>
  <si>
    <t>MaryAnn</t>
  </si>
  <si>
    <t>Angelo</t>
  </si>
  <si>
    <t>Lupe</t>
  </si>
  <si>
    <t>Giacinta</t>
  </si>
  <si>
    <t>Fernando</t>
  </si>
  <si>
    <t>Kasheen</t>
  </si>
  <si>
    <t>Aurea</t>
  </si>
  <si>
    <t>Kyianna</t>
  </si>
  <si>
    <t>Keisha</t>
  </si>
  <si>
    <t>Edwardo</t>
  </si>
  <si>
    <t>Kyle</t>
  </si>
  <si>
    <t>Desdemonna</t>
  </si>
  <si>
    <t>Vicente</t>
  </si>
  <si>
    <t>Junior</t>
  </si>
  <si>
    <t>Ted</t>
  </si>
  <si>
    <t>Sabrena</t>
  </si>
  <si>
    <t>Peter</t>
  </si>
  <si>
    <t>Cindy</t>
  </si>
  <si>
    <t>Loida</t>
  </si>
  <si>
    <t>Sade</t>
  </si>
  <si>
    <t>Tomika</t>
  </si>
  <si>
    <t>Douglas</t>
  </si>
  <si>
    <t>Yisroel</t>
  </si>
  <si>
    <t>Jacob</t>
  </si>
  <si>
    <t>Mikhael</t>
  </si>
  <si>
    <t>Bernise</t>
  </si>
  <si>
    <t>Jae</t>
  </si>
  <si>
    <t>Shpendi</t>
  </si>
  <si>
    <t>Lookman</t>
  </si>
  <si>
    <t>Ann</t>
  </si>
  <si>
    <t>Ilmi</t>
  </si>
  <si>
    <t>Euriel</t>
  </si>
  <si>
    <t>Autumn</t>
  </si>
  <si>
    <t>Kevon</t>
  </si>
  <si>
    <t>Darius</t>
  </si>
  <si>
    <t>Dean</t>
  </si>
  <si>
    <t>Cherilyn</t>
  </si>
  <si>
    <t>Larissa</t>
  </si>
  <si>
    <t>Shorok</t>
  </si>
  <si>
    <t>Kneysha</t>
  </si>
  <si>
    <t>Jeancarlos</t>
  </si>
  <si>
    <t>Marcel</t>
  </si>
  <si>
    <t>Yukie</t>
  </si>
  <si>
    <t>Loaiza</t>
  </si>
  <si>
    <t>Sanita</t>
  </si>
  <si>
    <t>Hyudie</t>
  </si>
  <si>
    <t>Emma</t>
  </si>
  <si>
    <t>Petra</t>
  </si>
  <si>
    <t>Laurynn</t>
  </si>
  <si>
    <t>Cairong</t>
  </si>
  <si>
    <t>Simone T.</t>
  </si>
  <si>
    <t>Kamila</t>
  </si>
  <si>
    <t>Carmel</t>
  </si>
  <si>
    <t>Shameeka</t>
  </si>
  <si>
    <t>Felecia</t>
  </si>
  <si>
    <t>Sabrina</t>
  </si>
  <si>
    <t>Nijha</t>
  </si>
  <si>
    <t>Bart</t>
  </si>
  <si>
    <t>Gino</t>
  </si>
  <si>
    <t>Marquise</t>
  </si>
  <si>
    <t>Kafele</t>
  </si>
  <si>
    <t>Nina</t>
  </si>
  <si>
    <t>Luzella</t>
  </si>
  <si>
    <t>Luther</t>
  </si>
  <si>
    <t>Mike</t>
  </si>
  <si>
    <t>Micha</t>
  </si>
  <si>
    <t>Daria</t>
  </si>
  <si>
    <t>Gabrielle</t>
  </si>
  <si>
    <t>Fredman</t>
  </si>
  <si>
    <t>Collette</t>
  </si>
  <si>
    <t>Cortez</t>
  </si>
  <si>
    <t>Solomon</t>
  </si>
  <si>
    <t>Richamar</t>
  </si>
  <si>
    <t>Hannah</t>
  </si>
  <si>
    <t>Ondina</t>
  </si>
  <si>
    <t>Myra</t>
  </si>
  <si>
    <t>Micah</t>
  </si>
  <si>
    <t>Tammy</t>
  </si>
  <si>
    <t>Nolma</t>
  </si>
  <si>
    <t>Hezekiah</t>
  </si>
  <si>
    <t>Ladel</t>
  </si>
  <si>
    <t>Malvia</t>
  </si>
  <si>
    <t>Prestina</t>
  </si>
  <si>
    <t>Tardrea</t>
  </si>
  <si>
    <t>Makeba</t>
  </si>
  <si>
    <t>Jorel</t>
  </si>
  <si>
    <t>Suranyely</t>
  </si>
  <si>
    <t>Patsy</t>
  </si>
  <si>
    <t>Wendy</t>
  </si>
  <si>
    <t>Estela</t>
  </si>
  <si>
    <t>Penny</t>
  </si>
  <si>
    <t>KAYLA</t>
  </si>
  <si>
    <t>Brett</t>
  </si>
  <si>
    <t>Felicita</t>
  </si>
  <si>
    <t>Soribel</t>
  </si>
  <si>
    <t>Oslyn</t>
  </si>
  <si>
    <t>Amos</t>
  </si>
  <si>
    <t>Erika</t>
  </si>
  <si>
    <t>Kurell</t>
  </si>
  <si>
    <t>Grey</t>
  </si>
  <si>
    <t>Rhonda</t>
  </si>
  <si>
    <t>Asad</t>
  </si>
  <si>
    <t>Marlyne</t>
  </si>
  <si>
    <t>Abad</t>
  </si>
  <si>
    <t>Towpee</t>
  </si>
  <si>
    <t>Nikcole</t>
  </si>
  <si>
    <t>Alaina</t>
  </si>
  <si>
    <t>Idalma</t>
  </si>
  <si>
    <t>Lessie</t>
  </si>
  <si>
    <t>Flavia</t>
  </si>
  <si>
    <t>Selina</t>
  </si>
  <si>
    <t>Vere</t>
  </si>
  <si>
    <t>Emmanuel</t>
  </si>
  <si>
    <t>Darrell</t>
  </si>
  <si>
    <t>Zachary</t>
  </si>
  <si>
    <t>Marcus</t>
  </si>
  <si>
    <t>Antoine</t>
  </si>
  <si>
    <t>Yacinthe</t>
  </si>
  <si>
    <t>Elias</t>
  </si>
  <si>
    <t>Boahemaa</t>
  </si>
  <si>
    <t>Florence</t>
  </si>
  <si>
    <t>Peace</t>
  </si>
  <si>
    <t>Dahikiana</t>
  </si>
  <si>
    <t>Jimmy</t>
  </si>
  <si>
    <t>Jenaire</t>
  </si>
  <si>
    <t>Jane</t>
  </si>
  <si>
    <t>Justin</t>
  </si>
  <si>
    <t>Letty</t>
  </si>
  <si>
    <t>Janette</t>
  </si>
  <si>
    <t>Arcadia</t>
  </si>
  <si>
    <t>Alixon</t>
  </si>
  <si>
    <t>Musa</t>
  </si>
  <si>
    <t>Marisela</t>
  </si>
  <si>
    <t>Desra</t>
  </si>
  <si>
    <t>Shatasha</t>
  </si>
  <si>
    <t>Kiera</t>
  </si>
  <si>
    <t>Adabelba</t>
  </si>
  <si>
    <t>Ravel</t>
  </si>
  <si>
    <t>Naomi</t>
  </si>
  <si>
    <t>Aneudy</t>
  </si>
  <si>
    <t>Sheniqua</t>
  </si>
  <si>
    <t>Rachelle</t>
  </si>
  <si>
    <t>Test</t>
  </si>
  <si>
    <t>Cracy</t>
  </si>
  <si>
    <t>Shelley</t>
  </si>
  <si>
    <t>Hilkia</t>
  </si>
  <si>
    <t>Varonica</t>
  </si>
  <si>
    <t>Joan</t>
  </si>
  <si>
    <t>Burke</t>
  </si>
  <si>
    <t>Maia</t>
  </si>
  <si>
    <t>Wee</t>
  </si>
  <si>
    <t>Lorna</t>
  </si>
  <si>
    <t>Javier</t>
  </si>
  <si>
    <t>Tineta</t>
  </si>
  <si>
    <t>Anita</t>
  </si>
  <si>
    <t>Patrick</t>
  </si>
  <si>
    <t>Amber</t>
  </si>
  <si>
    <t>Hillary</t>
  </si>
  <si>
    <t>Rosendo</t>
  </si>
  <si>
    <t>Shariann</t>
  </si>
  <si>
    <t>Malika</t>
  </si>
  <si>
    <t>Dianne</t>
  </si>
  <si>
    <t>Paola</t>
  </si>
  <si>
    <t>Nonci</t>
  </si>
  <si>
    <t>Linette</t>
  </si>
  <si>
    <t>Carneta</t>
  </si>
  <si>
    <t>Genesis</t>
  </si>
  <si>
    <t>Tanelle</t>
  </si>
  <si>
    <t>Gerald</t>
  </si>
  <si>
    <t>Carolina</t>
  </si>
  <si>
    <t>Lennox</t>
  </si>
  <si>
    <t>Natsumi</t>
  </si>
  <si>
    <t>Rosalina</t>
  </si>
  <si>
    <t>Lynn</t>
  </si>
  <si>
    <t>Antonette</t>
  </si>
  <si>
    <t>Constance</t>
  </si>
  <si>
    <t>Stephen</t>
  </si>
  <si>
    <t>Benita</t>
  </si>
  <si>
    <t>Andy</t>
  </si>
  <si>
    <t>Raquel</t>
  </si>
  <si>
    <t>Anika</t>
  </si>
  <si>
    <t>Theodore</t>
  </si>
  <si>
    <t>Lucila</t>
  </si>
  <si>
    <t>Neville</t>
  </si>
  <si>
    <t>Jim</t>
  </si>
  <si>
    <t>Leigha</t>
  </si>
  <si>
    <t>Rosemary</t>
  </si>
  <si>
    <t>Sachen</t>
  </si>
  <si>
    <t>Tracy</t>
  </si>
  <si>
    <t>Brent</t>
  </si>
  <si>
    <t>Efrat</t>
  </si>
  <si>
    <t>Jean Robert</t>
  </si>
  <si>
    <t>Anselmo</t>
  </si>
  <si>
    <t>Yahaira</t>
  </si>
  <si>
    <t>Gavin</t>
  </si>
  <si>
    <t>Georgia</t>
  </si>
  <si>
    <t>Casilda</t>
  </si>
  <si>
    <t>Cynteera</t>
  </si>
  <si>
    <t>Stavros</t>
  </si>
  <si>
    <t>Freddie</t>
  </si>
  <si>
    <t>Arica</t>
  </si>
  <si>
    <t>Aura</t>
  </si>
  <si>
    <t>Calogera</t>
  </si>
  <si>
    <t>Odetta</t>
  </si>
  <si>
    <t>Isidrie</t>
  </si>
  <si>
    <t>Marcelle</t>
  </si>
  <si>
    <t>Scott</t>
  </si>
  <si>
    <t>Leonard</t>
  </si>
  <si>
    <t>Loreanna</t>
  </si>
  <si>
    <t>Nonya</t>
  </si>
  <si>
    <t>Nikos</t>
  </si>
  <si>
    <t>Mohandai</t>
  </si>
  <si>
    <t>Aquila</t>
  </si>
  <si>
    <t>Stardasha</t>
  </si>
  <si>
    <t>Atinuke</t>
  </si>
  <si>
    <t>Felipe</t>
  </si>
  <si>
    <t>Rafaqat</t>
  </si>
  <si>
    <t>Zoraida</t>
  </si>
  <si>
    <t>Danny</t>
  </si>
  <si>
    <t>Tara</t>
  </si>
  <si>
    <t>Dominie</t>
  </si>
  <si>
    <t>elizabeth</t>
  </si>
  <si>
    <t>Alassane</t>
  </si>
  <si>
    <t>Dawn</t>
  </si>
  <si>
    <t>Melodie</t>
  </si>
  <si>
    <t>Lionel</t>
  </si>
  <si>
    <t>Judithe</t>
  </si>
  <si>
    <t>Nellie</t>
  </si>
  <si>
    <t>Lenford</t>
  </si>
  <si>
    <t>Tammi</t>
  </si>
  <si>
    <t>Nasima</t>
  </si>
  <si>
    <t>Maryann</t>
  </si>
  <si>
    <t>Sylvester</t>
  </si>
  <si>
    <t>Darryl</t>
  </si>
  <si>
    <t>Melvina</t>
  </si>
  <si>
    <t>Zenaida</t>
  </si>
  <si>
    <t>Vladimir</t>
  </si>
  <si>
    <t>Adrianne</t>
  </si>
  <si>
    <t>Agnesa</t>
  </si>
  <si>
    <t>Yanick</t>
  </si>
  <si>
    <t>Yassah</t>
  </si>
  <si>
    <t>Maricela</t>
  </si>
  <si>
    <t>Shakira</t>
  </si>
  <si>
    <t>Winston</t>
  </si>
  <si>
    <t>Santiago</t>
  </si>
  <si>
    <t>ODETTE</t>
  </si>
  <si>
    <t>Erick</t>
  </si>
  <si>
    <t>Ayman</t>
  </si>
  <si>
    <t>Maryanne</t>
  </si>
  <si>
    <t>Isaac</t>
  </si>
  <si>
    <t>Margaret</t>
  </si>
  <si>
    <t>Ira</t>
  </si>
  <si>
    <t>Ollie</t>
  </si>
  <si>
    <t>Tulip Lamone</t>
  </si>
  <si>
    <t>Erwin</t>
  </si>
  <si>
    <t>Austin</t>
  </si>
  <si>
    <t>Marcella</t>
  </si>
  <si>
    <t>Lindo</t>
  </si>
  <si>
    <t>Alicia</t>
  </si>
  <si>
    <t>Virner</t>
  </si>
  <si>
    <t>Oksana</t>
  </si>
  <si>
    <t>Djeneba</t>
  </si>
  <si>
    <t>Errold</t>
  </si>
  <si>
    <t>Janelle</t>
  </si>
  <si>
    <t>Feron</t>
  </si>
  <si>
    <t>Maria Eugenia</t>
  </si>
  <si>
    <t>Jun</t>
  </si>
  <si>
    <t>April</t>
  </si>
  <si>
    <t>Adriana</t>
  </si>
  <si>
    <t>Unique</t>
  </si>
  <si>
    <t>Evanice</t>
  </si>
  <si>
    <t>Roxy</t>
  </si>
  <si>
    <t>Ricarldo</t>
  </si>
  <si>
    <t>Carron</t>
  </si>
  <si>
    <t>Gus</t>
  </si>
  <si>
    <t>Ravendra</t>
  </si>
  <si>
    <t>Bertha</t>
  </si>
  <si>
    <t>Jodi</t>
  </si>
  <si>
    <t>Whit</t>
  </si>
  <si>
    <t>Hermes</t>
  </si>
  <si>
    <t>Nana</t>
  </si>
  <si>
    <t>Sadie</t>
  </si>
  <si>
    <t>Roman</t>
  </si>
  <si>
    <t>Queenie</t>
  </si>
  <si>
    <t>Verlena</t>
  </si>
  <si>
    <t>Gwynn</t>
  </si>
  <si>
    <t>Geri</t>
  </si>
  <si>
    <t>Kelton</t>
  </si>
  <si>
    <t>Herley</t>
  </si>
  <si>
    <t>Chadwick</t>
  </si>
  <si>
    <t>Thao Thu</t>
  </si>
  <si>
    <t>Arthur</t>
  </si>
  <si>
    <t>Scears</t>
  </si>
  <si>
    <t>Geraldine</t>
  </si>
  <si>
    <t>Magdalene</t>
  </si>
  <si>
    <t>Cestelia</t>
  </si>
  <si>
    <t>Charmaine</t>
  </si>
  <si>
    <t>Eva</t>
  </si>
  <si>
    <t>Awelda</t>
  </si>
  <si>
    <t>Yessenia</t>
  </si>
  <si>
    <t>Waleska</t>
  </si>
  <si>
    <t>Vasili</t>
  </si>
  <si>
    <t>Hermilo</t>
  </si>
  <si>
    <t>Halima</t>
  </si>
  <si>
    <t>Eleanor</t>
  </si>
  <si>
    <t>Alonso</t>
  </si>
  <si>
    <t>Magdalen</t>
  </si>
  <si>
    <t>Donnet</t>
  </si>
  <si>
    <t>Dena</t>
  </si>
  <si>
    <t>June</t>
  </si>
  <si>
    <t>Tanzea</t>
  </si>
  <si>
    <t>Primie</t>
  </si>
  <si>
    <t>Carmella</t>
  </si>
  <si>
    <t>Justina</t>
  </si>
  <si>
    <t>Revone</t>
  </si>
  <si>
    <t>Carl</t>
  </si>
  <si>
    <t>Ardell</t>
  </si>
  <si>
    <t>Dennis</t>
  </si>
  <si>
    <t>Audelle</t>
  </si>
  <si>
    <t>Shasha</t>
  </si>
  <si>
    <t>Tricia</t>
  </si>
  <si>
    <t>Marc</t>
  </si>
  <si>
    <t>Thelma</t>
  </si>
  <si>
    <t>Novlette</t>
  </si>
  <si>
    <t>Delma</t>
  </si>
  <si>
    <t>Atef</t>
  </si>
  <si>
    <t>Gilda</t>
  </si>
  <si>
    <t>Cheryll</t>
  </si>
  <si>
    <t>Donnamarie</t>
  </si>
  <si>
    <t>Joanice</t>
  </si>
  <si>
    <t>Martin</t>
  </si>
  <si>
    <t>Desrine</t>
  </si>
  <si>
    <t>Lysander</t>
  </si>
  <si>
    <t>Lipa</t>
  </si>
  <si>
    <t>Muthana</t>
  </si>
  <si>
    <t>Brooks</t>
  </si>
  <si>
    <t>Morales</t>
  </si>
  <si>
    <t>Hall</t>
  </si>
  <si>
    <t>Holley</t>
  </si>
  <si>
    <t>Colbourne</t>
  </si>
  <si>
    <t>Lino</t>
  </si>
  <si>
    <t>Evans</t>
  </si>
  <si>
    <t>Nunoo-Brown</t>
  </si>
  <si>
    <t>Codrington</t>
  </si>
  <si>
    <t>Harry</t>
  </si>
  <si>
    <t>Rosado</t>
  </si>
  <si>
    <t>Bratcher</t>
  </si>
  <si>
    <t>Morillo</t>
  </si>
  <si>
    <t>BELLINGER</t>
  </si>
  <si>
    <t>Ricardi</t>
  </si>
  <si>
    <t>Samuels</t>
  </si>
  <si>
    <t>Machado</t>
  </si>
  <si>
    <t>Jones</t>
  </si>
  <si>
    <t>Cruz</t>
  </si>
  <si>
    <t>Voltaire</t>
  </si>
  <si>
    <t>Mendoza</t>
  </si>
  <si>
    <t>Lifton</t>
  </si>
  <si>
    <t>Hampden</t>
  </si>
  <si>
    <t>Greene</t>
  </si>
  <si>
    <t>Arias</t>
  </si>
  <si>
    <t>Graham</t>
  </si>
  <si>
    <t>Cottingham</t>
  </si>
  <si>
    <t>King</t>
  </si>
  <si>
    <t>Pattern</t>
  </si>
  <si>
    <t>LaChaux</t>
  </si>
  <si>
    <t>Markovskyi</t>
  </si>
  <si>
    <t>Vasquez Rivas</t>
  </si>
  <si>
    <t>MARTINEZ</t>
  </si>
  <si>
    <t>Espinal</t>
  </si>
  <si>
    <t>Calderon</t>
  </si>
  <si>
    <t>Pachnanda</t>
  </si>
  <si>
    <t>Rivera</t>
  </si>
  <si>
    <t>Eremeyev</t>
  </si>
  <si>
    <t>Ye</t>
  </si>
  <si>
    <t>Thompson</t>
  </si>
  <si>
    <t>Adams</t>
  </si>
  <si>
    <t>Baptiste</t>
  </si>
  <si>
    <t>Casey</t>
  </si>
  <si>
    <t>Harper</t>
  </si>
  <si>
    <t>Davidova</t>
  </si>
  <si>
    <t>Lopez</t>
  </si>
  <si>
    <t>Jackson</t>
  </si>
  <si>
    <t>Lennon</t>
  </si>
  <si>
    <t>Granger</t>
  </si>
  <si>
    <t>Rosenbaum</t>
  </si>
  <si>
    <t>Birney</t>
  </si>
  <si>
    <t>Guido</t>
  </si>
  <si>
    <t>Decarmine</t>
  </si>
  <si>
    <t>Santana</t>
  </si>
  <si>
    <t>Benn</t>
  </si>
  <si>
    <t>Canada</t>
  </si>
  <si>
    <t>Padilla</t>
  </si>
  <si>
    <t>Ortiz</t>
  </si>
  <si>
    <t>Wheeler</t>
  </si>
  <si>
    <t>Zaurov</t>
  </si>
  <si>
    <t>Mateen</t>
  </si>
  <si>
    <t>Cooper</t>
  </si>
  <si>
    <t>Duhaney</t>
  </si>
  <si>
    <t>Martinez</t>
  </si>
  <si>
    <t>Llompart</t>
  </si>
  <si>
    <t>Wang</t>
  </si>
  <si>
    <t>Angus</t>
  </si>
  <si>
    <t>Kavaliou</t>
  </si>
  <si>
    <t>Woodall</t>
  </si>
  <si>
    <t>Cousins</t>
  </si>
  <si>
    <t>Abuhamdeh</t>
  </si>
  <si>
    <t>Luk</t>
  </si>
  <si>
    <t>Osuala</t>
  </si>
  <si>
    <t>Premsler</t>
  </si>
  <si>
    <t>Rosello</t>
  </si>
  <si>
    <t>Preato</t>
  </si>
  <si>
    <t>Jean-Baptiste</t>
  </si>
  <si>
    <t>Hernandez</t>
  </si>
  <si>
    <t>Robinson</t>
  </si>
  <si>
    <t>Motayne</t>
  </si>
  <si>
    <t>Kenneh</t>
  </si>
  <si>
    <t>Kramlich</t>
  </si>
  <si>
    <t>Kligler</t>
  </si>
  <si>
    <t>Saparova</t>
  </si>
  <si>
    <t>Shtilvaser</t>
  </si>
  <si>
    <t>Teytel</t>
  </si>
  <si>
    <t>Valerio</t>
  </si>
  <si>
    <t>Sheyer</t>
  </si>
  <si>
    <t>Weston</t>
  </si>
  <si>
    <t>Dimson</t>
  </si>
  <si>
    <t>Espinoza</t>
  </si>
  <si>
    <t>Payne</t>
  </si>
  <si>
    <t>Garcia perez</t>
  </si>
  <si>
    <t>Tesoriero</t>
  </si>
  <si>
    <t>Dunbar</t>
  </si>
  <si>
    <t>Kruse</t>
  </si>
  <si>
    <t>Valentin</t>
  </si>
  <si>
    <t>Abdullah-Greene</t>
  </si>
  <si>
    <t>Loadholt</t>
  </si>
  <si>
    <t>Torres</t>
  </si>
  <si>
    <t>Keita</t>
  </si>
  <si>
    <t>Brown</t>
  </si>
  <si>
    <t>Covington</t>
  </si>
  <si>
    <t>Duong</t>
  </si>
  <si>
    <t>Mills</t>
  </si>
  <si>
    <t>Del Valle</t>
  </si>
  <si>
    <t>Davis</t>
  </si>
  <si>
    <t>Rivas</t>
  </si>
  <si>
    <t>Dortch</t>
  </si>
  <si>
    <t>Wojcik</t>
  </si>
  <si>
    <t>Pichardo</t>
  </si>
  <si>
    <t>Reid</t>
  </si>
  <si>
    <t>De Jesus</t>
  </si>
  <si>
    <t>Garcia</t>
  </si>
  <si>
    <t>Alicea</t>
  </si>
  <si>
    <t>Quian</t>
  </si>
  <si>
    <t>Shea</t>
  </si>
  <si>
    <t>Rodriguez</t>
  </si>
  <si>
    <t>Augustus</t>
  </si>
  <si>
    <t>Sneddon</t>
  </si>
  <si>
    <t>Vasquez</t>
  </si>
  <si>
    <t>Pilgrim</t>
  </si>
  <si>
    <t>Williams</t>
  </si>
  <si>
    <t>Gercke</t>
  </si>
  <si>
    <t>Lezama</t>
  </si>
  <si>
    <t>Ramos</t>
  </si>
  <si>
    <t>O'neal</t>
  </si>
  <si>
    <t>Spanover</t>
  </si>
  <si>
    <t>Kirby</t>
  </si>
  <si>
    <t>Harding</t>
  </si>
  <si>
    <t>VELEZ</t>
  </si>
  <si>
    <t>Beaubrauth</t>
  </si>
  <si>
    <t>Cacicio</t>
  </si>
  <si>
    <t>Perez</t>
  </si>
  <si>
    <t>Armwood</t>
  </si>
  <si>
    <t>Maron</t>
  </si>
  <si>
    <t>Uzilov</t>
  </si>
  <si>
    <t>Straw</t>
  </si>
  <si>
    <t>Amedeka</t>
  </si>
  <si>
    <t>Tillman</t>
  </si>
  <si>
    <t>McBride</t>
  </si>
  <si>
    <t>McCutter</t>
  </si>
  <si>
    <t>Cropper</t>
  </si>
  <si>
    <t>Oleynikova</t>
  </si>
  <si>
    <t>Celestin</t>
  </si>
  <si>
    <t>Asemota</t>
  </si>
  <si>
    <t>Berger</t>
  </si>
  <si>
    <t>Rudder</t>
  </si>
  <si>
    <t>Creech</t>
  </si>
  <si>
    <t>Chavez</t>
  </si>
  <si>
    <t>Swinson</t>
  </si>
  <si>
    <t>Ledesma</t>
  </si>
  <si>
    <t>Maurino</t>
  </si>
  <si>
    <t>Kerwick</t>
  </si>
  <si>
    <t>Jhonson</t>
  </si>
  <si>
    <t>Small</t>
  </si>
  <si>
    <t>Velez</t>
  </si>
  <si>
    <t>Lopez Campos</t>
  </si>
  <si>
    <t>Amirdjanyan</t>
  </si>
  <si>
    <t>Valiente</t>
  </si>
  <si>
    <t>Lake</t>
  </si>
  <si>
    <t>Daczo</t>
  </si>
  <si>
    <t>Tapia</t>
  </si>
  <si>
    <t>Vargas</t>
  </si>
  <si>
    <t>Astor</t>
  </si>
  <si>
    <t>Kurtz</t>
  </si>
  <si>
    <t>Chu</t>
  </si>
  <si>
    <t>Kalinkovitskiy</t>
  </si>
  <si>
    <t>Quezada</t>
  </si>
  <si>
    <t>Natalio</t>
  </si>
  <si>
    <t>Martillo Cruz</t>
  </si>
  <si>
    <t>Meza Mendez</t>
  </si>
  <si>
    <t>Gomez</t>
  </si>
  <si>
    <t>Shahid</t>
  </si>
  <si>
    <t>Ferrin</t>
  </si>
  <si>
    <t>Lewandowski</t>
  </si>
  <si>
    <t>Parkhalyuk</t>
  </si>
  <si>
    <t>Babineau</t>
  </si>
  <si>
    <t>Soto</t>
  </si>
  <si>
    <t>Bing</t>
  </si>
  <si>
    <t>Moskowitz</t>
  </si>
  <si>
    <t>Cole</t>
  </si>
  <si>
    <t>Ramirez</t>
  </si>
  <si>
    <t>Keitt</t>
  </si>
  <si>
    <t>Oliveira</t>
  </si>
  <si>
    <t>Banks</t>
  </si>
  <si>
    <t>Guerrero</t>
  </si>
  <si>
    <t>Oliver</t>
  </si>
  <si>
    <t>Castillo Lino</t>
  </si>
  <si>
    <t>Shabazz</t>
  </si>
  <si>
    <t>Moye</t>
  </si>
  <si>
    <t>Osiris</t>
  </si>
  <si>
    <t>Rojas</t>
  </si>
  <si>
    <t>Pollas</t>
  </si>
  <si>
    <t>Pchelka</t>
  </si>
  <si>
    <t>Rodgers</t>
  </si>
  <si>
    <t>Sanchez</t>
  </si>
  <si>
    <t>Bazilio</t>
  </si>
  <si>
    <t>Reed</t>
  </si>
  <si>
    <t>Grayson</t>
  </si>
  <si>
    <t>Colon</t>
  </si>
  <si>
    <t>Droury</t>
  </si>
  <si>
    <t>Moreno</t>
  </si>
  <si>
    <t>Kemp</t>
  </si>
  <si>
    <t>Sutton</t>
  </si>
  <si>
    <t>Harris</t>
  </si>
  <si>
    <t>Lewis</t>
  </si>
  <si>
    <t>Scwlall</t>
  </si>
  <si>
    <t>Belton</t>
  </si>
  <si>
    <t>Gu</t>
  </si>
  <si>
    <t>WOLFE</t>
  </si>
  <si>
    <t>Robertson</t>
  </si>
  <si>
    <t>Mayo</t>
  </si>
  <si>
    <t>Marku</t>
  </si>
  <si>
    <t>Lane</t>
  </si>
  <si>
    <t>Lohmeier</t>
  </si>
  <si>
    <t>Medrano</t>
  </si>
  <si>
    <t>Edwards</t>
  </si>
  <si>
    <t>Miller</t>
  </si>
  <si>
    <t>Gllegos</t>
  </si>
  <si>
    <t>Dieng</t>
  </si>
  <si>
    <t>Rizzo</t>
  </si>
  <si>
    <t>Moore</t>
  </si>
  <si>
    <t>Walker</t>
  </si>
  <si>
    <t>Barnes</t>
  </si>
  <si>
    <t>Romeo</t>
  </si>
  <si>
    <t>daLuz</t>
  </si>
  <si>
    <t>Taylor</t>
  </si>
  <si>
    <t>Cody</t>
  </si>
  <si>
    <t>Threatt</t>
  </si>
  <si>
    <t>Liu</t>
  </si>
  <si>
    <t>Millington</t>
  </si>
  <si>
    <t>Kohl</t>
  </si>
  <si>
    <t>White</t>
  </si>
  <si>
    <t>Akosa</t>
  </si>
  <si>
    <t>Tompkins</t>
  </si>
  <si>
    <t>Vero</t>
  </si>
  <si>
    <t>Nuraina</t>
  </si>
  <si>
    <t>Deluca</t>
  </si>
  <si>
    <t>Hamilton</t>
  </si>
  <si>
    <t>Bovell-Box</t>
  </si>
  <si>
    <t>Drayton</t>
  </si>
  <si>
    <t>Shmueli</t>
  </si>
  <si>
    <t>Branch</t>
  </si>
  <si>
    <t>Jonesw</t>
  </si>
  <si>
    <t>pigott</t>
  </si>
  <si>
    <t>Corley</t>
  </si>
  <si>
    <t>Diaz</t>
  </si>
  <si>
    <t>Love</t>
  </si>
  <si>
    <t>Nunez</t>
  </si>
  <si>
    <t>Arce</t>
  </si>
  <si>
    <t>Pennell</t>
  </si>
  <si>
    <t>Paley</t>
  </si>
  <si>
    <t>Smith</t>
  </si>
  <si>
    <t>Minuent</t>
  </si>
  <si>
    <t>Backer</t>
  </si>
  <si>
    <t>Perry</t>
  </si>
  <si>
    <t>Urena</t>
  </si>
  <si>
    <t>Lambert</t>
  </si>
  <si>
    <t>SIMMONS</t>
  </si>
  <si>
    <t>Slowe</t>
  </si>
  <si>
    <t>Gbegnedji</t>
  </si>
  <si>
    <t>Hinton</t>
  </si>
  <si>
    <t>Onguko</t>
  </si>
  <si>
    <t>Paterno</t>
  </si>
  <si>
    <t>Bishop</t>
  </si>
  <si>
    <t>carrasco</t>
  </si>
  <si>
    <t>Asforis</t>
  </si>
  <si>
    <t>McFarland</t>
  </si>
  <si>
    <t>Cherry</t>
  </si>
  <si>
    <t>Mordechey</t>
  </si>
  <si>
    <t>Ramroop</t>
  </si>
  <si>
    <t>Ranger</t>
  </si>
  <si>
    <t>Etienne</t>
  </si>
  <si>
    <t>Semper</t>
  </si>
  <si>
    <t>Brito</t>
  </si>
  <si>
    <t>Hopkins</t>
  </si>
  <si>
    <t>Venaglia</t>
  </si>
  <si>
    <t>Acevedo</t>
  </si>
  <si>
    <t>Briggs</t>
  </si>
  <si>
    <t>Hidalgo</t>
  </si>
  <si>
    <t>Heron</t>
  </si>
  <si>
    <t>Macchi</t>
  </si>
  <si>
    <t>Hoffman</t>
  </si>
  <si>
    <t>Howard</t>
  </si>
  <si>
    <t>Kilichowski</t>
  </si>
  <si>
    <t>Dinolis</t>
  </si>
  <si>
    <t>Mizrahi</t>
  </si>
  <si>
    <t>Chin</t>
  </si>
  <si>
    <t>Bordeaux</t>
  </si>
  <si>
    <t>Lowe</t>
  </si>
  <si>
    <t>Pierre</t>
  </si>
  <si>
    <t>Baria</t>
  </si>
  <si>
    <t>Wilshire</t>
  </si>
  <si>
    <t>Reyes</t>
  </si>
  <si>
    <t>Rotger</t>
  </si>
  <si>
    <t>Solis</t>
  </si>
  <si>
    <t>Heath</t>
  </si>
  <si>
    <t>Berlin</t>
  </si>
  <si>
    <t>Urban</t>
  </si>
  <si>
    <t>Zabezhinsky</t>
  </si>
  <si>
    <t>Vega-Rivera</t>
  </si>
  <si>
    <t>Mays</t>
  </si>
  <si>
    <t>Sanders</t>
  </si>
  <si>
    <t>Irizarry</t>
  </si>
  <si>
    <t>Escalante</t>
  </si>
  <si>
    <t>Frankel</t>
  </si>
  <si>
    <t>Portuondo</t>
  </si>
  <si>
    <t>Navarette</t>
  </si>
  <si>
    <t>Farrell</t>
  </si>
  <si>
    <t>Jacobs</t>
  </si>
  <si>
    <t>Huang</t>
  </si>
  <si>
    <t>Betancourt</t>
  </si>
  <si>
    <t>Strahan</t>
  </si>
  <si>
    <t>Awais</t>
  </si>
  <si>
    <t>Barefoot</t>
  </si>
  <si>
    <t>Alkobadi</t>
  </si>
  <si>
    <t>Sutherland</t>
  </si>
  <si>
    <t>Cianflone Oliveri</t>
  </si>
  <si>
    <t>Irving</t>
  </si>
  <si>
    <t>Ciaramella</t>
  </si>
  <si>
    <t>Moton</t>
  </si>
  <si>
    <t>Hunter</t>
  </si>
  <si>
    <t>Elk</t>
  </si>
  <si>
    <t>Hill</t>
  </si>
  <si>
    <t>Roberts</t>
  </si>
  <si>
    <t>Magassa</t>
  </si>
  <si>
    <t>Ezinwa</t>
  </si>
  <si>
    <t>Ortega</t>
  </si>
  <si>
    <t>Castronovo</t>
  </si>
  <si>
    <t>Bazil</t>
  </si>
  <si>
    <t>Valle</t>
  </si>
  <si>
    <t>Weider</t>
  </si>
  <si>
    <t>Toussaint</t>
  </si>
  <si>
    <t>Blackwell</t>
  </si>
  <si>
    <t>Bunn</t>
  </si>
  <si>
    <t>Maldonado</t>
  </si>
  <si>
    <t>Nino</t>
  </si>
  <si>
    <t>Pizicas</t>
  </si>
  <si>
    <t>Castro</t>
  </si>
  <si>
    <t>Gibson</t>
  </si>
  <si>
    <t>Coleman Raybe</t>
  </si>
  <si>
    <t>Nadeau</t>
  </si>
  <si>
    <t>Gill</t>
  </si>
  <si>
    <t>Sinclair</t>
  </si>
  <si>
    <t>Duncan</t>
  </si>
  <si>
    <t>Albright</t>
  </si>
  <si>
    <t>Macklin</t>
  </si>
  <si>
    <t>Soriano</t>
  </si>
  <si>
    <t>Dosso</t>
  </si>
  <si>
    <t>Shaljanin</t>
  </si>
  <si>
    <t>Spira</t>
  </si>
  <si>
    <t>Oxford</t>
  </si>
  <si>
    <t>Huerta</t>
  </si>
  <si>
    <t>Husbands-Brice</t>
  </si>
  <si>
    <t>Hutaf</t>
  </si>
  <si>
    <t>McClean</t>
  </si>
  <si>
    <t>Jeter</t>
  </si>
  <si>
    <t>Piccolo</t>
  </si>
  <si>
    <t>Maxwell</t>
  </si>
  <si>
    <t>Peralta</t>
  </si>
  <si>
    <t>Deoleo</t>
  </si>
  <si>
    <t>Gil</t>
  </si>
  <si>
    <t>Greif</t>
  </si>
  <si>
    <t>Keppel</t>
  </si>
  <si>
    <t>Stuckey</t>
  </si>
  <si>
    <t>Onofre</t>
  </si>
  <si>
    <t>Clowney</t>
  </si>
  <si>
    <t>Castellano</t>
  </si>
  <si>
    <t>Nesbitt</t>
  </si>
  <si>
    <t>Gonzalez</t>
  </si>
  <si>
    <t>Rambally</t>
  </si>
  <si>
    <t>Falcon</t>
  </si>
  <si>
    <t>Kante</t>
  </si>
  <si>
    <t>Dormeus</t>
  </si>
  <si>
    <t>Hunt</t>
  </si>
  <si>
    <t>Franks</t>
  </si>
  <si>
    <t>Grubisin</t>
  </si>
  <si>
    <t>DeGeorge</t>
  </si>
  <si>
    <t>Suarez</t>
  </si>
  <si>
    <t>Baez</t>
  </si>
  <si>
    <t>Pabon</t>
  </si>
  <si>
    <t>Rolon</t>
  </si>
  <si>
    <t>Munroe</t>
  </si>
  <si>
    <t>Green</t>
  </si>
  <si>
    <t>Justiniano</t>
  </si>
  <si>
    <t>Williamson</t>
  </si>
  <si>
    <t>Danraj Smith</t>
  </si>
  <si>
    <t>Fals</t>
  </si>
  <si>
    <t>Jonnson</t>
  </si>
  <si>
    <t>Myles</t>
  </si>
  <si>
    <t>Albano</t>
  </si>
  <si>
    <t>Matias</t>
  </si>
  <si>
    <t>Sergiyenko</t>
  </si>
  <si>
    <t>Nieves</t>
  </si>
  <si>
    <t>Zollo</t>
  </si>
  <si>
    <t>Jack</t>
  </si>
  <si>
    <t>Dematos</t>
  </si>
  <si>
    <t>Demmouch</t>
  </si>
  <si>
    <t>Rajkumar</t>
  </si>
  <si>
    <t>Layden</t>
  </si>
  <si>
    <t>Henderson</t>
  </si>
  <si>
    <t>Watts</t>
  </si>
  <si>
    <t>Rhodes-Wiggins</t>
  </si>
  <si>
    <t>Butler</t>
  </si>
  <si>
    <t>Agudelo</t>
  </si>
  <si>
    <t>Reddy</t>
  </si>
  <si>
    <t>Gurino</t>
  </si>
  <si>
    <t>Paca</t>
  </si>
  <si>
    <t>Akther</t>
  </si>
  <si>
    <t>Weigand</t>
  </si>
  <si>
    <t>Montero</t>
  </si>
  <si>
    <t>Morrison</t>
  </si>
  <si>
    <t>Bernard</t>
  </si>
  <si>
    <t>Faiad</t>
  </si>
  <si>
    <t>Tinkelman</t>
  </si>
  <si>
    <t>Keshishev</t>
  </si>
  <si>
    <t>Wolf</t>
  </si>
  <si>
    <t>Partin</t>
  </si>
  <si>
    <t>Calaf</t>
  </si>
  <si>
    <t>Semenova</t>
  </si>
  <si>
    <t>Pimentel</t>
  </si>
  <si>
    <t>Jackmen</t>
  </si>
  <si>
    <t>Laurencin</t>
  </si>
  <si>
    <t>Ousmane</t>
  </si>
  <si>
    <t>Asencio</t>
  </si>
  <si>
    <t>Aca</t>
  </si>
  <si>
    <t>Malone</t>
  </si>
  <si>
    <t>Spielmann</t>
  </si>
  <si>
    <t>Abrams</t>
  </si>
  <si>
    <t>Jamerson</t>
  </si>
  <si>
    <t>Plaks</t>
  </si>
  <si>
    <t>Litvinov</t>
  </si>
  <si>
    <t>Shoulenko</t>
  </si>
  <si>
    <t>Geller</t>
  </si>
  <si>
    <t>Maryash</t>
  </si>
  <si>
    <t>Balletta</t>
  </si>
  <si>
    <t>Wells</t>
  </si>
  <si>
    <t>Leach</t>
  </si>
  <si>
    <t>Mack</t>
  </si>
  <si>
    <t>McCray</t>
  </si>
  <si>
    <t>Batista</t>
  </si>
  <si>
    <t>Novas</t>
  </si>
  <si>
    <t>Morel</t>
  </si>
  <si>
    <t>Molina</t>
  </si>
  <si>
    <t>Kuka</t>
  </si>
  <si>
    <t>Mobley</t>
  </si>
  <si>
    <t>Whitely</t>
  </si>
  <si>
    <t>Terrell</t>
  </si>
  <si>
    <t>Clark</t>
  </si>
  <si>
    <t>Jimenez</t>
  </si>
  <si>
    <t>Curiel</t>
  </si>
  <si>
    <t>RIOS</t>
  </si>
  <si>
    <t>concepcion</t>
  </si>
  <si>
    <t>Liounis</t>
  </si>
  <si>
    <t>Jefferson</t>
  </si>
  <si>
    <t>Mumuni</t>
  </si>
  <si>
    <t>Humphrey</t>
  </si>
  <si>
    <t>McKinley</t>
  </si>
  <si>
    <t>Echevarria</t>
  </si>
  <si>
    <t>Rivera Tovar</t>
  </si>
  <si>
    <t>Chauncey</t>
  </si>
  <si>
    <t>Bray</t>
  </si>
  <si>
    <t>Camara</t>
  </si>
  <si>
    <t>Gorobets</t>
  </si>
  <si>
    <t>Pazo</t>
  </si>
  <si>
    <t>McCall</t>
  </si>
  <si>
    <t>Saleem Akbar</t>
  </si>
  <si>
    <t>Cardona</t>
  </si>
  <si>
    <t>Henry</t>
  </si>
  <si>
    <t>Portnoy</t>
  </si>
  <si>
    <t>Vazquez</t>
  </si>
  <si>
    <t>Fernandez</t>
  </si>
  <si>
    <t>Tejada</t>
  </si>
  <si>
    <t>Pitroipa</t>
  </si>
  <si>
    <t>Hubbard</t>
  </si>
  <si>
    <t>Cano</t>
  </si>
  <si>
    <t>Yaeoob</t>
  </si>
  <si>
    <t>Moss</t>
  </si>
  <si>
    <t>Price</t>
  </si>
  <si>
    <t>McKie</t>
  </si>
  <si>
    <t>Carusone</t>
  </si>
  <si>
    <t>Weekes</t>
  </si>
  <si>
    <t>Klein</t>
  </si>
  <si>
    <t>Mathis</t>
  </si>
  <si>
    <t>Onikute-Arifu</t>
  </si>
  <si>
    <t>Hermann</t>
  </si>
  <si>
    <t>Espinal Rivera</t>
  </si>
  <si>
    <t>Ellerby</t>
  </si>
  <si>
    <t>Villalba</t>
  </si>
  <si>
    <t>Tartt</t>
  </si>
  <si>
    <t>Haft</t>
  </si>
  <si>
    <t>Gaskin</t>
  </si>
  <si>
    <t>Faison</t>
  </si>
  <si>
    <t>Hughes</t>
  </si>
  <si>
    <t>Saturnin</t>
  </si>
  <si>
    <t>Azanero</t>
  </si>
  <si>
    <t>Murillo</t>
  </si>
  <si>
    <t>Adjeyi</t>
  </si>
  <si>
    <t>Sherby</t>
  </si>
  <si>
    <t>Patillo</t>
  </si>
  <si>
    <t>Fridman</t>
  </si>
  <si>
    <t>Jobe</t>
  </si>
  <si>
    <t>Lesley</t>
  </si>
  <si>
    <t>Sosa Salcedo</t>
  </si>
  <si>
    <t>Diallo</t>
  </si>
  <si>
    <t>Haque</t>
  </si>
  <si>
    <t>Crawford</t>
  </si>
  <si>
    <t>motley</t>
  </si>
  <si>
    <t>Daysudova</t>
  </si>
  <si>
    <t>Trigub</t>
  </si>
  <si>
    <t>Jafar</t>
  </si>
  <si>
    <t>Oliva</t>
  </si>
  <si>
    <t>Rosenbluth</t>
  </si>
  <si>
    <t>Ashwood</t>
  </si>
  <si>
    <t>Hayes</t>
  </si>
  <si>
    <t>McGrane</t>
  </si>
  <si>
    <t>Jaipaul</t>
  </si>
  <si>
    <t>Ross</t>
  </si>
  <si>
    <t>Khnanisho</t>
  </si>
  <si>
    <t>Jacobs-Athill</t>
  </si>
  <si>
    <t>Munzer</t>
  </si>
  <si>
    <t>Mendez</t>
  </si>
  <si>
    <t>Pinkhasov</t>
  </si>
  <si>
    <t>Emanuel</t>
  </si>
  <si>
    <t>Beato</t>
  </si>
  <si>
    <t>McCullough</t>
  </si>
  <si>
    <t>Abdullah</t>
  </si>
  <si>
    <t>Czerniak</t>
  </si>
  <si>
    <t>Shapiro</t>
  </si>
  <si>
    <t>Goldenberg</t>
  </si>
  <si>
    <t>Avshalomov</t>
  </si>
  <si>
    <t>Childs</t>
  </si>
  <si>
    <t>Sheen</t>
  </si>
  <si>
    <t>Islam</t>
  </si>
  <si>
    <t>Mahon</t>
  </si>
  <si>
    <t>Dominguez</t>
  </si>
  <si>
    <t>Tolbert</t>
  </si>
  <si>
    <t>Shaw</t>
  </si>
  <si>
    <t>Desse</t>
  </si>
  <si>
    <t>Pan</t>
  </si>
  <si>
    <t>Logan</t>
  </si>
  <si>
    <t>Khan</t>
  </si>
  <si>
    <t>Burgess</t>
  </si>
  <si>
    <t>Yoon</t>
  </si>
  <si>
    <t>Qian</t>
  </si>
  <si>
    <t>Hoffmann</t>
  </si>
  <si>
    <t>Silverman</t>
  </si>
  <si>
    <t>Ben Aaman</t>
  </si>
  <si>
    <t>Chee A Tow</t>
  </si>
  <si>
    <t>Paulino</t>
  </si>
  <si>
    <t>Joakim</t>
  </si>
  <si>
    <t>Cornielle</t>
  </si>
  <si>
    <t>Boston</t>
  </si>
  <si>
    <t>Arevelo</t>
  </si>
  <si>
    <t>Francis</t>
  </si>
  <si>
    <t>Maksimar</t>
  </si>
  <si>
    <t>Monroy</t>
  </si>
  <si>
    <t>Haynes</t>
  </si>
  <si>
    <t>Bond</t>
  </si>
  <si>
    <t>Nicholson</t>
  </si>
  <si>
    <t>Phillips</t>
  </si>
  <si>
    <t>Ennis</t>
  </si>
  <si>
    <t>McCants</t>
  </si>
  <si>
    <t>Knight</t>
  </si>
  <si>
    <t>El Saleh</t>
  </si>
  <si>
    <t>Avis</t>
  </si>
  <si>
    <t>Cerrato</t>
  </si>
  <si>
    <t>Burstin</t>
  </si>
  <si>
    <t>McClendon</t>
  </si>
  <si>
    <t>Madraveren</t>
  </si>
  <si>
    <t>Sankar</t>
  </si>
  <si>
    <t>Skinner</t>
  </si>
  <si>
    <t>Oppenheimer</t>
  </si>
  <si>
    <t>Powers</t>
  </si>
  <si>
    <t>Lopardo</t>
  </si>
  <si>
    <t>Mahadeo</t>
  </si>
  <si>
    <t>Chambers</t>
  </si>
  <si>
    <t>Mansor</t>
  </si>
  <si>
    <t>Roche</t>
  </si>
  <si>
    <t>Scott-Biris</t>
  </si>
  <si>
    <t>Vaca</t>
  </si>
  <si>
    <t>Brignolle</t>
  </si>
  <si>
    <t>Piper</t>
  </si>
  <si>
    <t>Pena</t>
  </si>
  <si>
    <t>Bethea</t>
  </si>
  <si>
    <t>Roopnarine</t>
  </si>
  <si>
    <t>Negron</t>
  </si>
  <si>
    <t>Qiu</t>
  </si>
  <si>
    <t>Henriquez</t>
  </si>
  <si>
    <t>Parla-Edwards</t>
  </si>
  <si>
    <t>Almonor</t>
  </si>
  <si>
    <t>Romer</t>
  </si>
  <si>
    <t>Esberry</t>
  </si>
  <si>
    <t>Clemencia</t>
  </si>
  <si>
    <t>Lasker</t>
  </si>
  <si>
    <t>Harrison</t>
  </si>
  <si>
    <t>Amerally</t>
  </si>
  <si>
    <t>Jean Baptiste</t>
  </si>
  <si>
    <t>Jordan</t>
  </si>
  <si>
    <t>Thompson-Dean Bailey</t>
  </si>
  <si>
    <t>Chan</t>
  </si>
  <si>
    <t>Placide</t>
  </si>
  <si>
    <t>Doolen</t>
  </si>
  <si>
    <t>Phung</t>
  </si>
  <si>
    <t>Frazier</t>
  </si>
  <si>
    <t>Ying</t>
  </si>
  <si>
    <t>Chowdhury</t>
  </si>
  <si>
    <t>Olabiwonnu</t>
  </si>
  <si>
    <t>Uriel</t>
  </si>
  <si>
    <t>Michel</t>
  </si>
  <si>
    <t>Higgins</t>
  </si>
  <si>
    <t>Willis</t>
  </si>
  <si>
    <t>Flores</t>
  </si>
  <si>
    <t>Leibowitz</t>
  </si>
  <si>
    <t>Rodriguez Rodado</t>
  </si>
  <si>
    <t>Mancuso</t>
  </si>
  <si>
    <t>Karim</t>
  </si>
  <si>
    <t>Carbonell</t>
  </si>
  <si>
    <t>Cabrera</t>
  </si>
  <si>
    <t>Clarke</t>
  </si>
  <si>
    <t>Richardson</t>
  </si>
  <si>
    <t>Janin</t>
  </si>
  <si>
    <t>Wright</t>
  </si>
  <si>
    <t>Sikder</t>
  </si>
  <si>
    <t>Wilson</t>
  </si>
  <si>
    <t>Santos</t>
  </si>
  <si>
    <t>Aktav</t>
  </si>
  <si>
    <t>Murrary</t>
  </si>
  <si>
    <t>Slaven</t>
  </si>
  <si>
    <t>Elie</t>
  </si>
  <si>
    <t>Estrella</t>
  </si>
  <si>
    <t>Hyde</t>
  </si>
  <si>
    <t>Georges</t>
  </si>
  <si>
    <t>Sebro</t>
  </si>
  <si>
    <t>McDuffie</t>
  </si>
  <si>
    <t>Noel</t>
  </si>
  <si>
    <t>Reid Rose</t>
  </si>
  <si>
    <t>Smalls</t>
  </si>
  <si>
    <t>Pichard</t>
  </si>
  <si>
    <t>Waiters</t>
  </si>
  <si>
    <t>Reinoso</t>
  </si>
  <si>
    <t>Collado</t>
  </si>
  <si>
    <t>Slacks</t>
  </si>
  <si>
    <t>Legette</t>
  </si>
  <si>
    <t>Alvarez</t>
  </si>
  <si>
    <t>Glover</t>
  </si>
  <si>
    <t>Vincenty</t>
  </si>
  <si>
    <t>Spaulding</t>
  </si>
  <si>
    <t>Chunara</t>
  </si>
  <si>
    <t>Quiles</t>
  </si>
  <si>
    <t>Kippes</t>
  </si>
  <si>
    <t>Segal</t>
  </si>
  <si>
    <t>Jenkins</t>
  </si>
  <si>
    <t>Hendricks</t>
  </si>
  <si>
    <t>Katselson</t>
  </si>
  <si>
    <t>Hassell</t>
  </si>
  <si>
    <t>Encalada</t>
  </si>
  <si>
    <t>Gutierrez</t>
  </si>
  <si>
    <t>Fallah</t>
  </si>
  <si>
    <t>Tuitt</t>
  </si>
  <si>
    <t>Thaw</t>
  </si>
  <si>
    <t>LeeBoo</t>
  </si>
  <si>
    <t>Sainsbury</t>
  </si>
  <si>
    <t>Roderiguez</t>
  </si>
  <si>
    <t>Clare</t>
  </si>
  <si>
    <t>Hirsch</t>
  </si>
  <si>
    <t>Ferguson</t>
  </si>
  <si>
    <t>Pantaleon</t>
  </si>
  <si>
    <t>Fredericks</t>
  </si>
  <si>
    <t>Melendez</t>
  </si>
  <si>
    <t>Cashman</t>
  </si>
  <si>
    <t>Orse</t>
  </si>
  <si>
    <t>Nihalani</t>
  </si>
  <si>
    <t>Bedoya</t>
  </si>
  <si>
    <t>Lee</t>
  </si>
  <si>
    <t>Bossa -Venecia</t>
  </si>
  <si>
    <t>Choudhury</t>
  </si>
  <si>
    <t>Castaneda</t>
  </si>
  <si>
    <t>Masney</t>
  </si>
  <si>
    <t>Pineda</t>
  </si>
  <si>
    <t>Conte</t>
  </si>
  <si>
    <t>Tovar</t>
  </si>
  <si>
    <t>Callam</t>
  </si>
  <si>
    <t>Stewart</t>
  </si>
  <si>
    <t>Polk</t>
  </si>
  <si>
    <t>Moseley-Bell</t>
  </si>
  <si>
    <t>England</t>
  </si>
  <si>
    <t>Peguero</t>
  </si>
  <si>
    <t>Messner</t>
  </si>
  <si>
    <t>Angulo</t>
  </si>
  <si>
    <t>Okata</t>
  </si>
  <si>
    <t>Lespin</t>
  </si>
  <si>
    <t>Mozeb</t>
  </si>
  <si>
    <t>Artamonova</t>
  </si>
  <si>
    <t>Heiman</t>
  </si>
  <si>
    <t>Fleuriment</t>
  </si>
  <si>
    <t>Fair</t>
  </si>
  <si>
    <t>Beltre</t>
  </si>
  <si>
    <t>Christie</t>
  </si>
  <si>
    <t>Valentine</t>
  </si>
  <si>
    <t>Lenkovskaya</t>
  </si>
  <si>
    <t>Florentino</t>
  </si>
  <si>
    <t>Porro</t>
  </si>
  <si>
    <t>Marte</t>
  </si>
  <si>
    <t>Medina</t>
  </si>
  <si>
    <t>Gil Abreu</t>
  </si>
  <si>
    <t>Samios</t>
  </si>
  <si>
    <t>Winckler</t>
  </si>
  <si>
    <t>Makinde</t>
  </si>
  <si>
    <t>McCarty</t>
  </si>
  <si>
    <t>Hartley</t>
  </si>
  <si>
    <t>Levitt</t>
  </si>
  <si>
    <t>Parris</t>
  </si>
  <si>
    <t>Amin</t>
  </si>
  <si>
    <t>Magnus</t>
  </si>
  <si>
    <t>Silverstein</t>
  </si>
  <si>
    <t>Gaye</t>
  </si>
  <si>
    <t>Aquino</t>
  </si>
  <si>
    <t>Carinci</t>
  </si>
  <si>
    <t>Adames</t>
  </si>
  <si>
    <t>Brown-Little</t>
  </si>
  <si>
    <t>Marquez</t>
  </si>
  <si>
    <t>Valdez</t>
  </si>
  <si>
    <t>Brudent</t>
  </si>
  <si>
    <t>De Leon</t>
  </si>
  <si>
    <t>Pio</t>
  </si>
  <si>
    <t>Dinanno</t>
  </si>
  <si>
    <t>Clyburn</t>
  </si>
  <si>
    <t>Sixtron</t>
  </si>
  <si>
    <t>Burns</t>
  </si>
  <si>
    <t>Araujo</t>
  </si>
  <si>
    <t>McGriff</t>
  </si>
  <si>
    <t>VanOss</t>
  </si>
  <si>
    <t>Carloquijano</t>
  </si>
  <si>
    <t>Rocco</t>
  </si>
  <si>
    <t>Benitez</t>
  </si>
  <si>
    <t>Faulden</t>
  </si>
  <si>
    <t>Uddin</t>
  </si>
  <si>
    <t>Kennedy</t>
  </si>
  <si>
    <t>Rosas-Mejia</t>
  </si>
  <si>
    <t>Laing</t>
  </si>
  <si>
    <t>Sena</t>
  </si>
  <si>
    <t>Morgan</t>
  </si>
  <si>
    <t>Landau</t>
  </si>
  <si>
    <t>Dejesus</t>
  </si>
  <si>
    <t>Johannes</t>
  </si>
  <si>
    <t>Erskine</t>
  </si>
  <si>
    <t>Chung</t>
  </si>
  <si>
    <t>Hargrove</t>
  </si>
  <si>
    <t>McGowan</t>
  </si>
  <si>
    <t>Ricciardi</t>
  </si>
  <si>
    <t>Lumchan</t>
  </si>
  <si>
    <t>romain</t>
  </si>
  <si>
    <t>Solano</t>
  </si>
  <si>
    <t>Faulknor</t>
  </si>
  <si>
    <t>Kressen</t>
  </si>
  <si>
    <t>Montano</t>
  </si>
  <si>
    <t>Cervantes</t>
  </si>
  <si>
    <t>Stein</t>
  </si>
  <si>
    <t>Varbero</t>
  </si>
  <si>
    <t>Usman</t>
  </si>
  <si>
    <t>Bonner</t>
  </si>
  <si>
    <t>Elharras</t>
  </si>
  <si>
    <t>Lebron</t>
  </si>
  <si>
    <t>Burnett</t>
  </si>
  <si>
    <t>Bowles</t>
  </si>
  <si>
    <t>Prude</t>
  </si>
  <si>
    <t>Bazemore</t>
  </si>
  <si>
    <t>Shelton</t>
  </si>
  <si>
    <t>RODRIGUEZ</t>
  </si>
  <si>
    <t>Wainwright</t>
  </si>
  <si>
    <t>Gorham</t>
  </si>
  <si>
    <t>Colasso</t>
  </si>
  <si>
    <t>Collins</t>
  </si>
  <si>
    <t>Veras</t>
  </si>
  <si>
    <t>Segura</t>
  </si>
  <si>
    <t>Lliguichuzhca</t>
  </si>
  <si>
    <t>Caraballo</t>
  </si>
  <si>
    <t>Costa</t>
  </si>
  <si>
    <t>Navarro</t>
  </si>
  <si>
    <t>Maillard</t>
  </si>
  <si>
    <t>Hooks</t>
  </si>
  <si>
    <t>Mojica</t>
  </si>
  <si>
    <t>Browne</t>
  </si>
  <si>
    <t>Davis-McMillian</t>
  </si>
  <si>
    <t>Pugh</t>
  </si>
  <si>
    <t>Ebanks</t>
  </si>
  <si>
    <t>McGhee</t>
  </si>
  <si>
    <t>Saint Louis</t>
  </si>
  <si>
    <t>Robateau</t>
  </si>
  <si>
    <t>Bates</t>
  </si>
  <si>
    <t>Finch</t>
  </si>
  <si>
    <t>Reynoso</t>
  </si>
  <si>
    <t>Mashriqui</t>
  </si>
  <si>
    <t>Larrier</t>
  </si>
  <si>
    <t>Washington Jones</t>
  </si>
  <si>
    <t>Carbajal</t>
  </si>
  <si>
    <t>Taveras</t>
  </si>
  <si>
    <t>Savattere</t>
  </si>
  <si>
    <t>Caple</t>
  </si>
  <si>
    <t>Villafane</t>
  </si>
  <si>
    <t>Chase</t>
  </si>
  <si>
    <t>Awer</t>
  </si>
  <si>
    <t>Baker</t>
  </si>
  <si>
    <t>Sumpter</t>
  </si>
  <si>
    <t>Marksman</t>
  </si>
  <si>
    <t>Lecorps</t>
  </si>
  <si>
    <t>Toone</t>
  </si>
  <si>
    <t>Singleton</t>
  </si>
  <si>
    <t>Monaco</t>
  </si>
  <si>
    <t>Trantham</t>
  </si>
  <si>
    <t>Spencer</t>
  </si>
  <si>
    <t>Duodo</t>
  </si>
  <si>
    <t>Abuqattam</t>
  </si>
  <si>
    <t>Hull</t>
  </si>
  <si>
    <t>Strambeanu</t>
  </si>
  <si>
    <t>Boyd</t>
  </si>
  <si>
    <t>Wilkinson</t>
  </si>
  <si>
    <t>Swarna</t>
  </si>
  <si>
    <t>Downing</t>
  </si>
  <si>
    <t>Best</t>
  </si>
  <si>
    <t>Engesser</t>
  </si>
  <si>
    <t>Guzman</t>
  </si>
  <si>
    <t>Feliz</t>
  </si>
  <si>
    <t>Robles</t>
  </si>
  <si>
    <t>Lincoln</t>
  </si>
  <si>
    <t>Duarte</t>
  </si>
  <si>
    <t>Romano</t>
  </si>
  <si>
    <t>Long</t>
  </si>
  <si>
    <t>Pek</t>
  </si>
  <si>
    <t>Nassar</t>
  </si>
  <si>
    <t>Blamo</t>
  </si>
  <si>
    <t>Hardy</t>
  </si>
  <si>
    <t>De la cruz</t>
  </si>
  <si>
    <t>Medero</t>
  </si>
  <si>
    <t>Fortuna</t>
  </si>
  <si>
    <t>Prater</t>
  </si>
  <si>
    <t>Correa</t>
  </si>
  <si>
    <t>Peteroy</t>
  </si>
  <si>
    <t>Fields</t>
  </si>
  <si>
    <t>Tarantola</t>
  </si>
  <si>
    <t>Akilov</t>
  </si>
  <si>
    <t>Razzaqi</t>
  </si>
  <si>
    <t>Payton</t>
  </si>
  <si>
    <t>Stackhouse</t>
  </si>
  <si>
    <t>Roberson</t>
  </si>
  <si>
    <t>Djekis</t>
  </si>
  <si>
    <t>Mitchell</t>
  </si>
  <si>
    <t>Mayers</t>
  </si>
  <si>
    <t>Rogers</t>
  </si>
  <si>
    <t>Korostyshevskiy</t>
  </si>
  <si>
    <t>Akter</t>
  </si>
  <si>
    <t>Banach</t>
  </si>
  <si>
    <t>Swinton</t>
  </si>
  <si>
    <t>Mahdi</t>
  </si>
  <si>
    <t>Pitter</t>
  </si>
  <si>
    <t>Larsen</t>
  </si>
  <si>
    <t>Castillo</t>
  </si>
  <si>
    <t>Rodas</t>
  </si>
  <si>
    <t>Ayala</t>
  </si>
  <si>
    <t>Marrero</t>
  </si>
  <si>
    <t>Vanable</t>
  </si>
  <si>
    <t>McCool</t>
  </si>
  <si>
    <t>Boone</t>
  </si>
  <si>
    <t>Tlatelpa</t>
  </si>
  <si>
    <t>Khanam</t>
  </si>
  <si>
    <t>Buchanan</t>
  </si>
  <si>
    <t>Bennett</t>
  </si>
  <si>
    <t>Griffin</t>
  </si>
  <si>
    <t>Vega</t>
  </si>
  <si>
    <t>Sterling</t>
  </si>
  <si>
    <t>Turner</t>
  </si>
  <si>
    <t>Parker</t>
  </si>
  <si>
    <t>Carmona</t>
  </si>
  <si>
    <t>Atkinson</t>
  </si>
  <si>
    <t>Arreaga</t>
  </si>
  <si>
    <t>Leon-Ramirez</t>
  </si>
  <si>
    <t>Konate</t>
  </si>
  <si>
    <t>Livingston</t>
  </si>
  <si>
    <t>Plaismond</t>
  </si>
  <si>
    <t>Barrow</t>
  </si>
  <si>
    <t>Gilliam</t>
  </si>
  <si>
    <t>Kinney</t>
  </si>
  <si>
    <t>Pender</t>
  </si>
  <si>
    <t>Fleury</t>
  </si>
  <si>
    <t>Serrano</t>
  </si>
  <si>
    <t>Ford</t>
  </si>
  <si>
    <t>Harley-Agyere</t>
  </si>
  <si>
    <t>Bovell</t>
  </si>
  <si>
    <t>Mena</t>
  </si>
  <si>
    <t>Merchant</t>
  </si>
  <si>
    <t>Marshall</t>
  </si>
  <si>
    <t>Scotland</t>
  </si>
  <si>
    <t>Warren</t>
  </si>
  <si>
    <t>Atencio</t>
  </si>
  <si>
    <t>Calhoun</t>
  </si>
  <si>
    <t>Norris</t>
  </si>
  <si>
    <t>Legions</t>
  </si>
  <si>
    <t>Rousseau</t>
  </si>
  <si>
    <t>Griggs</t>
  </si>
  <si>
    <t>Fowler</t>
  </si>
  <si>
    <t>Braswell</t>
  </si>
  <si>
    <t>Grant</t>
  </si>
  <si>
    <t>Folly</t>
  </si>
  <si>
    <t>Porter</t>
  </si>
  <si>
    <t>Mirles</t>
  </si>
  <si>
    <t>Bohannon</t>
  </si>
  <si>
    <t>Middleton</t>
  </si>
  <si>
    <t>Giron</t>
  </si>
  <si>
    <t>Abdul-Mani</t>
  </si>
  <si>
    <t>Muniz</t>
  </si>
  <si>
    <t>Lynch</t>
  </si>
  <si>
    <t>Ruiz</t>
  </si>
  <si>
    <t>Hewitt</t>
  </si>
  <si>
    <t>Villa</t>
  </si>
  <si>
    <t>Camacho</t>
  </si>
  <si>
    <t>Afzali</t>
  </si>
  <si>
    <t>Fonville</t>
  </si>
  <si>
    <t>Mbacke</t>
  </si>
  <si>
    <t>Bridge</t>
  </si>
  <si>
    <t>Gbeworo</t>
  </si>
  <si>
    <t>VASQUEZ</t>
  </si>
  <si>
    <t>McLendon</t>
  </si>
  <si>
    <t>Elvy</t>
  </si>
  <si>
    <t>Bell</t>
  </si>
  <si>
    <t>Lazazzera</t>
  </si>
  <si>
    <t>Andrews</t>
  </si>
  <si>
    <t>Wolfe</t>
  </si>
  <si>
    <t>Cheek</t>
  </si>
  <si>
    <t>Watters</t>
  </si>
  <si>
    <t>Cox</t>
  </si>
  <si>
    <t>Toison</t>
  </si>
  <si>
    <t>Owusu Manu</t>
  </si>
  <si>
    <t>Wills</t>
  </si>
  <si>
    <t>Weiner</t>
  </si>
  <si>
    <t>Simmons</t>
  </si>
  <si>
    <t>Acosta-De la Cruz</t>
  </si>
  <si>
    <t>Baugh</t>
  </si>
  <si>
    <t>Stubs</t>
  </si>
  <si>
    <t>Zapata</t>
  </si>
  <si>
    <t>Ayuoo</t>
  </si>
  <si>
    <t>Jackson Agee</t>
  </si>
  <si>
    <t>Abdul-Fattaah</t>
  </si>
  <si>
    <t>Urias</t>
  </si>
  <si>
    <t>Gillett</t>
  </si>
  <si>
    <t>Zemlyanskiy</t>
  </si>
  <si>
    <t>Birkett-Burch</t>
  </si>
  <si>
    <t>Goldshine</t>
  </si>
  <si>
    <t>Almontaser</t>
  </si>
  <si>
    <t>Waters</t>
  </si>
  <si>
    <t>Monroe</t>
  </si>
  <si>
    <t>Chavis</t>
  </si>
  <si>
    <t>Goosby</t>
  </si>
  <si>
    <t>Hamiter</t>
  </si>
  <si>
    <t>Ramnarine</t>
  </si>
  <si>
    <t>Rountree</t>
  </si>
  <si>
    <t>Gause</t>
  </si>
  <si>
    <t>Gross</t>
  </si>
  <si>
    <t>Bracero</t>
  </si>
  <si>
    <t>Schofield</t>
  </si>
  <si>
    <t>MITCHELL</t>
  </si>
  <si>
    <t>Wallace</t>
  </si>
  <si>
    <t>Drummond</t>
  </si>
  <si>
    <t>Khalifah</t>
  </si>
  <si>
    <t>Tellier</t>
  </si>
  <si>
    <t>Rossy</t>
  </si>
  <si>
    <t>Checo</t>
  </si>
  <si>
    <t>Martorella</t>
  </si>
  <si>
    <t>Gabriele</t>
  </si>
  <si>
    <t>Alfieri</t>
  </si>
  <si>
    <t>Findley</t>
  </si>
  <si>
    <t>Watkins</t>
  </si>
  <si>
    <t>Powell</t>
  </si>
  <si>
    <t>GONZALEZ</t>
  </si>
  <si>
    <t>Me</t>
  </si>
  <si>
    <t>Allen</t>
  </si>
  <si>
    <t>Abbott</t>
  </si>
  <si>
    <t>Arriaga</t>
  </si>
  <si>
    <t>Farris</t>
  </si>
  <si>
    <t>Avila</t>
  </si>
  <si>
    <t>Strickland</t>
  </si>
  <si>
    <t>Arciniegas</t>
  </si>
  <si>
    <t>NUNEZ,</t>
  </si>
  <si>
    <t>Ali</t>
  </si>
  <si>
    <t>Rodway</t>
  </si>
  <si>
    <t>Galindo</t>
  </si>
  <si>
    <t>Gatlin-Deleon</t>
  </si>
  <si>
    <t>Amadou</t>
  </si>
  <si>
    <t>Almonte</t>
  </si>
  <si>
    <t>Occilien</t>
  </si>
  <si>
    <t>DAVIS</t>
  </si>
  <si>
    <t>Quartey</t>
  </si>
  <si>
    <t>Grosvenor</t>
  </si>
  <si>
    <t>Piedrahita</t>
  </si>
  <si>
    <t>Moleah</t>
  </si>
  <si>
    <t>Kouyate</t>
  </si>
  <si>
    <t>Cooke</t>
  </si>
  <si>
    <t>Figueroa</t>
  </si>
  <si>
    <t>Mercado</t>
  </si>
  <si>
    <t>Aswani</t>
  </si>
  <si>
    <t>Mejia</t>
  </si>
  <si>
    <t>Padillla</t>
  </si>
  <si>
    <t>Bujaj</t>
  </si>
  <si>
    <t>Tjasso</t>
  </si>
  <si>
    <t>Reynolds</t>
  </si>
  <si>
    <t>Christinis</t>
  </si>
  <si>
    <t>Dzaba</t>
  </si>
  <si>
    <t>St. Ellien</t>
  </si>
  <si>
    <t>Bravo Manuel</t>
  </si>
  <si>
    <t>Enriquez</t>
  </si>
  <si>
    <t>Munoz</t>
  </si>
  <si>
    <t>Nazaire</t>
  </si>
  <si>
    <t>Burgos</t>
  </si>
  <si>
    <t>Abreu</t>
  </si>
  <si>
    <t>Von Blaque</t>
  </si>
  <si>
    <t>Maggiolo</t>
  </si>
  <si>
    <t>Corbin</t>
  </si>
  <si>
    <t>Headrington</t>
  </si>
  <si>
    <t>Briscoe</t>
  </si>
  <si>
    <t>Cochran</t>
  </si>
  <si>
    <t>Alers</t>
  </si>
  <si>
    <t>Matos</t>
  </si>
  <si>
    <t>Perales</t>
  </si>
  <si>
    <t>Woodward</t>
  </si>
  <si>
    <t>Basile</t>
  </si>
  <si>
    <t>Coppotelli</t>
  </si>
  <si>
    <t>Pagan</t>
  </si>
  <si>
    <t>Abbruscato</t>
  </si>
  <si>
    <t>Gambino</t>
  </si>
  <si>
    <t>Polito</t>
  </si>
  <si>
    <t>Larson</t>
  </si>
  <si>
    <t>Vicidomini</t>
  </si>
  <si>
    <t>Fleming</t>
  </si>
  <si>
    <t>Borges</t>
  </si>
  <si>
    <t>Buckner</t>
  </si>
  <si>
    <t>Paske</t>
  </si>
  <si>
    <t>Rosquist</t>
  </si>
  <si>
    <t>Murray</t>
  </si>
  <si>
    <t>Forde</t>
  </si>
  <si>
    <t>Espada</t>
  </si>
  <si>
    <t>Campbell</t>
  </si>
  <si>
    <t>Reape</t>
  </si>
  <si>
    <t>Coles</t>
  </si>
  <si>
    <t>Offley</t>
  </si>
  <si>
    <t>Casteneda</t>
  </si>
  <si>
    <t>Brea</t>
  </si>
  <si>
    <t>Brathwaite</t>
  </si>
  <si>
    <t>Sidorovich</t>
  </si>
  <si>
    <t>Panora</t>
  </si>
  <si>
    <t>Kee</t>
  </si>
  <si>
    <t>Pilato</t>
  </si>
  <si>
    <t>Coniglario</t>
  </si>
  <si>
    <t>Ledra</t>
  </si>
  <si>
    <t>Eastmond-Brown</t>
  </si>
  <si>
    <t>Larossa</t>
  </si>
  <si>
    <t>Nixon</t>
  </si>
  <si>
    <t>Levy</t>
  </si>
  <si>
    <t>Bonheur</t>
  </si>
  <si>
    <t>O' Connor</t>
  </si>
  <si>
    <t>Harrington</t>
  </si>
  <si>
    <t>Danastorg</t>
  </si>
  <si>
    <t>Hassalevris</t>
  </si>
  <si>
    <t>Suarez - Brice</t>
  </si>
  <si>
    <t>Acosta</t>
  </si>
  <si>
    <t>Goldston</t>
  </si>
  <si>
    <t>Apaloo</t>
  </si>
  <si>
    <t>Webber</t>
  </si>
  <si>
    <t>Maggio</t>
  </si>
  <si>
    <t>Lala</t>
  </si>
  <si>
    <t>Suru</t>
  </si>
  <si>
    <t>Kinoshi</t>
  </si>
  <si>
    <t>Levine</t>
  </si>
  <si>
    <t>Mehmedaj</t>
  </si>
  <si>
    <t>Holland</t>
  </si>
  <si>
    <t>Bridges</t>
  </si>
  <si>
    <t>Maura</t>
  </si>
  <si>
    <t>Jacklone</t>
  </si>
  <si>
    <t>Lemelin</t>
  </si>
  <si>
    <t>Brea Infante</t>
  </si>
  <si>
    <t>Liner</t>
  </si>
  <si>
    <t>Ponce</t>
  </si>
  <si>
    <t>Polanco</t>
  </si>
  <si>
    <t>Pestano</t>
  </si>
  <si>
    <t>Ventura</t>
  </si>
  <si>
    <t>Salazar</t>
  </si>
  <si>
    <t>Nwachukwu</t>
  </si>
  <si>
    <t>Wiley</t>
  </si>
  <si>
    <t>Davila</t>
  </si>
  <si>
    <t>Valenzuela</t>
  </si>
  <si>
    <t>Montanez</t>
  </si>
  <si>
    <t>Harmon</t>
  </si>
  <si>
    <t>Zeng</t>
  </si>
  <si>
    <t>Knowlton</t>
  </si>
  <si>
    <t>Cardenas</t>
  </si>
  <si>
    <t>Shokirova</t>
  </si>
  <si>
    <t>Mundy</t>
  </si>
  <si>
    <t>Mercado Barreto</t>
  </si>
  <si>
    <t>Beltran</t>
  </si>
  <si>
    <t>Harley</t>
  </si>
  <si>
    <t>Vecchione</t>
  </si>
  <si>
    <t>Vlado</t>
  </si>
  <si>
    <t>Blowe</t>
  </si>
  <si>
    <t>Parken</t>
  </si>
  <si>
    <t>Lingua</t>
  </si>
  <si>
    <t>Daniels</t>
  </si>
  <si>
    <t>Quince</t>
  </si>
  <si>
    <t>Ratliff</t>
  </si>
  <si>
    <t>Peebles</t>
  </si>
  <si>
    <t>Corte Vasquez</t>
  </si>
  <si>
    <t>Sepulveda</t>
  </si>
  <si>
    <t>Kotok</t>
  </si>
  <si>
    <t>Borneo</t>
  </si>
  <si>
    <t>Beasley</t>
  </si>
  <si>
    <t>Hardeman</t>
  </si>
  <si>
    <t>Broder</t>
  </si>
  <si>
    <t>Salgado</t>
  </si>
  <si>
    <t>Loumsby</t>
  </si>
  <si>
    <t>Watson</t>
  </si>
  <si>
    <t>Bershadski</t>
  </si>
  <si>
    <t>Delbridge</t>
  </si>
  <si>
    <t>Mang</t>
  </si>
  <si>
    <t>Laguerre</t>
  </si>
  <si>
    <t>Frias</t>
  </si>
  <si>
    <t>Garrett</t>
  </si>
  <si>
    <t>Glen</t>
  </si>
  <si>
    <t>Solla</t>
  </si>
  <si>
    <t>Heffernan</t>
  </si>
  <si>
    <t>Shubrick</t>
  </si>
  <si>
    <t>Curley</t>
  </si>
  <si>
    <t>Allan</t>
  </si>
  <si>
    <t>Freckleton</t>
  </si>
  <si>
    <t>Cousin</t>
  </si>
  <si>
    <t>Pesquera</t>
  </si>
  <si>
    <t>Rivieccio</t>
  </si>
  <si>
    <t>Danzy</t>
  </si>
  <si>
    <t>Palmer</t>
  </si>
  <si>
    <t>Loftin</t>
  </si>
  <si>
    <t>TORRES</t>
  </si>
  <si>
    <t>Maxell</t>
  </si>
  <si>
    <t>Samayoa</t>
  </si>
  <si>
    <t>Cambell</t>
  </si>
  <si>
    <t>Aponte</t>
  </si>
  <si>
    <t>Murphy</t>
  </si>
  <si>
    <t>Estevez</t>
  </si>
  <si>
    <t>Kingston</t>
  </si>
  <si>
    <t>Gadsden</t>
  </si>
  <si>
    <t>Amadeo</t>
  </si>
  <si>
    <t>Cuello</t>
  </si>
  <si>
    <t>Cosgrove</t>
  </si>
  <si>
    <t>Lugo-Rivera</t>
  </si>
  <si>
    <t>Eady</t>
  </si>
  <si>
    <t>Mahmud</t>
  </si>
  <si>
    <t>Guevara</t>
  </si>
  <si>
    <t>Degraffe</t>
  </si>
  <si>
    <t>Manneh</t>
  </si>
  <si>
    <t>Storms</t>
  </si>
  <si>
    <t>Peake</t>
  </si>
  <si>
    <t>Auson</t>
  </si>
  <si>
    <t>McIntosh</t>
  </si>
  <si>
    <t>Woody</t>
  </si>
  <si>
    <t>Kelley</t>
  </si>
  <si>
    <t>Davies</t>
  </si>
  <si>
    <t>Duran</t>
  </si>
  <si>
    <t>Mackie</t>
  </si>
  <si>
    <t>Grullon</t>
  </si>
  <si>
    <t>Makonnen</t>
  </si>
  <si>
    <t>Pressley</t>
  </si>
  <si>
    <t>Lotmore</t>
  </si>
  <si>
    <t>Osagiede</t>
  </si>
  <si>
    <t>Tsahirides</t>
  </si>
  <si>
    <t>Sarpong</t>
  </si>
  <si>
    <t>Coleman</t>
  </si>
  <si>
    <t>Jalloh</t>
  </si>
  <si>
    <t>MacPepple</t>
  </si>
  <si>
    <t>Gaya</t>
  </si>
  <si>
    <t>Carrington</t>
  </si>
  <si>
    <t>Cummins</t>
  </si>
  <si>
    <t>Brightbill</t>
  </si>
  <si>
    <t>Lind</t>
  </si>
  <si>
    <t>Ubiles</t>
  </si>
  <si>
    <t>Marizan</t>
  </si>
  <si>
    <t>Kabba</t>
  </si>
  <si>
    <t>Andrade</t>
  </si>
  <si>
    <t>Carrasquillo</t>
  </si>
  <si>
    <t>Meador</t>
  </si>
  <si>
    <t>Tavera</t>
  </si>
  <si>
    <t>Cardoza</t>
  </si>
  <si>
    <t>DeLos Santos</t>
  </si>
  <si>
    <t>Hillman</t>
  </si>
  <si>
    <t>Nazario</t>
  </si>
  <si>
    <t>Riddick</t>
  </si>
  <si>
    <t>A Test</t>
  </si>
  <si>
    <t>Cockfield</t>
  </si>
  <si>
    <t>cleckley</t>
  </si>
  <si>
    <t>Scherman</t>
  </si>
  <si>
    <t>Omoruan</t>
  </si>
  <si>
    <t>Hyatt McKenzie</t>
  </si>
  <si>
    <t>Levene</t>
  </si>
  <si>
    <t>Ang</t>
  </si>
  <si>
    <t>Miles</t>
  </si>
  <si>
    <t>Lamonaca</t>
  </si>
  <si>
    <t>Moran</t>
  </si>
  <si>
    <t>Newton</t>
  </si>
  <si>
    <t>Duggins</t>
  </si>
  <si>
    <t>Alejandria</t>
  </si>
  <si>
    <t>Cuffee</t>
  </si>
  <si>
    <t>Carter</t>
  </si>
  <si>
    <t>Chaitoo</t>
  </si>
  <si>
    <t>Wilkerson</t>
  </si>
  <si>
    <t>Odemene</t>
  </si>
  <si>
    <t>Yungaicela</t>
  </si>
  <si>
    <t>Stephens</t>
  </si>
  <si>
    <t>Rowe</t>
  </si>
  <si>
    <t>Sullivan</t>
  </si>
  <si>
    <t>Tyndall</t>
  </si>
  <si>
    <t>Ballard</t>
  </si>
  <si>
    <t>Carrasco</t>
  </si>
  <si>
    <t>Pierre-Antoine</t>
  </si>
  <si>
    <t>Marla</t>
  </si>
  <si>
    <t>Arsmtead</t>
  </si>
  <si>
    <t>Ra</t>
  </si>
  <si>
    <t>Morell</t>
  </si>
  <si>
    <t>Benton</t>
  </si>
  <si>
    <t>Alston</t>
  </si>
  <si>
    <t>Vida</t>
  </si>
  <si>
    <t>Kerr</t>
  </si>
  <si>
    <t>Devoll</t>
  </si>
  <si>
    <t>Rush</t>
  </si>
  <si>
    <t>Sacks</t>
  </si>
  <si>
    <t>Spence</t>
  </si>
  <si>
    <t>Pennacchio</t>
  </si>
  <si>
    <t>Adekoya</t>
  </si>
  <si>
    <t>Balbuena</t>
  </si>
  <si>
    <t>Kerley</t>
  </si>
  <si>
    <t>Peacock</t>
  </si>
  <si>
    <t>Patterson</t>
  </si>
  <si>
    <t>Goodwin</t>
  </si>
  <si>
    <t>Hamlin-McLeod</t>
  </si>
  <si>
    <t>Steinmetz</t>
  </si>
  <si>
    <t>Bromfield</t>
  </si>
  <si>
    <t>Chevettiss</t>
  </si>
  <si>
    <t>Legins</t>
  </si>
  <si>
    <t>Bramble</t>
  </si>
  <si>
    <t>Tye</t>
  </si>
  <si>
    <t>Lemus</t>
  </si>
  <si>
    <t>McLean</t>
  </si>
  <si>
    <t>Pantoja</t>
  </si>
  <si>
    <t>Nance</t>
  </si>
  <si>
    <t>St. Louis</t>
  </si>
  <si>
    <t>Shoval</t>
  </si>
  <si>
    <t>Moore-Jones</t>
  </si>
  <si>
    <t>Fusilier-Wayne</t>
  </si>
  <si>
    <t>Saint-Jean</t>
  </si>
  <si>
    <t>Symeonidou</t>
  </si>
  <si>
    <t>Cabezudo</t>
  </si>
  <si>
    <t>Maddix</t>
  </si>
  <si>
    <t>Luna</t>
  </si>
  <si>
    <t>Outar</t>
  </si>
  <si>
    <t>Quist</t>
  </si>
  <si>
    <t>Bozek</t>
  </si>
  <si>
    <t>Walters-Smith</t>
  </si>
  <si>
    <t>Segarra</t>
  </si>
  <si>
    <t>Haramis</t>
  </si>
  <si>
    <t>Bershadsky</t>
  </si>
  <si>
    <t>Kebreau</t>
  </si>
  <si>
    <t>Humbert</t>
  </si>
  <si>
    <t>Lalicata</t>
  </si>
  <si>
    <t>Curreri</t>
  </si>
  <si>
    <t>Ramsey-Francois</t>
  </si>
  <si>
    <t>Bonilla</t>
  </si>
  <si>
    <t>Abernethy</t>
  </si>
  <si>
    <t>Rector</t>
  </si>
  <si>
    <t>Cimine</t>
  </si>
  <si>
    <t>Foss</t>
  </si>
  <si>
    <t>Pagan-Merritt</t>
  </si>
  <si>
    <t>Straughn</t>
  </si>
  <si>
    <t>Gelnik</t>
  </si>
  <si>
    <t>Hails</t>
  </si>
  <si>
    <t>Lomuscio</t>
  </si>
  <si>
    <t>Laine</t>
  </si>
  <si>
    <t>Cohen</t>
  </si>
  <si>
    <t>Rollock</t>
  </si>
  <si>
    <t>Petti</t>
  </si>
  <si>
    <t>Konnaris</t>
  </si>
  <si>
    <t>Ida</t>
  </si>
  <si>
    <t>Parmesar</t>
  </si>
  <si>
    <t>Akinwunmi</t>
  </si>
  <si>
    <t>Howell</t>
  </si>
  <si>
    <t>LeCroix</t>
  </si>
  <si>
    <t>Hamayoun</t>
  </si>
  <si>
    <t>Michalopoulos</t>
  </si>
  <si>
    <t>Macpherson</t>
  </si>
  <si>
    <t>Vinokur</t>
  </si>
  <si>
    <t>Miranda</t>
  </si>
  <si>
    <t>Commodore</t>
  </si>
  <si>
    <t>McKenzie</t>
  </si>
  <si>
    <t>martinez</t>
  </si>
  <si>
    <t>Gray</t>
  </si>
  <si>
    <t>Cadero</t>
  </si>
  <si>
    <t>Ferrara</t>
  </si>
  <si>
    <t>Cerkins</t>
  </si>
  <si>
    <t>Hailstalk</t>
  </si>
  <si>
    <t>Burden</t>
  </si>
  <si>
    <t>Clanton</t>
  </si>
  <si>
    <t>Cariño</t>
  </si>
  <si>
    <t>Richards</t>
  </si>
  <si>
    <t>Bourne</t>
  </si>
  <si>
    <t>Dell</t>
  </si>
  <si>
    <t>Dailey</t>
  </si>
  <si>
    <t>Kerten</t>
  </si>
  <si>
    <t>Tyson</t>
  </si>
  <si>
    <t>Slocumb</t>
  </si>
  <si>
    <t>Worrell-Murphy</t>
  </si>
  <si>
    <t>Begley</t>
  </si>
  <si>
    <t>Fletcher</t>
  </si>
  <si>
    <t>Sevier</t>
  </si>
  <si>
    <t>Delvalle</t>
  </si>
  <si>
    <t>Nebrat</t>
  </si>
  <si>
    <t>Sevorwell</t>
  </si>
  <si>
    <t>Forrest</t>
  </si>
  <si>
    <t>Poplawski</t>
  </si>
  <si>
    <t>Virgil</t>
  </si>
  <si>
    <t>Davis-Josephs</t>
  </si>
  <si>
    <t>Phelps</t>
  </si>
  <si>
    <t>Saintil</t>
  </si>
  <si>
    <t>Chea</t>
  </si>
  <si>
    <t>Ceant</t>
  </si>
  <si>
    <t>Riccobono</t>
  </si>
  <si>
    <t>Tucker</t>
  </si>
  <si>
    <t>Ceballo</t>
  </si>
  <si>
    <t>SERANO</t>
  </si>
  <si>
    <t>Pallotta</t>
  </si>
  <si>
    <t>Broughton</t>
  </si>
  <si>
    <t>Colbert</t>
  </si>
  <si>
    <t>Nasti</t>
  </si>
  <si>
    <t>Soliman</t>
  </si>
  <si>
    <t>Hook</t>
  </si>
  <si>
    <t>Lange</t>
  </si>
  <si>
    <t>Schaefer</t>
  </si>
  <si>
    <t>McDonald</t>
  </si>
  <si>
    <t>Magee</t>
  </si>
  <si>
    <t>Gables</t>
  </si>
  <si>
    <t>Leonardo</t>
  </si>
  <si>
    <t>Dutan</t>
  </si>
  <si>
    <t>Sargeant</t>
  </si>
  <si>
    <t>Amuso</t>
  </si>
  <si>
    <t>Bodden</t>
  </si>
  <si>
    <t>Murden</t>
  </si>
  <si>
    <t>Paige</t>
  </si>
  <si>
    <t>Safronova</t>
  </si>
  <si>
    <t>Fofana</t>
  </si>
  <si>
    <t>Woolward</t>
  </si>
  <si>
    <t>Marino</t>
  </si>
  <si>
    <t>Massey</t>
  </si>
  <si>
    <t>Prado</t>
  </si>
  <si>
    <t>Troeller</t>
  </si>
  <si>
    <t>Pucciano</t>
  </si>
  <si>
    <t>Chisom</t>
  </si>
  <si>
    <t>Essa</t>
  </si>
  <si>
    <t>Pineda-Delgado</t>
  </si>
  <si>
    <t>Faustino</t>
  </si>
  <si>
    <t>Hayward</t>
  </si>
  <si>
    <t>Theodoro</t>
  </si>
  <si>
    <t>Wall-Alston</t>
  </si>
  <si>
    <t>Vaughn</t>
  </si>
  <si>
    <t>Sanichar</t>
  </si>
  <si>
    <t>Agresti</t>
  </si>
  <si>
    <t>Ivey</t>
  </si>
  <si>
    <t>Profet</t>
  </si>
  <si>
    <t>Scipio</t>
  </si>
  <si>
    <t>Sherwood</t>
  </si>
  <si>
    <t>Ryan</t>
  </si>
  <si>
    <t>Zambrano</t>
  </si>
  <si>
    <t>Boakye</t>
  </si>
  <si>
    <t>Tomlinson</t>
  </si>
  <si>
    <t>Malachi</t>
  </si>
  <si>
    <t>Grubshteyn</t>
  </si>
  <si>
    <t>Hambrick</t>
  </si>
  <si>
    <t>Blackson</t>
  </si>
  <si>
    <t>McNeally</t>
  </si>
  <si>
    <t>Nguyen</t>
  </si>
  <si>
    <t>Swift</t>
  </si>
  <si>
    <t>Kamalu</t>
  </si>
  <si>
    <t>Ballyram</t>
  </si>
  <si>
    <t>Creighton</t>
  </si>
  <si>
    <t>Jarvis</t>
  </si>
  <si>
    <t>Galarza</t>
  </si>
  <si>
    <t>Tripari</t>
  </si>
  <si>
    <t>Crescioni-Santoni</t>
  </si>
  <si>
    <t>Amaro</t>
  </si>
  <si>
    <t>Mateo</t>
  </si>
  <si>
    <t>Potter</t>
  </si>
  <si>
    <t>Stsepanenka</t>
  </si>
  <si>
    <t>Gittens</t>
  </si>
  <si>
    <t>Lindsay</t>
  </si>
  <si>
    <t>Al Nehmi</t>
  </si>
  <si>
    <t>Shewmangal</t>
  </si>
  <si>
    <t>Sealey</t>
  </si>
  <si>
    <t>Niyazova</t>
  </si>
  <si>
    <t>Laroche</t>
  </si>
  <si>
    <t>Croal</t>
  </si>
  <si>
    <t>Allison</t>
  </si>
  <si>
    <t>Valdes</t>
  </si>
  <si>
    <t>Marano</t>
  </si>
  <si>
    <t>Irizarry-Jacobs</t>
  </si>
  <si>
    <t>Simpson</t>
  </si>
  <si>
    <t>Gancei</t>
  </si>
  <si>
    <t>Rucker</t>
  </si>
  <si>
    <t>Eisner</t>
  </si>
  <si>
    <t>Peterkin</t>
  </si>
  <si>
    <t>Antonellis</t>
  </si>
  <si>
    <t>Blanco</t>
  </si>
  <si>
    <t>Bitter</t>
  </si>
  <si>
    <t>Hailey</t>
  </si>
  <si>
    <t>Archer</t>
  </si>
  <si>
    <t>Bodie</t>
  </si>
  <si>
    <t>Bender</t>
  </si>
  <si>
    <t>Sabalza</t>
  </si>
  <si>
    <t>Palaguachi</t>
  </si>
  <si>
    <t>Blanco Baptista</t>
  </si>
  <si>
    <t>Rendon</t>
  </si>
  <si>
    <t>Aviles</t>
  </si>
  <si>
    <t>Yang</t>
  </si>
  <si>
    <t>Ward</t>
  </si>
  <si>
    <t>van Lohuizen</t>
  </si>
  <si>
    <t>Berry</t>
  </si>
  <si>
    <t>Idfresne</t>
  </si>
  <si>
    <t>Mekawy</t>
  </si>
  <si>
    <t>Elcock</t>
  </si>
  <si>
    <t>Chance</t>
  </si>
  <si>
    <t>Senat</t>
  </si>
  <si>
    <t>Figuera</t>
  </si>
  <si>
    <t>Wakszul</t>
  </si>
  <si>
    <t>Saleh</t>
  </si>
  <si>
    <t>1818 Anthony Ave</t>
  </si>
  <si>
    <t>64 Austin Ave</t>
  </si>
  <si>
    <t>630 Linden Blvd</t>
  </si>
  <si>
    <t>800 Freeman St</t>
  </si>
  <si>
    <t>993 Union Ave</t>
  </si>
  <si>
    <t>140 Park Hill Ave</t>
  </si>
  <si>
    <t>50 West 93rd Street, 1L</t>
  </si>
  <si>
    <t>404 E 54th St</t>
  </si>
  <si>
    <t>8105 Rockaway Beach Blvd</t>
  </si>
  <si>
    <t>1417 Stanley Ave</t>
  </si>
  <si>
    <t>455 E 148th St</t>
  </si>
  <si>
    <t>9163 85th St</t>
  </si>
  <si>
    <t>1726 Richmond Rd</t>
  </si>
  <si>
    <t>13-30-128TH STREET</t>
  </si>
  <si>
    <t>1831 Unionport Rd</t>
  </si>
  <si>
    <t>18a Broun Pl</t>
  </si>
  <si>
    <t>8202 Rockaway Beach Blvd</t>
  </si>
  <si>
    <t>93 Scribner Ave</t>
  </si>
  <si>
    <t>428 E 137th St</t>
  </si>
  <si>
    <t>14964 256th St</t>
  </si>
  <si>
    <t>3727 86th St</t>
  </si>
  <si>
    <t>16329 130th Ave</t>
  </si>
  <si>
    <t>1202 Noble Ave</t>
  </si>
  <si>
    <t>600 Baychester Ave</t>
  </si>
  <si>
    <t>80 Mcclellan St</t>
  </si>
  <si>
    <t>2280 Randall Ave</t>
  </si>
  <si>
    <t>1106 Morris Ave</t>
  </si>
  <si>
    <t>242 W 122nd St</t>
  </si>
  <si>
    <t>1551 Sheridan Ave</t>
  </si>
  <si>
    <t>47 Montauk Ave</t>
  </si>
  <si>
    <t>280 Troutman St</t>
  </si>
  <si>
    <t>738 Bradford St</t>
  </si>
  <si>
    <t>1512 Nostrand Ave</t>
  </si>
  <si>
    <t>235 Ralph Ave</t>
  </si>
  <si>
    <t>1500 Noble Ave</t>
  </si>
  <si>
    <t>100 Jefferson St</t>
  </si>
  <si>
    <t>2333 32nd St</t>
  </si>
  <si>
    <t>226 E 203rd St</t>
  </si>
  <si>
    <t>188 Ludlow St</t>
  </si>
  <si>
    <t>944 Rev James A Polite Ave</t>
  </si>
  <si>
    <t>220 E 204th St</t>
  </si>
  <si>
    <t>67a Lewis Ave</t>
  </si>
  <si>
    <t>3544 Broadway</t>
  </si>
  <si>
    <t>3980 Orloff Ave</t>
  </si>
  <si>
    <t>13337 41st Rd</t>
  </si>
  <si>
    <t>9225 Foster Ave</t>
  </si>
  <si>
    <t>1130 Grassmere Ter</t>
  </si>
  <si>
    <t>64 Herkimer St</t>
  </si>
  <si>
    <t>220 Montgomery St</t>
  </si>
  <si>
    <t>945 Post Ave</t>
  </si>
  <si>
    <t>659 Euclid Ave</t>
  </si>
  <si>
    <t>545 Neptune Ave</t>
  </si>
  <si>
    <t>208 Sumpter St</t>
  </si>
  <si>
    <t>250 CLINTON ST</t>
  </si>
  <si>
    <t>240 Park Hill Ave</t>
  </si>
  <si>
    <t>203 Macon St</t>
  </si>
  <si>
    <t>60 Cambridge Pl</t>
  </si>
  <si>
    <t>1450 Avenue O</t>
  </si>
  <si>
    <t>222 Sheridan Ave</t>
  </si>
  <si>
    <t>268a Jersey St</t>
  </si>
  <si>
    <t>1132 Loring Ave</t>
  </si>
  <si>
    <t>1036 Winthrop St</t>
  </si>
  <si>
    <t>25 Macdonough St</t>
  </si>
  <si>
    <t>47 Rockaway Pkwy</t>
  </si>
  <si>
    <t>2469 Bragg St</t>
  </si>
  <si>
    <t>234 Newport St</t>
  </si>
  <si>
    <t>96 Hart St</t>
  </si>
  <si>
    <t>680 Tinton Ave</t>
  </si>
  <si>
    <t>2635 Nostrand Ave</t>
  </si>
  <si>
    <t>300 Riverdale Ave</t>
  </si>
  <si>
    <t>225 E 39th St</t>
  </si>
  <si>
    <t>1065 Jerome Ave</t>
  </si>
  <si>
    <t>32 Havemeyer St</t>
  </si>
  <si>
    <t>131 Broome St</t>
  </si>
  <si>
    <t>597 4th Ave</t>
  </si>
  <si>
    <t>14319 38th AVE</t>
  </si>
  <si>
    <t>87 E 93rd St</t>
  </si>
  <si>
    <t>42 Brighton 1st path</t>
  </si>
  <si>
    <t>1898 Bergen St</t>
  </si>
  <si>
    <t>168 E 93rd St</t>
  </si>
  <si>
    <t>251 Bergen St</t>
  </si>
  <si>
    <t>54-64 Rutaers Street</t>
  </si>
  <si>
    <t>1462 Bushwick Ave</t>
  </si>
  <si>
    <t>309 Lafayette Avenue</t>
  </si>
  <si>
    <t>1920 Union ST</t>
  </si>
  <si>
    <t>6051 68 Street</t>
  </si>
  <si>
    <t>67 Hanson Pl, Apt 3A</t>
  </si>
  <si>
    <t>751 3rd Ave</t>
  </si>
  <si>
    <t>712 Crown St</t>
  </si>
  <si>
    <t>827 Nostrand Ave</t>
  </si>
  <si>
    <t>1060 sheridan ave</t>
  </si>
  <si>
    <t>3093 Brighton 4th St</t>
  </si>
  <si>
    <t>38 Bay 26th St</t>
  </si>
  <si>
    <t>3091 Brighton 3rd St</t>
  </si>
  <si>
    <t>2387 Ocean Ave</t>
  </si>
  <si>
    <t>2943 Brighton 4th St</t>
  </si>
  <si>
    <t>90 Columbia St</t>
  </si>
  <si>
    <t>3440 Broadway</t>
  </si>
  <si>
    <t>2915 W 5th St</t>
  </si>
  <si>
    <t>55 Lenox Rd</t>
  </si>
  <si>
    <t>55 Holland Ave</t>
  </si>
  <si>
    <t>45 Lake St</t>
  </si>
  <si>
    <t>10630 159th St</t>
  </si>
  <si>
    <t>751 Gerard Ave</t>
  </si>
  <si>
    <t>2860 Hylan Blvd</t>
  </si>
  <si>
    <t>2018 Linden St</t>
  </si>
  <si>
    <t>673 Beck St</t>
  </si>
  <si>
    <t>201 Brighton 1st Rd # 203</t>
  </si>
  <si>
    <t>97 Crooke Ave</t>
  </si>
  <si>
    <t>7140 160th St</t>
  </si>
  <si>
    <t>596 Riverside Dr</t>
  </si>
  <si>
    <t>710 Noble Ave</t>
  </si>
  <si>
    <t>2950 Park Ave</t>
  </si>
  <si>
    <t>1921 Hobart Ave</t>
  </si>
  <si>
    <t>311 Bedford Park Blvd</t>
  </si>
  <si>
    <t>95 Old Broadway</t>
  </si>
  <si>
    <t>110 Rochester ave</t>
  </si>
  <si>
    <t>2750 Homecrest Ave</t>
  </si>
  <si>
    <t>1765 Townsend Ave</t>
  </si>
  <si>
    <t>4173 3rd Ave</t>
  </si>
  <si>
    <t>92 W Tremont Ave</t>
  </si>
  <si>
    <t>2180 Bronx Park E</t>
  </si>
  <si>
    <t>1635 Mahan Ave</t>
  </si>
  <si>
    <t>10512 177th St</t>
  </si>
  <si>
    <t>2929 Bainbridge Ave</t>
  </si>
  <si>
    <t>1275 Lafayette Ave</t>
  </si>
  <si>
    <t>565 85th St</t>
  </si>
  <si>
    <t>1997 Davidson Ave</t>
  </si>
  <si>
    <t>1055 Jerome ave</t>
  </si>
  <si>
    <t>600 Trinity Ave</t>
  </si>
  <si>
    <t>2523 Barnes Ave</t>
  </si>
  <si>
    <t>547 E 168th St</t>
  </si>
  <si>
    <t>820 Thieriot Ave</t>
  </si>
  <si>
    <t>1077 Castleton Ave</t>
  </si>
  <si>
    <t>1754 Richmond Rd</t>
  </si>
  <si>
    <t>2111 Southern Blvd</t>
  </si>
  <si>
    <t>664 W 161st St</t>
  </si>
  <si>
    <t>200 Haven ave</t>
  </si>
  <si>
    <t>3535 Rochambeau ave</t>
  </si>
  <si>
    <t>345 Lefferts Ave</t>
  </si>
  <si>
    <t>823 Brooklyn Ave</t>
  </si>
  <si>
    <t>3723 Lyme Ave</t>
  </si>
  <si>
    <t>310 E 115th St</t>
  </si>
  <si>
    <t>1090 Croes Ave</t>
  </si>
  <si>
    <t>458 W 50th St</t>
  </si>
  <si>
    <t>436 E 134th St</t>
  </si>
  <si>
    <t>110 Terrace View Ave</t>
  </si>
  <si>
    <t>340 W 17th St</t>
  </si>
  <si>
    <t>22 Paerdegat 14th St</t>
  </si>
  <si>
    <t>421 27th Ave</t>
  </si>
  <si>
    <t>1118 Westcher Ave</t>
  </si>
  <si>
    <t>250 E 144th St</t>
  </si>
  <si>
    <t>54 Osborn St</t>
  </si>
  <si>
    <t>484 67th St</t>
  </si>
  <si>
    <t>92021 Shore Rd</t>
  </si>
  <si>
    <t>880 Tinton Ave</t>
  </si>
  <si>
    <t>660 Arnow Ave</t>
  </si>
  <si>
    <t>1685 Banyer Pl</t>
  </si>
  <si>
    <t>10012 87th Ave</t>
  </si>
  <si>
    <t>2121 E 35th St</t>
  </si>
  <si>
    <t>126 W 109th St</t>
  </si>
  <si>
    <t>1605 Fulton St</t>
  </si>
  <si>
    <t>126 Beach 61st St</t>
  </si>
  <si>
    <t>494 Georgia Ave</t>
  </si>
  <si>
    <t>875 Morrison Ave</t>
  </si>
  <si>
    <t>717 Crotona Park N</t>
  </si>
  <si>
    <t>50 E 104th St</t>
  </si>
  <si>
    <t>1173 52nd St</t>
  </si>
  <si>
    <t>162 W 144th St</t>
  </si>
  <si>
    <t>2055 Rockaway Pkwy</t>
  </si>
  <si>
    <t>9601 Church ave</t>
  </si>
  <si>
    <t>3970 3rd Ave</t>
  </si>
  <si>
    <t>273 Quincy St</t>
  </si>
  <si>
    <t>3660 Waldo Ave</t>
  </si>
  <si>
    <t>2757 Claflin Ave</t>
  </si>
  <si>
    <t>93 Pitt St</t>
  </si>
  <si>
    <t>902 47th St</t>
  </si>
  <si>
    <t>365 Lincoln Pl</t>
  </si>
  <si>
    <t>4901 8th Ave</t>
  </si>
  <si>
    <t>2037 Webster Ave</t>
  </si>
  <si>
    <t>2979 Marion Ave</t>
  </si>
  <si>
    <t>472 Medina St</t>
  </si>
  <si>
    <t>60 Hamilton Ave</t>
  </si>
  <si>
    <t>2027 Madison Ave</t>
  </si>
  <si>
    <t>55 W 129th St</t>
  </si>
  <si>
    <t>603 Isham st</t>
  </si>
  <si>
    <t>161 E 106th St # 163</t>
  </si>
  <si>
    <t>254 5th Ave</t>
  </si>
  <si>
    <t>135 Avenue B</t>
  </si>
  <si>
    <t>611 W 156th St</t>
  </si>
  <si>
    <t>1535 Undercliff Ave</t>
  </si>
  <si>
    <t>1315 48th St</t>
  </si>
  <si>
    <t>6518 Bayfield Ave</t>
  </si>
  <si>
    <t>6701 5th Ave</t>
  </si>
  <si>
    <t>3220 Steuben Ave</t>
  </si>
  <si>
    <t>1266 74th St</t>
  </si>
  <si>
    <t>3532 Tryon Ave</t>
  </si>
  <si>
    <t>150 Union Ave</t>
  </si>
  <si>
    <t>14 Cass Pl</t>
  </si>
  <si>
    <t>2855 Grand Concourse</t>
  </si>
  <si>
    <t>1520 Sheridan Ave</t>
  </si>
  <si>
    <t>545 46th St</t>
  </si>
  <si>
    <t>379 S 3rd St</t>
  </si>
  <si>
    <t>455 Tompkins Ave</t>
  </si>
  <si>
    <t>153 Calyer St</t>
  </si>
  <si>
    <t>618 Ocean Pkwy # 618</t>
  </si>
  <si>
    <t>2361 Coney Island Ave</t>
  </si>
  <si>
    <t>600 Lincoln Pl</t>
  </si>
  <si>
    <t>461 Dean St</t>
  </si>
  <si>
    <t>126 E 53rd St</t>
  </si>
  <si>
    <t>31 Leonard St</t>
  </si>
  <si>
    <t>231 Eldridge St</t>
  </si>
  <si>
    <t>1625 Arnow Ave</t>
  </si>
  <si>
    <t>710 E 93rd St</t>
  </si>
  <si>
    <t>699 Pennsylvania Ave</t>
  </si>
  <si>
    <t>855 Louisiana Ave</t>
  </si>
  <si>
    <t>14 Auburn Pl</t>
  </si>
  <si>
    <t>1246 E 86th St</t>
  </si>
  <si>
    <t>1320 Eastern Pkwy</t>
  </si>
  <si>
    <t>5205 5th Ave</t>
  </si>
  <si>
    <t>1776 Union St</t>
  </si>
  <si>
    <t>2701 Kingsbridge Ter</t>
  </si>
  <si>
    <t>68 Cumberland Walk</t>
  </si>
  <si>
    <t>348 Sumpter St</t>
  </si>
  <si>
    <t>4220 5th Ave</t>
  </si>
  <si>
    <t>1851 Fulton St</t>
  </si>
  <si>
    <t>357 Sterling Pl</t>
  </si>
  <si>
    <t>446 Kingston Ave</t>
  </si>
  <si>
    <t>557 46th St</t>
  </si>
  <si>
    <t>304 Stuyvesant Ave</t>
  </si>
  <si>
    <t>167 Russell St</t>
  </si>
  <si>
    <t>2156 Linden Blvd</t>
  </si>
  <si>
    <t>1085 Washington Ave</t>
  </si>
  <si>
    <t>522 Ocean Ave</t>
  </si>
  <si>
    <t>180 Lenox Rd</t>
  </si>
  <si>
    <t>629 E 3rd St</t>
  </si>
  <si>
    <t>333 51st St</t>
  </si>
  <si>
    <t>6925 4th Ave</t>
  </si>
  <si>
    <t>701 Left Bay St.</t>
  </si>
  <si>
    <t>2951 W 33rd St</t>
  </si>
  <si>
    <t>165 E 54th St</t>
  </si>
  <si>
    <t>878 Belmont Ave</t>
  </si>
  <si>
    <t>113 E 13th St</t>
  </si>
  <si>
    <t>2350 Waterbury Ave</t>
  </si>
  <si>
    <t>770 Saint Marks Ave</t>
  </si>
  <si>
    <t>1526 77th St</t>
  </si>
  <si>
    <t>856 E 214th st</t>
  </si>
  <si>
    <t>9720 Kings Hwy</t>
  </si>
  <si>
    <t>2180 Fulton St</t>
  </si>
  <si>
    <t>1314 Eastern Pkwy</t>
  </si>
  <si>
    <t>560 Winthrop St</t>
  </si>
  <si>
    <t>180 Broad St</t>
  </si>
  <si>
    <t>605 W 182nd St</t>
  </si>
  <si>
    <t>1617 Eastern Pkwy</t>
  </si>
  <si>
    <t>63 Nichols Ave</t>
  </si>
  <si>
    <t>333 Schermerhorn St</t>
  </si>
  <si>
    <t>550 40th St</t>
  </si>
  <si>
    <t>333 E 181ST St</t>
  </si>
  <si>
    <t>890 armstrong ave</t>
  </si>
  <si>
    <t>1685 Univ Ave</t>
  </si>
  <si>
    <t>765 Stanley Ave</t>
  </si>
  <si>
    <t>5240 Broadway</t>
  </si>
  <si>
    <t>2375 Southern Blvd</t>
  </si>
  <si>
    <t>1665 Bryant Ave</t>
  </si>
  <si>
    <t>459 New Lots Ave</t>
  </si>
  <si>
    <t>88 Monument Walk</t>
  </si>
  <si>
    <t>1149 Elton St</t>
  </si>
  <si>
    <t>54 Sunnyside Ave</t>
  </si>
  <si>
    <t>480 Waverly Ave</t>
  </si>
  <si>
    <t>225 Macdougal St</t>
  </si>
  <si>
    <t>228 Madison St</t>
  </si>
  <si>
    <t>815 Logan St</t>
  </si>
  <si>
    <t>159 E 102nd St</t>
  </si>
  <si>
    <t>365 W 20th St</t>
  </si>
  <si>
    <t>6448 Booth St</t>
  </si>
  <si>
    <t>10804 Monterey St</t>
  </si>
  <si>
    <t>5420 15th Ave</t>
  </si>
  <si>
    <t>2110 Borden Ave</t>
  </si>
  <si>
    <t>541 W 142nd St</t>
  </si>
  <si>
    <t>1950 E Tremont Ave</t>
  </si>
  <si>
    <t>97 Church Ave</t>
  </si>
  <si>
    <t>8 Highland Rd</t>
  </si>
  <si>
    <t>465 Lexington Ave</t>
  </si>
  <si>
    <t>40 Richman Plz</t>
  </si>
  <si>
    <t>36 W 9th St</t>
  </si>
  <si>
    <t>675 Lincoln Ave</t>
  </si>
  <si>
    <t>103 W 141st St</t>
  </si>
  <si>
    <t>1594 Metropolitan Ave</t>
  </si>
  <si>
    <t>18 E 109th St</t>
  </si>
  <si>
    <t>22405 149th Ave</t>
  </si>
  <si>
    <t>135 Autumn Ave</t>
  </si>
  <si>
    <t>201 Clinton Ave</t>
  </si>
  <si>
    <t>200 E 61st St</t>
  </si>
  <si>
    <t>1 W 9th St</t>
  </si>
  <si>
    <t>341 10th St</t>
  </si>
  <si>
    <t>265 Livonia Ave</t>
  </si>
  <si>
    <t>642 Wilson Ave</t>
  </si>
  <si>
    <t>602 W 165th St</t>
  </si>
  <si>
    <t>347 W 37th St</t>
  </si>
  <si>
    <t>24 Lyceum Ct</t>
  </si>
  <si>
    <t>288 10th Ave</t>
  </si>
  <si>
    <t>11725 202nd St</t>
  </si>
  <si>
    <t>91 Quinlan Ave</t>
  </si>
  <si>
    <t>309 Lafayette Ave</t>
  </si>
  <si>
    <t>277 Gates Ave</t>
  </si>
  <si>
    <t>233 Bainbridge St</t>
  </si>
  <si>
    <t>168-09 144th Terrace</t>
  </si>
  <si>
    <t>1793 Riverside Dr</t>
  </si>
  <si>
    <t>1489 Remsen Ave</t>
  </si>
  <si>
    <t>9416 84th St</t>
  </si>
  <si>
    <t>432 Concord Ave</t>
  </si>
  <si>
    <t>710 Cleveland St</t>
  </si>
  <si>
    <t>1001 Avenue H</t>
  </si>
  <si>
    <t>410 E 187th St</t>
  </si>
  <si>
    <t>1515 W 7th St</t>
  </si>
  <si>
    <t>121 W 115th St</t>
  </si>
  <si>
    <t>27 Beekman Cir</t>
  </si>
  <si>
    <t>474 E 52nd St</t>
  </si>
  <si>
    <t>967 Sutter Ave</t>
  </si>
  <si>
    <t>802 Miller ave</t>
  </si>
  <si>
    <t>1058 Southern Blvd</t>
  </si>
  <si>
    <t>519 Hancock St</t>
  </si>
  <si>
    <t>518 Willoughby Ave</t>
  </si>
  <si>
    <t>150 Calyer St</t>
  </si>
  <si>
    <t>818 E 222nd St</t>
  </si>
  <si>
    <t>240-18 138 Avenue</t>
  </si>
  <si>
    <t>2930 W 30th St</t>
  </si>
  <si>
    <t>116 E 57th St</t>
  </si>
  <si>
    <t>7 Bell Slip</t>
  </si>
  <si>
    <t>1670 Fulton St</t>
  </si>
  <si>
    <t>227 8th St</t>
  </si>
  <si>
    <t>620 malcolm x blvd</t>
  </si>
  <si>
    <t>311 Stockholm St</t>
  </si>
  <si>
    <t>159 W 95th St</t>
  </si>
  <si>
    <t>13745 Bedell St</t>
  </si>
  <si>
    <t>207 Chestnut Ave</t>
  </si>
  <si>
    <t>650 Halsey St</t>
  </si>
  <si>
    <t>190 E Mosholu Pkwy S</t>
  </si>
  <si>
    <t>978 E 80th St</t>
  </si>
  <si>
    <t>355 E 51st St</t>
  </si>
  <si>
    <t>8828 181 Street</t>
  </si>
  <si>
    <t>4719 19th Ave</t>
  </si>
  <si>
    <t>5604 Avenue O</t>
  </si>
  <si>
    <t>432 E 48th St</t>
  </si>
  <si>
    <t>686 Leonard St</t>
  </si>
  <si>
    <t>261 E 38th St</t>
  </si>
  <si>
    <t>573 New Jersey Ave</t>
  </si>
  <si>
    <t>2761 strickland ave</t>
  </si>
  <si>
    <t>556 Schenck Ave</t>
  </si>
  <si>
    <t>10826 Flatlands 9th St</t>
  </si>
  <si>
    <t>324 Halsey St</t>
  </si>
  <si>
    <t>1254 E 88th St</t>
  </si>
  <si>
    <t>363 Sumpter St</t>
  </si>
  <si>
    <t>2825 Grand Concourse</t>
  </si>
  <si>
    <t>304 W 117th St</t>
  </si>
  <si>
    <t>535 E 148th St</t>
  </si>
  <si>
    <t>2152 Atlantic Ave</t>
  </si>
  <si>
    <t>3405 Putnam Pl</t>
  </si>
  <si>
    <t>1080 Anderson Ave</t>
  </si>
  <si>
    <t>303 W 76th St</t>
  </si>
  <si>
    <t>1878 84th St</t>
  </si>
  <si>
    <t>536 E 96th St</t>
  </si>
  <si>
    <t>1134 Bryant Ave</t>
  </si>
  <si>
    <t>1622 Ocean Pkwy</t>
  </si>
  <si>
    <t>219 E 196th St</t>
  </si>
  <si>
    <t>1880 Lafayette Ave</t>
  </si>
  <si>
    <t>888 Grand Concourse</t>
  </si>
  <si>
    <t>1421 Grand Concourse</t>
  </si>
  <si>
    <t>554 Marcy Ave</t>
  </si>
  <si>
    <t>917 Ogden Ave</t>
  </si>
  <si>
    <t>1601 Metropolitan Ave</t>
  </si>
  <si>
    <t>2920 W 21st St</t>
  </si>
  <si>
    <t>620 W 189th St</t>
  </si>
  <si>
    <t>1500 Grand Concourse</t>
  </si>
  <si>
    <t>10 Argyle Rd</t>
  </si>
  <si>
    <t>905 43rd St</t>
  </si>
  <si>
    <t>47 Mckeever Pl</t>
  </si>
  <si>
    <t>1001 Woodycrest Ave</t>
  </si>
  <si>
    <t>1760 Lexington Ave</t>
  </si>
  <si>
    <t>915 84th St</t>
  </si>
  <si>
    <t>200 W 81st St</t>
  </si>
  <si>
    <t>1539 Lexington Ave</t>
  </si>
  <si>
    <t>144 Beach 62nd St</t>
  </si>
  <si>
    <t>200 Bradhurst Ave</t>
  </si>
  <si>
    <t>2753 Nostrand Ave</t>
  </si>
  <si>
    <t>1880 Valentine Ave</t>
  </si>
  <si>
    <t>918 Kent Ave</t>
  </si>
  <si>
    <t>1236 Atlantic Ave</t>
  </si>
  <si>
    <t>482 Tompkins Ave</t>
  </si>
  <si>
    <t>479 Miller Ave</t>
  </si>
  <si>
    <t>17234 126th Ave</t>
  </si>
  <si>
    <t>1444 Park Pl</t>
  </si>
  <si>
    <t>1121 71st St</t>
  </si>
  <si>
    <t>405 E 204th St</t>
  </si>
  <si>
    <t>240 Cortelyou Ave</t>
  </si>
  <si>
    <t>12613 143RD ST</t>
  </si>
  <si>
    <t>10531 Avenue K</t>
  </si>
  <si>
    <t>625 W 140th St</t>
  </si>
  <si>
    <t>184 Stuyvesant avenue</t>
  </si>
  <si>
    <t>270 pulaski St</t>
  </si>
  <si>
    <t>341 Taylor Ave</t>
  </si>
  <si>
    <t>1035 Rutland Rd</t>
  </si>
  <si>
    <t>1022 Woodycrest Ave</t>
  </si>
  <si>
    <t>1088 Blake Ave</t>
  </si>
  <si>
    <t>28 Metropolitan Oval</t>
  </si>
  <si>
    <t>2189 Pitkin Ave</t>
  </si>
  <si>
    <t>150 Malcolm X Blvd</t>
  </si>
  <si>
    <t>1265 E 73rd St</t>
  </si>
  <si>
    <t>143 Dumont Ave</t>
  </si>
  <si>
    <t>178 Highland Blvd</t>
  </si>
  <si>
    <t>1457 36th St</t>
  </si>
  <si>
    <t>451 Kingston Ave</t>
  </si>
  <si>
    <t>90-16 171st Street</t>
  </si>
  <si>
    <t>1420 Parkchester Rd</t>
  </si>
  <si>
    <t>119 Shotwell Ave</t>
  </si>
  <si>
    <t>1180 Anderson Ave</t>
  </si>
  <si>
    <t>420 Saint Marks Pl</t>
  </si>
  <si>
    <t>388 Bridge St</t>
  </si>
  <si>
    <t>2158 Atlantic Ave</t>
  </si>
  <si>
    <t>185 Park Hill Ave</t>
  </si>
  <si>
    <t>5512 111th St</t>
  </si>
  <si>
    <t>3110 Bainbridge Ave</t>
  </si>
  <si>
    <t>725 Garden St</t>
  </si>
  <si>
    <t>8 Navy Pier Ct</t>
  </si>
  <si>
    <t>681 Ocean Ave</t>
  </si>
  <si>
    <t>330 E 19th St</t>
  </si>
  <si>
    <t>5124 Beach Channel Dr</t>
  </si>
  <si>
    <t>11 Mckeever Pl</t>
  </si>
  <si>
    <t>326 Bainbridge St</t>
  </si>
  <si>
    <t>260 Howard Ave. (4g)</t>
  </si>
  <si>
    <t>180 Park Hill Ave</t>
  </si>
  <si>
    <t>87 Wilcox St</t>
  </si>
  <si>
    <t>1925 Glenwood Rd</t>
  </si>
  <si>
    <t>336 E 117th St</t>
  </si>
  <si>
    <t>2400 Webb Ave</t>
  </si>
  <si>
    <t>3018 Kingsbridge Ave</t>
  </si>
  <si>
    <t>1 Bay Club Dr</t>
  </si>
  <si>
    <t>13732 Sloan St</t>
  </si>
  <si>
    <t>692 Green Ave</t>
  </si>
  <si>
    <t>14208 123rd Ave</t>
  </si>
  <si>
    <t>3114 102nd St</t>
  </si>
  <si>
    <t>11566 Newburgh St</t>
  </si>
  <si>
    <t>1521 Unionport Rd</t>
  </si>
  <si>
    <t>28 Paerdegat 5th St</t>
  </si>
  <si>
    <t>718 Saint Marks Ave</t>
  </si>
  <si>
    <t>4728 Bronx Blvd</t>
  </si>
  <si>
    <t>8317 133rd Ave</t>
  </si>
  <si>
    <t>8807 21st Ave</t>
  </si>
  <si>
    <t>262 Amboy St</t>
  </si>
  <si>
    <t>779 4th Ave</t>
  </si>
  <si>
    <t>592 E 141st St</t>
  </si>
  <si>
    <t>9863 Corona Ave</t>
  </si>
  <si>
    <t>582 Courtlandt Ave</t>
  </si>
  <si>
    <t>11306 Sutphin Blvd</t>
  </si>
  <si>
    <t>2245 Ocean Pkwy</t>
  </si>
  <si>
    <t>1386 Prospect Ave</t>
  </si>
  <si>
    <t>13318 145th St</t>
  </si>
  <si>
    <t>942 College Point Blvd</t>
  </si>
  <si>
    <t>2103 Honeywell Ave</t>
  </si>
  <si>
    <t>10601 79th St</t>
  </si>
  <si>
    <t>256 Egbert Ave</t>
  </si>
  <si>
    <t>13753 234th St</t>
  </si>
  <si>
    <t>2477 Belmont Ave</t>
  </si>
  <si>
    <t>10405 Liberty Ave</t>
  </si>
  <si>
    <t>1129a E Tremont Ave</t>
  </si>
  <si>
    <t>3234 95h Street</t>
  </si>
  <si>
    <t>2390 Tiebout Ave</t>
  </si>
  <si>
    <t>970 E 231st St</t>
  </si>
  <si>
    <t>465 E 7th St</t>
  </si>
  <si>
    <t>983 E 181st St</t>
  </si>
  <si>
    <t>3123 56th St</t>
  </si>
  <si>
    <t>9905 63rd Dr</t>
  </si>
  <si>
    <t>5933 59th Dr</t>
  </si>
  <si>
    <t>9029 Eldert Ln</t>
  </si>
  <si>
    <t>55 W 180th St</t>
  </si>
  <si>
    <t>1430 Amsterdam Ave</t>
  </si>
  <si>
    <t>2608 Creston Ave</t>
  </si>
  <si>
    <t>1451 Rosedale Ave</t>
  </si>
  <si>
    <t>14 Washington Pl</t>
  </si>
  <si>
    <t>3317 Seymour Ave</t>
  </si>
  <si>
    <t>388 E 141st St</t>
  </si>
  <si>
    <t>1432 Croes Ave</t>
  </si>
  <si>
    <t>18708 Hillside Ave</t>
  </si>
  <si>
    <t>2170 Bathgate Ave</t>
  </si>
  <si>
    <t>2137 Vyse Ave</t>
  </si>
  <si>
    <t>1414 Crotona Park E</t>
  </si>
  <si>
    <t>9116 95th Ave</t>
  </si>
  <si>
    <t>4459 Matilda Ave</t>
  </si>
  <si>
    <t>1191 Boston Rd</t>
  </si>
  <si>
    <t>731 Gerard Ave</t>
  </si>
  <si>
    <t>789 Saint Marks Ave</t>
  </si>
  <si>
    <t>1414 Crotona Park East</t>
  </si>
  <si>
    <t>907 Avenue St. John</t>
  </si>
  <si>
    <t>2014 81st St</t>
  </si>
  <si>
    <t>987 Hegeman Ave</t>
  </si>
  <si>
    <t>19619 Jamaica Ave</t>
  </si>
  <si>
    <t>5706 Farragut Rd</t>
  </si>
  <si>
    <t>790 Grand Concourse</t>
  </si>
  <si>
    <t>135 W 93rd St</t>
  </si>
  <si>
    <t>10330 126th St</t>
  </si>
  <si>
    <t>15046 72nd Dr</t>
  </si>
  <si>
    <t>276 Tennyson Dr</t>
  </si>
  <si>
    <t>599 Hancock St</t>
  </si>
  <si>
    <t>141 Macdonough St</t>
  </si>
  <si>
    <t>35 Central Park N</t>
  </si>
  <si>
    <t>1055 Blake Ave</t>
  </si>
  <si>
    <t>408 W 129th St</t>
  </si>
  <si>
    <t>14809 Northern blvd</t>
  </si>
  <si>
    <t>115 Corson ave</t>
  </si>
  <si>
    <t>941 Jerome ave</t>
  </si>
  <si>
    <t>1711 Fulton St</t>
  </si>
  <si>
    <t>394 E 98th St</t>
  </si>
  <si>
    <t>1515 Pennsylvania Ave</t>
  </si>
  <si>
    <t>509 New Jersey Ave</t>
  </si>
  <si>
    <t>2744 Bedford Ave</t>
  </si>
  <si>
    <t>1985 Webster Ave</t>
  </si>
  <si>
    <t>5305 6th Ave</t>
  </si>
  <si>
    <t>347 Westervelt Ave</t>
  </si>
  <si>
    <t>177 Milford St</t>
  </si>
  <si>
    <t>1750 Grand Concourse</t>
  </si>
  <si>
    <t>384 new jersey ave</t>
  </si>
  <si>
    <t>1571 42nd St</t>
  </si>
  <si>
    <t>3205 Emmons Ave</t>
  </si>
  <si>
    <t>333 Neptune Ave</t>
  </si>
  <si>
    <t>1055 Blake ave</t>
  </si>
  <si>
    <t>344 E 28th St</t>
  </si>
  <si>
    <t>2 W 120th St</t>
  </si>
  <si>
    <t>329 Patchen Ave</t>
  </si>
  <si>
    <t>3915 Neptune Ave</t>
  </si>
  <si>
    <t>15 Post ave</t>
  </si>
  <si>
    <t>1409 Prospect Ave</t>
  </si>
  <si>
    <t>235 Berriman St</t>
  </si>
  <si>
    <t>984 Glenmore Ave</t>
  </si>
  <si>
    <t>1435 Parker St</t>
  </si>
  <si>
    <t>2832 W 36th St</t>
  </si>
  <si>
    <t>800 Grand Concourse</t>
  </si>
  <si>
    <t>245 e 63rd street</t>
  </si>
  <si>
    <t>15119 34th Ave</t>
  </si>
  <si>
    <t>15 Mother Gaston Blvd</t>
  </si>
  <si>
    <t>1256 E 13th St</t>
  </si>
  <si>
    <t>2044 Bergen St</t>
  </si>
  <si>
    <t>2780 W 5th St</t>
  </si>
  <si>
    <t>2906 Brighton 12th St</t>
  </si>
  <si>
    <t>2820 W 8th St</t>
  </si>
  <si>
    <t>420 W 19th St</t>
  </si>
  <si>
    <t>4146 68th St</t>
  </si>
  <si>
    <t>3920 Greenpoint Ave</t>
  </si>
  <si>
    <t>732 E 187th St</t>
  </si>
  <si>
    <t>82 Saint Edwards St</t>
  </si>
  <si>
    <t>740 Uclid Avenue</t>
  </si>
  <si>
    <t>117 W 90th St</t>
  </si>
  <si>
    <t>1020 Boynton Ave</t>
  </si>
  <si>
    <t>236 Parkville Ave</t>
  </si>
  <si>
    <t>186 e 164th st</t>
  </si>
  <si>
    <t>1520 Sedgwick Ave</t>
  </si>
  <si>
    <t>10415 34th Ave</t>
  </si>
  <si>
    <t>20 Richman Plz</t>
  </si>
  <si>
    <t>3022 W 22nd St</t>
  </si>
  <si>
    <t>74 W 103rd St</t>
  </si>
  <si>
    <t>2330 Newtown Ave</t>
  </si>
  <si>
    <t>1257 Loring Ave</t>
  </si>
  <si>
    <t>1820 Avenue P</t>
  </si>
  <si>
    <t>170 S Portland Ave</t>
  </si>
  <si>
    <t>815 Gerard Ave</t>
  </si>
  <si>
    <t>2985 Webster Ave Apt 3</t>
  </si>
  <si>
    <t>2504 Olinville Ave</t>
  </si>
  <si>
    <t>730 Herkimer St</t>
  </si>
  <si>
    <t>1015 E 179th St</t>
  </si>
  <si>
    <t>35 Hamilton Pl</t>
  </si>
  <si>
    <t>1141 Elder ave</t>
  </si>
  <si>
    <t>2274 Grand Concourse</t>
  </si>
  <si>
    <t>1766 Gleason Ave</t>
  </si>
  <si>
    <t>1220 Morris Ave</t>
  </si>
  <si>
    <t>8801 Shore Rd</t>
  </si>
  <si>
    <t>2311 Crotona Ave</t>
  </si>
  <si>
    <t>439 E 135th St</t>
  </si>
  <si>
    <t>9010 150th St</t>
  </si>
  <si>
    <t>3505 Foster Ave</t>
  </si>
  <si>
    <t>14 Verona St</t>
  </si>
  <si>
    <t>770 Bryant Ave</t>
  </si>
  <si>
    <t>1700 Crotona Park E</t>
  </si>
  <si>
    <t>2075 Boston Rd</t>
  </si>
  <si>
    <t>3915 Carpenter Ave</t>
  </si>
  <si>
    <t>2010 Powell Ave</t>
  </si>
  <si>
    <t>2356 Grand Concourse</t>
  </si>
  <si>
    <t>15327 73rd Ave</t>
  </si>
  <si>
    <t>4102 12th St</t>
  </si>
  <si>
    <t>3805 Review Pl</t>
  </si>
  <si>
    <t>400 Stanhope St</t>
  </si>
  <si>
    <t>1178 Sherman Ave</t>
  </si>
  <si>
    <t>769 Bryant Ave</t>
  </si>
  <si>
    <t>1926 Walton Ave</t>
  </si>
  <si>
    <t>2025 Seward Ave</t>
  </si>
  <si>
    <t>312 Prospect Ave</t>
  </si>
  <si>
    <t>2350 beaumont ave</t>
  </si>
  <si>
    <t>726 Bergen St</t>
  </si>
  <si>
    <t>763 Ocean Pkwy</t>
  </si>
  <si>
    <t>679 48th St</t>
  </si>
  <si>
    <t>1409 E 98th St</t>
  </si>
  <si>
    <t>705 E 179th St</t>
  </si>
  <si>
    <t>45 Pinehurst Ave</t>
  </si>
  <si>
    <t>160 Vermilyea Ave</t>
  </si>
  <si>
    <t>2543 Bronxwood Ave</t>
  </si>
  <si>
    <t>3572 Dekalb Ave</t>
  </si>
  <si>
    <t>357 9th St</t>
  </si>
  <si>
    <t>454 Empire Blvd</t>
  </si>
  <si>
    <t>3125 Park Ave</t>
  </si>
  <si>
    <t>11 Paerdegat 6th St</t>
  </si>
  <si>
    <t>36 Gatling Pl</t>
  </si>
  <si>
    <t>8 West 118th Srtreet</t>
  </si>
  <si>
    <t>365 E 183rd St</t>
  </si>
  <si>
    <t>941 Jerome Ave</t>
  </si>
  <si>
    <t>244 Bond St</t>
  </si>
  <si>
    <t>1061 Teller Ave</t>
  </si>
  <si>
    <t>505 Beach 141st St</t>
  </si>
  <si>
    <t>600 E 141st St</t>
  </si>
  <si>
    <t>12627 146th St</t>
  </si>
  <si>
    <t>79 Chauncey St</t>
  </si>
  <si>
    <t>3320 Avenue H</t>
  </si>
  <si>
    <t>11422 170th St</t>
  </si>
  <si>
    <t>1480 Popham Ave</t>
  </si>
  <si>
    <t>456 Schenectady ave</t>
  </si>
  <si>
    <t>340 Williams Ave</t>
  </si>
  <si>
    <t>1380 Univ Ave</t>
  </si>
  <si>
    <t>1521 Sheridan Ave</t>
  </si>
  <si>
    <t>140 Riverside dr</t>
  </si>
  <si>
    <t>11808 227th St</t>
  </si>
  <si>
    <t>1084 New York Ave</t>
  </si>
  <si>
    <t>522 Pine St</t>
  </si>
  <si>
    <t>342 Madison St</t>
  </si>
  <si>
    <t>3303 Fenton Avenue</t>
  </si>
  <si>
    <t>1715 Nelson Ave</t>
  </si>
  <si>
    <t>530 E 137th St</t>
  </si>
  <si>
    <t>315 E 167th St</t>
  </si>
  <si>
    <t>1384 Grand Concourse</t>
  </si>
  <si>
    <t>1495 Grand Concourse</t>
  </si>
  <si>
    <t>3333 Broadway</t>
  </si>
  <si>
    <t>108 E Clarke Pl</t>
  </si>
  <si>
    <t>2060 Crotona Pkwy</t>
  </si>
  <si>
    <t>6730 Forest Ave</t>
  </si>
  <si>
    <t>204-15 Foothill Ave</t>
  </si>
  <si>
    <t>1105 Elder Ave</t>
  </si>
  <si>
    <t>655 E 228th St</t>
  </si>
  <si>
    <t>2342 Ryer Ave</t>
  </si>
  <si>
    <t>9 Brighton 1st Rd</t>
  </si>
  <si>
    <t>1094 Longfellow Ave</t>
  </si>
  <si>
    <t>4811 39th Pl</t>
  </si>
  <si>
    <t>186 Utica Ave</t>
  </si>
  <si>
    <t>2476 Cambreleng Ave</t>
  </si>
  <si>
    <t>45 Shepherd Ave</t>
  </si>
  <si>
    <t>1060 Sheridan Ave</t>
  </si>
  <si>
    <t>1197 Grand Concourse</t>
  </si>
  <si>
    <t>1098 Grant Ave</t>
  </si>
  <si>
    <t>1490 Boone Ave</t>
  </si>
  <si>
    <t>401 Bronx River Ave</t>
  </si>
  <si>
    <t>1927 Univ Ave</t>
  </si>
  <si>
    <t>165 W 197th St</t>
  </si>
  <si>
    <t>2802 Grand Concourse</t>
  </si>
  <si>
    <t>1719 63rd St</t>
  </si>
  <si>
    <t>85 Foster Rd</t>
  </si>
  <si>
    <t>140 Herkimer St</t>
  </si>
  <si>
    <t>246 55th St</t>
  </si>
  <si>
    <t>65 Oriental Blvd</t>
  </si>
  <si>
    <t>126 Berkeley Pl</t>
  </si>
  <si>
    <t>1711 Himrod St</t>
  </si>
  <si>
    <t>1336 Herkimer St</t>
  </si>
  <si>
    <t>261 Bainbridge St</t>
  </si>
  <si>
    <t>13418 133rd Ave</t>
  </si>
  <si>
    <t>327 E 158th St</t>
  </si>
  <si>
    <t>13236 87th St</t>
  </si>
  <si>
    <t>2510 Collier Ave</t>
  </si>
  <si>
    <t>7000 Bay Pkwy</t>
  </si>
  <si>
    <t>329 Beach 70th St</t>
  </si>
  <si>
    <t>130 Clarkson Ave</t>
  </si>
  <si>
    <t>792 Sterling Pl</t>
  </si>
  <si>
    <t>1682 Seward Avenue</t>
  </si>
  <si>
    <t>57 Parkinson Avenue</t>
  </si>
  <si>
    <t>9610 57th Ave</t>
  </si>
  <si>
    <t>5024 31st Ave</t>
  </si>
  <si>
    <t>171 15th St</t>
  </si>
  <si>
    <t>177 Sheffield Ave</t>
  </si>
  <si>
    <t>448 Classon Ave</t>
  </si>
  <si>
    <t>9565 Tuckerton St</t>
  </si>
  <si>
    <t>167 W 83rd St</t>
  </si>
  <si>
    <t>25 Boerum St</t>
  </si>
  <si>
    <t>2018 Bay Ridge Ave</t>
  </si>
  <si>
    <t>1903 Ocean Ave</t>
  </si>
  <si>
    <t>1305 E 18th St</t>
  </si>
  <si>
    <t>501 Brightwater ct</t>
  </si>
  <si>
    <t>64 Hicks St</t>
  </si>
  <si>
    <t>35 E 94th St</t>
  </si>
  <si>
    <t>232 Schenectady Ave</t>
  </si>
  <si>
    <t>385 Chestnut St</t>
  </si>
  <si>
    <t>205 Sumpter St</t>
  </si>
  <si>
    <t>545 E 144th St</t>
  </si>
  <si>
    <t>403 Kosciuszko St</t>
  </si>
  <si>
    <t>249 Thomas S Boyland St</t>
  </si>
  <si>
    <t>2010 Newkirk Ave</t>
  </si>
  <si>
    <t>4094 Denman St</t>
  </si>
  <si>
    <t>13261 Sanford Ave</t>
  </si>
  <si>
    <t>383 Pulaski St</t>
  </si>
  <si>
    <t>200 Haven Ave</t>
  </si>
  <si>
    <t>91 Brook St</t>
  </si>
  <si>
    <t>4022 190th St</t>
  </si>
  <si>
    <t>390 Schenck Ave</t>
  </si>
  <si>
    <t>1512 54th St</t>
  </si>
  <si>
    <t>839 Putnam Ave</t>
  </si>
  <si>
    <t>222 Kingsland Ave</t>
  </si>
  <si>
    <t>585 E 21st St</t>
  </si>
  <si>
    <t>824 Albany Ave</t>
  </si>
  <si>
    <t>520 Isham St</t>
  </si>
  <si>
    <t>121 Seaman Ave</t>
  </si>
  <si>
    <t>899 Westchester Ave</t>
  </si>
  <si>
    <t>104 E 57th St</t>
  </si>
  <si>
    <t>477 Washington Ave</t>
  </si>
  <si>
    <t>700 Ocean Ave</t>
  </si>
  <si>
    <t>207 Troy Ave</t>
  </si>
  <si>
    <t>63 Bokee Ct</t>
  </si>
  <si>
    <t>7402 Bay Pkwy</t>
  </si>
  <si>
    <t>19008 110th Rd</t>
  </si>
  <si>
    <t>168 Hendrix St</t>
  </si>
  <si>
    <t>12040 229 street</t>
  </si>
  <si>
    <t>135 E 149th St</t>
  </si>
  <si>
    <t>4382 Furman Ave</t>
  </si>
  <si>
    <t>1710 Union St</t>
  </si>
  <si>
    <t>3500 Snyder Ave</t>
  </si>
  <si>
    <t>2503 Cortelyou Rd</t>
  </si>
  <si>
    <t>45 Twin Pines Dr</t>
  </si>
  <si>
    <t>1107 Nostrand Ave</t>
  </si>
  <si>
    <t>1966 70th St</t>
  </si>
  <si>
    <t>5212 Glenwood Rd</t>
  </si>
  <si>
    <t>257 E 32nd St</t>
  </si>
  <si>
    <t>647 E 103rd St</t>
  </si>
  <si>
    <t>9418 Wogan Ter</t>
  </si>
  <si>
    <t>107 Harman St</t>
  </si>
  <si>
    <t>1873 Parl Place</t>
  </si>
  <si>
    <t>2532 Bedford Ave</t>
  </si>
  <si>
    <t>11919 Inwood St</t>
  </si>
  <si>
    <t>12514 Jamaica Ave</t>
  </si>
  <si>
    <t>93 Jefferson St</t>
  </si>
  <si>
    <t>671 W 193rd St</t>
  </si>
  <si>
    <t>11469 225th St</t>
  </si>
  <si>
    <t>8023 235th St</t>
  </si>
  <si>
    <t>10538 170th St</t>
  </si>
  <si>
    <t>535 E 11th St</t>
  </si>
  <si>
    <t>1633 Hancock St</t>
  </si>
  <si>
    <t>356 Arlington Ave</t>
  </si>
  <si>
    <t>11717 168th St</t>
  </si>
  <si>
    <t>16427 109th Ave</t>
  </si>
  <si>
    <t>139 W 135th St</t>
  </si>
  <si>
    <t>9724 93rd St</t>
  </si>
  <si>
    <t>4809 Avenue J</t>
  </si>
  <si>
    <t>10306 Remington St</t>
  </si>
  <si>
    <t>752 Glenmore Ave</t>
  </si>
  <si>
    <t>7127 65th St</t>
  </si>
  <si>
    <t>30 E 95th St</t>
  </si>
  <si>
    <t>7122 Myrtle Ave</t>
  </si>
  <si>
    <t>10921 Van Wyck Expy</t>
  </si>
  <si>
    <t>329 Beach 86th St</t>
  </si>
  <si>
    <t>13006 229th St</t>
  </si>
  <si>
    <t>10335 177th St</t>
  </si>
  <si>
    <t>19 Hill St</t>
  </si>
  <si>
    <t>165 E 112th St</t>
  </si>
  <si>
    <t>33 Henry St</t>
  </si>
  <si>
    <t>2276 2nd Ave</t>
  </si>
  <si>
    <t>2573 Atlantic Ave</t>
  </si>
  <si>
    <t>13215 155th St</t>
  </si>
  <si>
    <t>2273 7th Ave</t>
  </si>
  <si>
    <t>1610 43rd St</t>
  </si>
  <si>
    <t>8511 87th St</t>
  </si>
  <si>
    <t>909 E 29th St</t>
  </si>
  <si>
    <t>516 W 156th St</t>
  </si>
  <si>
    <t>328 Beekman Ave</t>
  </si>
  <si>
    <t>5906a 38th Ave</t>
  </si>
  <si>
    <t>1902 7th Ave</t>
  </si>
  <si>
    <t>10433 142nd St</t>
  </si>
  <si>
    <t>1392 Sterling Pl</t>
  </si>
  <si>
    <t>801 Woodward Ave</t>
  </si>
  <si>
    <t>120 E 123rd St</t>
  </si>
  <si>
    <t>24207 149th Ave</t>
  </si>
  <si>
    <t>553 Mcdonald Ave</t>
  </si>
  <si>
    <t>4323 Ithaca St</t>
  </si>
  <si>
    <t>2714 Frederick Douglass Blvd</t>
  </si>
  <si>
    <t>170-25 171st Pl</t>
  </si>
  <si>
    <t>6082 Catalpa Ave</t>
  </si>
  <si>
    <t>96 Baxter St</t>
  </si>
  <si>
    <t>343 Herzl St</t>
  </si>
  <si>
    <t>133-08 41st Ave</t>
  </si>
  <si>
    <t>4308 40th St</t>
  </si>
  <si>
    <t>1728 Stephen St</t>
  </si>
  <si>
    <t>1782 Bergen st</t>
  </si>
  <si>
    <t>11539 135th St</t>
  </si>
  <si>
    <t>11119 43rd Ave</t>
  </si>
  <si>
    <t>10733 Watson Pl</t>
  </si>
  <si>
    <t>198 Bond St</t>
  </si>
  <si>
    <t>1015 Hancock St</t>
  </si>
  <si>
    <t>553 58th St</t>
  </si>
  <si>
    <t>25 Bond Street</t>
  </si>
  <si>
    <t>10446 43rd Ave</t>
  </si>
  <si>
    <t>100 W 83rd St</t>
  </si>
  <si>
    <t>745 E 242nd St</t>
  </si>
  <si>
    <t>525 Fdr Dr</t>
  </si>
  <si>
    <t>127 E 107th St</t>
  </si>
  <si>
    <t>630 Riverside Dr</t>
  </si>
  <si>
    <t>246 Bainbridge St</t>
  </si>
  <si>
    <t>472 E 95th Street</t>
  </si>
  <si>
    <t>1318 Nostrand Ave</t>
  </si>
  <si>
    <t>29 Louisiana Ave</t>
  </si>
  <si>
    <t>4430 Macnish St</t>
  </si>
  <si>
    <t>1468 5th Ave</t>
  </si>
  <si>
    <t>1800 Albemarle rd</t>
  </si>
  <si>
    <t>844 42nd St</t>
  </si>
  <si>
    <t>314 E 100th St</t>
  </si>
  <si>
    <t>1760 Madison Ave</t>
  </si>
  <si>
    <t>988 Eastern Pkwy</t>
  </si>
  <si>
    <t>1366 New York Ave</t>
  </si>
  <si>
    <t>333 E 14th St</t>
  </si>
  <si>
    <t>21 Truxton St</t>
  </si>
  <si>
    <t>555 Ocean Ave</t>
  </si>
  <si>
    <t>36 Crooke Ave</t>
  </si>
  <si>
    <t>5724 4th Ave</t>
  </si>
  <si>
    <t>33 Lenox Rd</t>
  </si>
  <si>
    <t>855 E 19th St</t>
  </si>
  <si>
    <t>456 Nostrand Ave</t>
  </si>
  <si>
    <t>388 Clifton Pl</t>
  </si>
  <si>
    <t>50 Stuyvesant Ave</t>
  </si>
  <si>
    <t>239 Linden St</t>
  </si>
  <si>
    <t>770 Jefferson Ave</t>
  </si>
  <si>
    <t>139 Harman St</t>
  </si>
  <si>
    <t>744 Gates Ave</t>
  </si>
  <si>
    <t>55 Linden Blvd</t>
  </si>
  <si>
    <t>287 Linden Blvd</t>
  </si>
  <si>
    <t>250 Clarkson Ave</t>
  </si>
  <si>
    <t>1772 Flatbush Ave</t>
  </si>
  <si>
    <t>11369 Springfield Blvd</t>
  </si>
  <si>
    <t>4148 40th St</t>
  </si>
  <si>
    <t>1465 Madison Ave</t>
  </si>
  <si>
    <t>11436 Sutphin Blvd</t>
  </si>
  <si>
    <t>10760 159th St</t>
  </si>
  <si>
    <t>2140 Madison Ave</t>
  </si>
  <si>
    <t>90 Avenue D</t>
  </si>
  <si>
    <t>1780 1st Ave</t>
  </si>
  <si>
    <t>125 E 118th St</t>
  </si>
  <si>
    <t>511 W 177th St</t>
  </si>
  <si>
    <t>175 Father Zeiser Pl</t>
  </si>
  <si>
    <t>13446 161st St</t>
  </si>
  <si>
    <t>1 Tennis Ct</t>
  </si>
  <si>
    <t>994 E 180th St</t>
  </si>
  <si>
    <t>2070 7th Ave</t>
  </si>
  <si>
    <t>94025 57th Avenue</t>
  </si>
  <si>
    <t>1980 Adam Clayton Powell Jr Blvd</t>
  </si>
  <si>
    <t>1284 Saint Johns Pl</t>
  </si>
  <si>
    <t>11640 Guy R Brewer Blvd</t>
  </si>
  <si>
    <t>9608 57th Ave</t>
  </si>
  <si>
    <t>20 N 5th St</t>
  </si>
  <si>
    <t>2416 38th Ave</t>
  </si>
  <si>
    <t>3402 106th St</t>
  </si>
  <si>
    <t>8616 60th Ave</t>
  </si>
  <si>
    <t>33 Grandview Ave</t>
  </si>
  <si>
    <t>5337 97th St</t>
  </si>
  <si>
    <t>6570 Booth St</t>
  </si>
  <si>
    <t>340 E 5th St</t>
  </si>
  <si>
    <t>1690 Watson Ave</t>
  </si>
  <si>
    <t>60 E 135th St</t>
  </si>
  <si>
    <t>8412 Rockaway Beach Blvd</t>
  </si>
  <si>
    <t>1534 Prospect Pl</t>
  </si>
  <si>
    <t>45 Tehama st</t>
  </si>
  <si>
    <t>89 W Tremont Ave</t>
  </si>
  <si>
    <t>424 Cathedral Pkwy</t>
  </si>
  <si>
    <t>559 50th St</t>
  </si>
  <si>
    <t>10844 160th St</t>
  </si>
  <si>
    <t>1050 Anderson Ave</t>
  </si>
  <si>
    <t>13534 116th St</t>
  </si>
  <si>
    <t>320 Vanderbilt Ave</t>
  </si>
  <si>
    <t>1154 Stratford Ave</t>
  </si>
  <si>
    <t>790 Eldert Ln</t>
  </si>
  <si>
    <t>30 Ocean Pkwy</t>
  </si>
  <si>
    <t>2236 Batchelder St</t>
  </si>
  <si>
    <t>55 Saint Nicholas Pl</t>
  </si>
  <si>
    <t>1350 Bedford Ave</t>
  </si>
  <si>
    <t>1996 Anthony Ave</t>
  </si>
  <si>
    <t>5 Saint Marks Pl</t>
  </si>
  <si>
    <t>666 W End Ave</t>
  </si>
  <si>
    <t>14027 183rd St</t>
  </si>
  <si>
    <t>233 W 111th St</t>
  </si>
  <si>
    <t>3102 Brighton 1st Pl</t>
  </si>
  <si>
    <t>6514 Parsons Blvd</t>
  </si>
  <si>
    <t>2043 Palmetto St</t>
  </si>
  <si>
    <t>864 Hewitt Pl</t>
  </si>
  <si>
    <t>9835 57th Ave</t>
  </si>
  <si>
    <t>10635 159th St</t>
  </si>
  <si>
    <t>2337 Ellis Ave</t>
  </si>
  <si>
    <t>72 Wadsworth Ter</t>
  </si>
  <si>
    <t>600 W 186th St</t>
  </si>
  <si>
    <t>2018 Monterey Ave</t>
  </si>
  <si>
    <t>1048 Union St</t>
  </si>
  <si>
    <t>1 Jacobus Pl</t>
  </si>
  <si>
    <t>1895 Belmont Ave</t>
  </si>
  <si>
    <t>22 W 25th St</t>
  </si>
  <si>
    <t>4033 69th St</t>
  </si>
  <si>
    <t>57 Herkimer St</t>
  </si>
  <si>
    <t>3038 Hull Ave</t>
  </si>
  <si>
    <t>1990 Gleason Ave</t>
  </si>
  <si>
    <t>2334 Washington Ave</t>
  </si>
  <si>
    <t>605 Louisiana Ave</t>
  </si>
  <si>
    <t>735 Lincoln ave</t>
  </si>
  <si>
    <t>444 Lexington Ave</t>
  </si>
  <si>
    <t>636 Brooklyn Ave</t>
  </si>
  <si>
    <t>168 1st Ave</t>
  </si>
  <si>
    <t>12052 168th St</t>
  </si>
  <si>
    <t>2166 Frederick Douglass Blvd</t>
  </si>
  <si>
    <t>321 W 94th St</t>
  </si>
  <si>
    <t>32-2 28th Avenue</t>
  </si>
  <si>
    <t>730 Riverside Dr</t>
  </si>
  <si>
    <t>1141 Elder Ave</t>
  </si>
  <si>
    <t>7313 70th St</t>
  </si>
  <si>
    <t>2079 W 7th St</t>
  </si>
  <si>
    <t>3611 15th Ave</t>
  </si>
  <si>
    <t>179 Riverdale Ave</t>
  </si>
  <si>
    <t>300 Linden Blvd</t>
  </si>
  <si>
    <t>214 Rockaway Pkwy</t>
  </si>
  <si>
    <t>4861 Broadway</t>
  </si>
  <si>
    <t>375 Lexington Ave</t>
  </si>
  <si>
    <t>200 W 143rd St</t>
  </si>
  <si>
    <t>396 Montgomery St</t>
  </si>
  <si>
    <t>2770 W 33rd St</t>
  </si>
  <si>
    <t>5209 6th Ave</t>
  </si>
  <si>
    <t>14 Thayer St</t>
  </si>
  <si>
    <t>66 Vermilyea Ave</t>
  </si>
  <si>
    <t>226 Naples Ter</t>
  </si>
  <si>
    <t>711 W 180th St</t>
  </si>
  <si>
    <t>119 Vermilyea Ave</t>
  </si>
  <si>
    <t>1781 Riverside Dr</t>
  </si>
  <si>
    <t>13912 34th Rd</t>
  </si>
  <si>
    <t>109 Lewis Ave</t>
  </si>
  <si>
    <t>540 E 23rd St</t>
  </si>
  <si>
    <t>21932 143rd Ave</t>
  </si>
  <si>
    <t>479 Pennsylvania Ave</t>
  </si>
  <si>
    <t>501 Lefferts Ave</t>
  </si>
  <si>
    <t>1022 E 36th St</t>
  </si>
  <si>
    <t>1380 36th St</t>
  </si>
  <si>
    <t>245 Lenox Rd</t>
  </si>
  <si>
    <t>783 Coney Island Ave</t>
  </si>
  <si>
    <t>333 Mcdonald Ave</t>
  </si>
  <si>
    <t>436 Fort Washington Ave</t>
  </si>
  <si>
    <t>222 Malcolm X Blvd</t>
  </si>
  <si>
    <t>563 Cauldwell Ave</t>
  </si>
  <si>
    <t>3515 34th St</t>
  </si>
  <si>
    <t>89 Seaman avenue</t>
  </si>
  <si>
    <t>662 6th Ave</t>
  </si>
  <si>
    <t>657 E 26th St</t>
  </si>
  <si>
    <t>1933 Chatterton Ave</t>
  </si>
  <si>
    <t>3415 Neptune Ave</t>
  </si>
  <si>
    <t>208 W 151st St</t>
  </si>
  <si>
    <t>9034 210th St</t>
  </si>
  <si>
    <t>555 W 43rd St</t>
  </si>
  <si>
    <t>135 Terrace View Ave</t>
  </si>
  <si>
    <t>6143 Wetherole St</t>
  </si>
  <si>
    <t>9610 575h Avenue</t>
  </si>
  <si>
    <t>988 Myrtle ave</t>
  </si>
  <si>
    <t>4530 Broadway</t>
  </si>
  <si>
    <t>215 E 68th St</t>
  </si>
  <si>
    <t>129 Sherman Ave</t>
  </si>
  <si>
    <t>120 De Kruif Pl</t>
  </si>
  <si>
    <t>445 Tompkins Ave</t>
  </si>
  <si>
    <t>1411 157th St</t>
  </si>
  <si>
    <t>539 Alabama Ave</t>
  </si>
  <si>
    <t>226 Beach 29th St</t>
  </si>
  <si>
    <t>210 Sherman Ave</t>
  </si>
  <si>
    <t>20104 36th Ave</t>
  </si>
  <si>
    <t>630 Lenox Ave</t>
  </si>
  <si>
    <t>141 E 21st St</t>
  </si>
  <si>
    <t>10436 Hollis Ave</t>
  </si>
  <si>
    <t>561 W 144th St</t>
  </si>
  <si>
    <t>81 Columbia St</t>
  </si>
  <si>
    <t>5430 Beach Channel Dr</t>
  </si>
  <si>
    <t>1439 Ocean Ave</t>
  </si>
  <si>
    <t>70 Ross St</t>
  </si>
  <si>
    <t>1370 Saint Nicholas Ave</t>
  </si>
  <si>
    <t>130 Moore St</t>
  </si>
  <si>
    <t>955 Walton Ave</t>
  </si>
  <si>
    <t>39 Hegeman Ave</t>
  </si>
  <si>
    <t>653 Classon Ave</t>
  </si>
  <si>
    <t>89 Seaman Ave</t>
  </si>
  <si>
    <t>168 Mckinley Ave</t>
  </si>
  <si>
    <t>3011 Parsons Blvd</t>
  </si>
  <si>
    <t>95 Seaman Ave</t>
  </si>
  <si>
    <t>Po Box 940446</t>
  </si>
  <si>
    <t>722 Bergen St</t>
  </si>
  <si>
    <t>312 Grove St</t>
  </si>
  <si>
    <t>395 Smith St</t>
  </si>
  <si>
    <t>117 Sherman Ave</t>
  </si>
  <si>
    <t>176 W 94th St</t>
  </si>
  <si>
    <t>2160 dean st</t>
  </si>
  <si>
    <t>60 Thayer St</t>
  </si>
  <si>
    <t>3990 Bronx Blvd</t>
  </si>
  <si>
    <t>1420 Nostrand Ave</t>
  </si>
  <si>
    <t>2879 W 12th St</t>
  </si>
  <si>
    <t>568 Pacific St</t>
  </si>
  <si>
    <t>1325 Lafayette Ave</t>
  </si>
  <si>
    <t>924 Armstrong Ave</t>
  </si>
  <si>
    <t>937 Victory Blvd</t>
  </si>
  <si>
    <t>10 Kimberly Ln</t>
  </si>
  <si>
    <t>8355 Austin St</t>
  </si>
  <si>
    <t>213 55th St</t>
  </si>
  <si>
    <t>3366 Decatur Ave</t>
  </si>
  <si>
    <t>1176 President St</t>
  </si>
  <si>
    <t>67 W 107th St</t>
  </si>
  <si>
    <t>281 Quincy St</t>
  </si>
  <si>
    <t>324 Montgomery St</t>
  </si>
  <si>
    <t>1895 Morris Ave</t>
  </si>
  <si>
    <t>20 Laguardia Ave</t>
  </si>
  <si>
    <t>232 Stuyvesant Ave</t>
  </si>
  <si>
    <t>1541 Williamsbridge Rd</t>
  </si>
  <si>
    <t>1744 Clay Ave</t>
  </si>
  <si>
    <t>55 Ocean Ave</t>
  </si>
  <si>
    <t>2922 Grand Concourse</t>
  </si>
  <si>
    <t>13906 34th Rd</t>
  </si>
  <si>
    <t>9838 57th Ave</t>
  </si>
  <si>
    <t>1777 Grand Concourse</t>
  </si>
  <si>
    <t>180 E 18th St</t>
  </si>
  <si>
    <t>360 E 166th St</t>
  </si>
  <si>
    <t>1195 Anderson Ave</t>
  </si>
  <si>
    <t>325 E 194th St</t>
  </si>
  <si>
    <t>735 Magenta St</t>
  </si>
  <si>
    <t>840 Columbus Ave</t>
  </si>
  <si>
    <t>721 Tinton Ave</t>
  </si>
  <si>
    <t>860 Belmont Ave</t>
  </si>
  <si>
    <t>85 Holland Ave</t>
  </si>
  <si>
    <t>547 W 147th St</t>
  </si>
  <si>
    <t>710 Tinton Ave</t>
  </si>
  <si>
    <t>500 W 144th St</t>
  </si>
  <si>
    <t>719 Saint Nicholas Ave</t>
  </si>
  <si>
    <t>940 Gates Ave</t>
  </si>
  <si>
    <t>803 W 180th St</t>
  </si>
  <si>
    <t>4339 158th St</t>
  </si>
  <si>
    <t>107 Navy Walk</t>
  </si>
  <si>
    <t>711 E 218th St</t>
  </si>
  <si>
    <t>165 Saint Marks Pl</t>
  </si>
  <si>
    <t>517 W 160th St</t>
  </si>
  <si>
    <t>4011 149th St</t>
  </si>
  <si>
    <t>276 Greeley Ave</t>
  </si>
  <si>
    <t>17004 118th Ave</t>
  </si>
  <si>
    <t>1268 Olmstead Ave</t>
  </si>
  <si>
    <t>490 Ocean Parkway</t>
  </si>
  <si>
    <t>1410 Wood Rd</t>
  </si>
  <si>
    <t>331 Saratoga Ave</t>
  </si>
  <si>
    <t>132 Halsey St</t>
  </si>
  <si>
    <t>352 Putnam Ave</t>
  </si>
  <si>
    <t>910 Dekalb Ave</t>
  </si>
  <si>
    <t>358 Marcus Blvd.</t>
  </si>
  <si>
    <t>305 Linden Blvd</t>
  </si>
  <si>
    <t>18804 64th Ave</t>
  </si>
  <si>
    <t>546 55th St</t>
  </si>
  <si>
    <t>1035 Washington Ave</t>
  </si>
  <si>
    <t>2567 Bedford Ave</t>
  </si>
  <si>
    <t>492 Lexington Ave</t>
  </si>
  <si>
    <t>210 Kosciuszko St</t>
  </si>
  <si>
    <t>1700 Hoe Ave</t>
  </si>
  <si>
    <t>167 Woodcutters Ln</t>
  </si>
  <si>
    <t>15029 Foch Blvd</t>
  </si>
  <si>
    <t>84 Hecker St</t>
  </si>
  <si>
    <t>7102 72nd Pl</t>
  </si>
  <si>
    <t>709 E 215th St</t>
  </si>
  <si>
    <t>3 Quincy St</t>
  </si>
  <si>
    <t>280 W 113th St</t>
  </si>
  <si>
    <t>9233 170th St</t>
  </si>
  <si>
    <t>11503 Bedell St</t>
  </si>
  <si>
    <t>2112 Starling Ave</t>
  </si>
  <si>
    <t>719 Seneca Ave</t>
  </si>
  <si>
    <t>27 W 181st St</t>
  </si>
  <si>
    <t>3560 Webster Ave</t>
  </si>
  <si>
    <t>863 East 220th Street</t>
  </si>
  <si>
    <t>4405 Macnish St</t>
  </si>
  <si>
    <t>576 E 165th St</t>
  </si>
  <si>
    <t>60 Saint Nicholas Ave</t>
  </si>
  <si>
    <t>45 W 110th St</t>
  </si>
  <si>
    <t>123 W 112th St</t>
  </si>
  <si>
    <t>2434 Walton Ave</t>
  </si>
  <si>
    <t>17619 133rd Rd</t>
  </si>
  <si>
    <t>8921 Elmhurst Ave</t>
  </si>
  <si>
    <t>7002 Parsons Blvd</t>
  </si>
  <si>
    <t>15011 109th Rd</t>
  </si>
  <si>
    <t>506 W 151st St</t>
  </si>
  <si>
    <t>11406 Bedell St</t>
  </si>
  <si>
    <t>171-04 Baisley Blvd</t>
  </si>
  <si>
    <t>721 E 216th St</t>
  </si>
  <si>
    <t>11609 Francis Lewis Blvd</t>
  </si>
  <si>
    <t>3521 Dekalb Ave</t>
  </si>
  <si>
    <t>13235 Sanford Ave</t>
  </si>
  <si>
    <t>1785 Bedford Ave</t>
  </si>
  <si>
    <t>333 Beach 32nd St</t>
  </si>
  <si>
    <t>10654 Ruscoe St</t>
  </si>
  <si>
    <t>3315 28th St</t>
  </si>
  <si>
    <t>7110 34th Ave</t>
  </si>
  <si>
    <t>260 Park Hill Ave</t>
  </si>
  <si>
    <t>2015 Grand Ave</t>
  </si>
  <si>
    <t>9501 Avenue L</t>
  </si>
  <si>
    <t>2251 Sedgwick Ave</t>
  </si>
  <si>
    <t>542 E 182nd St</t>
  </si>
  <si>
    <t>3014 Holland Ave</t>
  </si>
  <si>
    <t>9335 Lamont Ave</t>
  </si>
  <si>
    <t>1507 Metropolitan Ave</t>
  </si>
  <si>
    <t>39 Jaffe St</t>
  </si>
  <si>
    <t>20214 Hollis Ave</t>
  </si>
  <si>
    <t>6115 163rd St</t>
  </si>
  <si>
    <t>18 2nd St</t>
  </si>
  <si>
    <t>14445 35th Ave</t>
  </si>
  <si>
    <t>6536 99th St</t>
  </si>
  <si>
    <t>9102 Sutter Ave</t>
  </si>
  <si>
    <t>20812 39th Ave</t>
  </si>
  <si>
    <t>4123 76th St</t>
  </si>
  <si>
    <t>10 W 135th St</t>
  </si>
  <si>
    <t>331 Beach 31st St</t>
  </si>
  <si>
    <t>10633 156th St</t>
  </si>
  <si>
    <t>3725 98th St</t>
  </si>
  <si>
    <t>1501 Fulton St</t>
  </si>
  <si>
    <t>331 Tompkins Ave</t>
  </si>
  <si>
    <t>10702 Merrick Blvd</t>
  </si>
  <si>
    <t>104 Bartlett Ave</t>
  </si>
  <si>
    <t>124 Pelican Cir</t>
  </si>
  <si>
    <t>640 Riverside Dr</t>
  </si>
  <si>
    <t>8912 183rd St</t>
  </si>
  <si>
    <t>2026 Gates Ave</t>
  </si>
  <si>
    <t>11950 165th St</t>
  </si>
  <si>
    <t>11560 204th St</t>
  </si>
  <si>
    <t>525 A Quincy St</t>
  </si>
  <si>
    <t>390 E 153rd St</t>
  </si>
  <si>
    <t>2219 Morgan Avenue</t>
  </si>
  <si>
    <t>201 Crown St</t>
  </si>
  <si>
    <t>2443 Olinville Ave</t>
  </si>
  <si>
    <t>631 E 220th St</t>
  </si>
  <si>
    <t>379 Eastern Pkwy</t>
  </si>
  <si>
    <t>8008 45th Ave</t>
  </si>
  <si>
    <t>601 W 189th St</t>
  </si>
  <si>
    <t>2310 Holland Ave</t>
  </si>
  <si>
    <t>2913 Foster ave</t>
  </si>
  <si>
    <t>702 44th St</t>
  </si>
  <si>
    <t>1220 Shakespeare Ave</t>
  </si>
  <si>
    <t>1020 Soundview Ave</t>
  </si>
  <si>
    <t>739 E 242nd St</t>
  </si>
  <si>
    <t>14730 38th Ave</t>
  </si>
  <si>
    <t>2645 3rd Ave</t>
  </si>
  <si>
    <t>1857 Coney Island Ave</t>
  </si>
  <si>
    <t>8903 146th St</t>
  </si>
  <si>
    <t>904 Winthrop St</t>
  </si>
  <si>
    <t>50 Linden Blvd</t>
  </si>
  <si>
    <t>735 E 242nd St</t>
  </si>
  <si>
    <t>335 South Ave</t>
  </si>
  <si>
    <t>17032 130th Ave</t>
  </si>
  <si>
    <t>171Trantor Place</t>
  </si>
  <si>
    <t>960 Sherman Ave</t>
  </si>
  <si>
    <t>230 W 111th St</t>
  </si>
  <si>
    <t>1023 Putnam Ave</t>
  </si>
  <si>
    <t>1650 Putnam Ave</t>
  </si>
  <si>
    <t>107 Van Buren St</t>
  </si>
  <si>
    <t>519 W 121st St</t>
  </si>
  <si>
    <t>2224 Lyon Ave</t>
  </si>
  <si>
    <t>17040 130th Ave</t>
  </si>
  <si>
    <t>763 Greene Ave</t>
  </si>
  <si>
    <t>150 E 19th St</t>
  </si>
  <si>
    <t>755 Ocean Ave</t>
  </si>
  <si>
    <t>1041 Bushwick Ave</t>
  </si>
  <si>
    <t>1209 Bushwick Ave</t>
  </si>
  <si>
    <t>363 Grand Ave</t>
  </si>
  <si>
    <t>45 Pineapple St # 55</t>
  </si>
  <si>
    <t>750 Grand Concourse</t>
  </si>
  <si>
    <t>775 Saint Johns Pl</t>
  </si>
  <si>
    <t>470 Kosciusko Street</t>
  </si>
  <si>
    <t>408 Marcus Garvey Blvd</t>
  </si>
  <si>
    <t>470 Ocean Ave</t>
  </si>
  <si>
    <t>2020 Albermarle Road</t>
  </si>
  <si>
    <t>11524 168th St</t>
  </si>
  <si>
    <t>645 Arnow Ave</t>
  </si>
  <si>
    <t>346 E 29th St</t>
  </si>
  <si>
    <t>1476 Coney Island Ave</t>
  </si>
  <si>
    <t>220 Kingsland Ave</t>
  </si>
  <si>
    <t>1227 Bedford Ave</t>
  </si>
  <si>
    <t>1199 Flatbush Ave</t>
  </si>
  <si>
    <t>2844 8th Ave</t>
  </si>
  <si>
    <t>487 Carlton Ave</t>
  </si>
  <si>
    <t>505 Howard Ave</t>
  </si>
  <si>
    <t>783 Lincoln Pl</t>
  </si>
  <si>
    <t>605 E 16th St</t>
  </si>
  <si>
    <t>781 Greene Ave</t>
  </si>
  <si>
    <t>286 Eastern Pkwy</t>
  </si>
  <si>
    <t>990 President St</t>
  </si>
  <si>
    <t>600 Gates Ave</t>
  </si>
  <si>
    <t>409 E 21st St</t>
  </si>
  <si>
    <t>855 E 178th St</t>
  </si>
  <si>
    <t>3221 34th St</t>
  </si>
  <si>
    <t>517 W 147th Street #1</t>
  </si>
  <si>
    <t>229 E 176th St</t>
  </si>
  <si>
    <t>2065 Walton Ave</t>
  </si>
  <si>
    <t>601 West 149th Street 54</t>
  </si>
  <si>
    <t>2420 Creston Ave</t>
  </si>
  <si>
    <t>130 Malcolm X Blvd</t>
  </si>
  <si>
    <t>27 W 118th St</t>
  </si>
  <si>
    <t>3220 Perry Ave</t>
  </si>
  <si>
    <t>830 Amsterdam Ave</t>
  </si>
  <si>
    <t>2396 Morris Ave</t>
  </si>
  <si>
    <t>3051 Olinville Ave</t>
  </si>
  <si>
    <t>48 Winthrop St</t>
  </si>
  <si>
    <t>1415 Bristow St</t>
  </si>
  <si>
    <t>968 Bronx Park S</t>
  </si>
  <si>
    <t>8357 118th St</t>
  </si>
  <si>
    <t>38 Virginia Ave</t>
  </si>
  <si>
    <t>1767 Weeks Ave</t>
  </si>
  <si>
    <t>14330 Roosevelt Ave</t>
  </si>
  <si>
    <t>1735 Fulton Ave</t>
  </si>
  <si>
    <t>1772 Amsterdam Ave</t>
  </si>
  <si>
    <t>185 Saint Marks Pl</t>
  </si>
  <si>
    <t>120 W 116th St</t>
  </si>
  <si>
    <t>7261 150th St</t>
  </si>
  <si>
    <t>2733 Morris Ave</t>
  </si>
  <si>
    <t>3750 81st St</t>
  </si>
  <si>
    <t>879 Cypress Ave</t>
  </si>
  <si>
    <t>150 Hendricks Ave</t>
  </si>
  <si>
    <t>870 courtlandt ave</t>
  </si>
  <si>
    <t>1769 Vyse Ave</t>
  </si>
  <si>
    <t>3441 Fish ave</t>
  </si>
  <si>
    <t>973 Saint Marks Ave</t>
  </si>
  <si>
    <t>1640 Macombs Rd</t>
  </si>
  <si>
    <t>177 Continental Pl</t>
  </si>
  <si>
    <t>1975 Grand Ave</t>
  </si>
  <si>
    <t>311 W 127th St</t>
  </si>
  <si>
    <t>635 Riverside Drive #8C</t>
  </si>
  <si>
    <t>287 Edgecombe Ave</t>
  </si>
  <si>
    <t>1496 Longfellow Avenue</t>
  </si>
  <si>
    <t>2060 White Plains Rd</t>
  </si>
  <si>
    <t>67 Saint Pauls Pl</t>
  </si>
  <si>
    <t>74 W 92nd St</t>
  </si>
  <si>
    <t>1460 Grand Concourse</t>
  </si>
  <si>
    <t>80 Roxbury St</t>
  </si>
  <si>
    <t>500 E 165th St</t>
  </si>
  <si>
    <t>75 W End Ave</t>
  </si>
  <si>
    <t>15901 110th Ave</t>
  </si>
  <si>
    <t>11814 83rd Ave</t>
  </si>
  <si>
    <t>669 Arnow Ave</t>
  </si>
  <si>
    <t>3432 43rd ST</t>
  </si>
  <si>
    <t>14701 Hillside Ave</t>
  </si>
  <si>
    <t>1026 E 180th St</t>
  </si>
  <si>
    <t>172-10 133rd Avenue</t>
  </si>
  <si>
    <t>810 Henderson Ave</t>
  </si>
  <si>
    <t>997 Summit Ave</t>
  </si>
  <si>
    <t>1036 President St</t>
  </si>
  <si>
    <t>124 Brabant st</t>
  </si>
  <si>
    <t>1715 Gates Ave</t>
  </si>
  <si>
    <t>997 DeKalb Ave</t>
  </si>
  <si>
    <t>120 W 91st St</t>
  </si>
  <si>
    <t>2515 Olinville Ave</t>
  </si>
  <si>
    <t>1315 Amsterdam Ave</t>
  </si>
  <si>
    <t>305 Ocean Ave</t>
  </si>
  <si>
    <t>125 Beach 17th St</t>
  </si>
  <si>
    <t>2100 Tiebout Ave</t>
  </si>
  <si>
    <t>134 W 113th St</t>
  </si>
  <si>
    <t>14844 89th Ave</t>
  </si>
  <si>
    <t>218 Linden Blvd</t>
  </si>
  <si>
    <t>730 Oakland Pl</t>
  </si>
  <si>
    <t>805 Ditmas Ave</t>
  </si>
  <si>
    <t>1589 Unionport Rd</t>
  </si>
  <si>
    <t>7711 Park Dr E</t>
  </si>
  <si>
    <t>1335 W 7th St</t>
  </si>
  <si>
    <t>1601 65th St</t>
  </si>
  <si>
    <t>1665 Monroe Ave</t>
  </si>
  <si>
    <t>1204 E 95th St</t>
  </si>
  <si>
    <t>156 E 184th St</t>
  </si>
  <si>
    <t>711 Ocean Ave</t>
  </si>
  <si>
    <t>2607 Jerome Ave</t>
  </si>
  <si>
    <t>34 Castleton Ave</t>
  </si>
  <si>
    <t>1821 Bleecker St</t>
  </si>
  <si>
    <t>1899 Belmont Ave</t>
  </si>
  <si>
    <t>10930 160th St</t>
  </si>
  <si>
    <t>9 W 129th St</t>
  </si>
  <si>
    <t>807 Saratoga Ave</t>
  </si>
  <si>
    <t>1617 Fulton St</t>
  </si>
  <si>
    <t>9112 175th St</t>
  </si>
  <si>
    <t>408 W 150th St</t>
  </si>
  <si>
    <t>3400 Tryon Ave</t>
  </si>
  <si>
    <t>17436 126th Ave</t>
  </si>
  <si>
    <t>2269 Hampden pl</t>
  </si>
  <si>
    <t>490 New York Ave</t>
  </si>
  <si>
    <t>3039 Coddington Ave</t>
  </si>
  <si>
    <t>1802 CROTONA AVE</t>
  </si>
  <si>
    <t>2285 University Ave</t>
  </si>
  <si>
    <t>11630 Guy R Brewer Blvd</t>
  </si>
  <si>
    <t>13449 166th pl</t>
  </si>
  <si>
    <t>452 Madison St</t>
  </si>
  <si>
    <t>176 Schmidts Ln</t>
  </si>
  <si>
    <t>868 Amsterdam Ave 3F</t>
  </si>
  <si>
    <t>205 Malcolm X Blvd</t>
  </si>
  <si>
    <t>68 MacDougal St</t>
  </si>
  <si>
    <t>2242 Webster Ave</t>
  </si>
  <si>
    <t>2108 Ryer Ave</t>
  </si>
  <si>
    <t>974 Williams Ave</t>
  </si>
  <si>
    <t>277 E 207th St</t>
  </si>
  <si>
    <t>2031 Hughes Ave</t>
  </si>
  <si>
    <t>5433 Metropolitan Ave</t>
  </si>
  <si>
    <t>287 E 18th St</t>
  </si>
  <si>
    <t>1271 Noble Ave</t>
  </si>
  <si>
    <t>10929 Sutphin Blvd</t>
  </si>
  <si>
    <t>522 Quincy St</t>
  </si>
  <si>
    <t>24 W 117th St</t>
  </si>
  <si>
    <t>2769 University Ave</t>
  </si>
  <si>
    <t>565 Manhattan Ave</t>
  </si>
  <si>
    <t>1977 Lafontaine Ave</t>
  </si>
  <si>
    <t>2309 Holland Ave</t>
  </si>
  <si>
    <t>405 E 182nd St</t>
  </si>
  <si>
    <t>778 Henderson Ave</t>
  </si>
  <si>
    <t>2575 Sedgwick Ave</t>
  </si>
  <si>
    <t>828 S Oak Dr</t>
  </si>
  <si>
    <t>827 Morris Park Avenue</t>
  </si>
  <si>
    <t>130 Lenox Ave</t>
  </si>
  <si>
    <t>1715 LaCombe Ave</t>
  </si>
  <si>
    <t>750 Bryant Ave</t>
  </si>
  <si>
    <t>236 Montgomery St</t>
  </si>
  <si>
    <t>2387 Morris Ave</t>
  </si>
  <si>
    <t>315 E 166th St</t>
  </si>
  <si>
    <t>2285 Andrews Ave</t>
  </si>
  <si>
    <t>3260 Perry Ave</t>
  </si>
  <si>
    <t>3677 White Plains Rd</t>
  </si>
  <si>
    <t>11405 170th St</t>
  </si>
  <si>
    <t>8850 81st Ave</t>
  </si>
  <si>
    <t>16349 130th Ave</t>
  </si>
  <si>
    <t>2000 Anthony Ave</t>
  </si>
  <si>
    <t>545 W 126th St</t>
  </si>
  <si>
    <t>30 Richman Plz</t>
  </si>
  <si>
    <t>2511 Newkirk Ave</t>
  </si>
  <si>
    <t>2526 Bronx Park E</t>
  </si>
  <si>
    <t>2264 Loring Pl N</t>
  </si>
  <si>
    <t>1164 Pacific St</t>
  </si>
  <si>
    <t>522 W 147th St</t>
  </si>
  <si>
    <t>121 Sherman Ave</t>
  </si>
  <si>
    <t>333 E 181st St</t>
  </si>
  <si>
    <t>350 Manhattan Ave</t>
  </si>
  <si>
    <t>206 W 132nd St</t>
  </si>
  <si>
    <t>20 West Mosholu Parkway</t>
  </si>
  <si>
    <t>49 E 19th St</t>
  </si>
  <si>
    <t>961 42nd St</t>
  </si>
  <si>
    <t>3952 3rd Ave</t>
  </si>
  <si>
    <t>146 W 111th St</t>
  </si>
  <si>
    <t>150 Brabant St</t>
  </si>
  <si>
    <t>1670 Boston Rd</t>
  </si>
  <si>
    <t>2467 Frederick Douglass Blvd</t>
  </si>
  <si>
    <t>2115 Washington Ave</t>
  </si>
  <si>
    <t>1266 Olmstead Ave</t>
  </si>
  <si>
    <t>315 E 206th St</t>
  </si>
  <si>
    <t>700 Gates Ave</t>
  </si>
  <si>
    <t>1805 Clinton Ave</t>
  </si>
  <si>
    <t>5 E 196th St</t>
  </si>
  <si>
    <t>10 E 108th St</t>
  </si>
  <si>
    <t>1765 Seward Ave</t>
  </si>
  <si>
    <t>55 W Mosholu Pkwy N</t>
  </si>
  <si>
    <t>1500 Hoe Ave</t>
  </si>
  <si>
    <t>502 W 135th St</t>
  </si>
  <si>
    <t>347-573-8693</t>
  </si>
  <si>
    <t>2110 Arthur Ave</t>
  </si>
  <si>
    <t>2418 Olinville Avenue</t>
  </si>
  <si>
    <t>3525 Perry Ave</t>
  </si>
  <si>
    <t>288 Crown St</t>
  </si>
  <si>
    <t>2162 Valentine Ave</t>
  </si>
  <si>
    <t>730 Garden St</t>
  </si>
  <si>
    <t>156 E 178th St</t>
  </si>
  <si>
    <t>3444 Knox Pl</t>
  </si>
  <si>
    <t>3212 Cruger Ave</t>
  </si>
  <si>
    <t>40 Meadow Pl</t>
  </si>
  <si>
    <t>2471 Davidson Ave</t>
  </si>
  <si>
    <t>624 E 220th St</t>
  </si>
  <si>
    <t>960 Sheridan Ave</t>
  </si>
  <si>
    <t>820 Astor Ave</t>
  </si>
  <si>
    <t>1763 Fulton Ave</t>
  </si>
  <si>
    <t>2110 Westbury Ct</t>
  </si>
  <si>
    <t>1995 Birchall Ave</t>
  </si>
  <si>
    <t>2041 Palmetto St</t>
  </si>
  <si>
    <t>20 W 190th St</t>
  </si>
  <si>
    <t>4216 82nd St</t>
  </si>
  <si>
    <t>57 Lincoln Rd</t>
  </si>
  <si>
    <t>165 Woltz Ave, Upper Floor</t>
  </si>
  <si>
    <t>1330 Intervale Ave</t>
  </si>
  <si>
    <t>1466 Beach Ave</t>
  </si>
  <si>
    <t>684 E 222nd St</t>
  </si>
  <si>
    <t>490 Ocean Pkwy</t>
  </si>
  <si>
    <t>165 New York Ave</t>
  </si>
  <si>
    <t>3464 Knox Pl</t>
  </si>
  <si>
    <t>3764 Bronx blvd</t>
  </si>
  <si>
    <t>3250 93rd St</t>
  </si>
  <si>
    <t>1122 Herkimer St</t>
  </si>
  <si>
    <t>1590 Undercliff Ave</t>
  </si>
  <si>
    <t>721 Walton Ave</t>
  </si>
  <si>
    <t>245 Midwood St</t>
  </si>
  <si>
    <t>342 E 146th St</t>
  </si>
  <si>
    <t>518 E 22nd St</t>
  </si>
  <si>
    <t>66 W 94th Street 10F</t>
  </si>
  <si>
    <t>2071 Walton Ave</t>
  </si>
  <si>
    <t>816 Manida Street</t>
  </si>
  <si>
    <t>554 W 181st St</t>
  </si>
  <si>
    <t>337 49th St</t>
  </si>
  <si>
    <t>567 W 191st St</t>
  </si>
  <si>
    <t>865 Amsterdam Ave</t>
  </si>
  <si>
    <t>7036 65th Pl</t>
  </si>
  <si>
    <t>229 Parkville ave</t>
  </si>
  <si>
    <t>460n Brielle Ave</t>
  </si>
  <si>
    <t>460 Brielle Ave</t>
  </si>
  <si>
    <t>460N Brielle Ave</t>
  </si>
  <si>
    <t>718 Garden St</t>
  </si>
  <si>
    <t>909 Kelly St</t>
  </si>
  <si>
    <t>1225 Tabor Ct</t>
  </si>
  <si>
    <t>100 Pulaski St</t>
  </si>
  <si>
    <t>10 Midwood St</t>
  </si>
  <si>
    <t>27 Arion Pl</t>
  </si>
  <si>
    <t>2099 Forest Ave</t>
  </si>
  <si>
    <t>575 5th Ave</t>
  </si>
  <si>
    <t>345 Chauncey St</t>
  </si>
  <si>
    <t>63 Rockaway Pkwy</t>
  </si>
  <si>
    <t>3555 Kings College Pl</t>
  </si>
  <si>
    <t>89a Andros Ave</t>
  </si>
  <si>
    <t>171 Trantor Pl</t>
  </si>
  <si>
    <t>478 Herzl St</t>
  </si>
  <si>
    <t>739 Tilden St</t>
  </si>
  <si>
    <t>744 Chauncey St</t>
  </si>
  <si>
    <t>206 Lake Ave</t>
  </si>
  <si>
    <t>899 Montgomery St</t>
  </si>
  <si>
    <t>15 North St</t>
  </si>
  <si>
    <t>1708 Park Pl</t>
  </si>
  <si>
    <t>292 Westervelt Ave</t>
  </si>
  <si>
    <t>63 Hull St</t>
  </si>
  <si>
    <t>521-523 West 180th Street</t>
  </si>
  <si>
    <t>264 Wyckoff Ave</t>
  </si>
  <si>
    <t>14 Skinner Ln</t>
  </si>
  <si>
    <t>114 Justin Ave</t>
  </si>
  <si>
    <t>12949 157th St</t>
  </si>
  <si>
    <t>427 Fort Washington Ave</t>
  </si>
  <si>
    <t>6 Kingsbridge Ave</t>
  </si>
  <si>
    <t>231 steuben st</t>
  </si>
  <si>
    <t>2295 Morris Ave</t>
  </si>
  <si>
    <t>392 Bartlett Ave</t>
  </si>
  <si>
    <t>2734 Kingsbridge Ter</t>
  </si>
  <si>
    <t>150 Greenway Ter</t>
  </si>
  <si>
    <t>243 E 237th St</t>
  </si>
  <si>
    <t>1946 Cruger Ave</t>
  </si>
  <si>
    <t>16406 43rd Ave</t>
  </si>
  <si>
    <t>2471 University Ave</t>
  </si>
  <si>
    <t>131 Jersey St</t>
  </si>
  <si>
    <t>2143 Blackrock Ave</t>
  </si>
  <si>
    <t>17 Ashton Dr</t>
  </si>
  <si>
    <t>69 Adams Ave</t>
  </si>
  <si>
    <t>570 Ocean Ave</t>
  </si>
  <si>
    <t>209a Van Name Ave</t>
  </si>
  <si>
    <t>1955 Richmond Ter</t>
  </si>
  <si>
    <t>1711 Morris Ave</t>
  </si>
  <si>
    <t>101 Hastings St</t>
  </si>
  <si>
    <t>611 Greene Ave</t>
  </si>
  <si>
    <t>2147 E 35th St</t>
  </si>
  <si>
    <t>626 Flatbush Ave</t>
  </si>
  <si>
    <t>176 Mckinley Ave</t>
  </si>
  <si>
    <t>2414 Creston Ave</t>
  </si>
  <si>
    <t>1611 Castleton Ave</t>
  </si>
  <si>
    <t>235b Jersey St</t>
  </si>
  <si>
    <t>182 Van Pelt Ave</t>
  </si>
  <si>
    <t>850 Manhattan Ave</t>
  </si>
  <si>
    <t>20 Sky Ln</t>
  </si>
  <si>
    <t>415 E 52nd St</t>
  </si>
  <si>
    <t>19 Steuben St</t>
  </si>
  <si>
    <t>1413 Hancock St</t>
  </si>
  <si>
    <t>1018 Eastern Pkwy</t>
  </si>
  <si>
    <t>1238 Simpson St</t>
  </si>
  <si>
    <t>298 Lockman Ave</t>
  </si>
  <si>
    <t>2400 Richmond Rd</t>
  </si>
  <si>
    <t>10702 154th St</t>
  </si>
  <si>
    <t>469 Ridgewood Ave</t>
  </si>
  <si>
    <t>34 Layton Ave</t>
  </si>
  <si>
    <t>2308 University Ave</t>
  </si>
  <si>
    <t>10819 101st Ave</t>
  </si>
  <si>
    <t>204 Mount Hope Pl</t>
  </si>
  <si>
    <t>1325 Eastern Pkwy</t>
  </si>
  <si>
    <t>363 E 163rd St</t>
  </si>
  <si>
    <t>333 Thomas S Boyland St</t>
  </si>
  <si>
    <t>219 Hull St</t>
  </si>
  <si>
    <t>2975 W 33rd St</t>
  </si>
  <si>
    <t>231 Midwood St</t>
  </si>
  <si>
    <t>1700 Grand Concourse</t>
  </si>
  <si>
    <t>624 Howard Ave</t>
  </si>
  <si>
    <t>1420 Crotona Park E</t>
  </si>
  <si>
    <t>383 Grand St</t>
  </si>
  <si>
    <t>1990 Lexington Ave</t>
  </si>
  <si>
    <t>553 McDonald Ave</t>
  </si>
  <si>
    <t>367 S 5th St</t>
  </si>
  <si>
    <t>1633 Sterling Pl</t>
  </si>
  <si>
    <t>1290 E 19th St</t>
  </si>
  <si>
    <t>12 Gunther Pl</t>
  </si>
  <si>
    <t>1111 Carroll St</t>
  </si>
  <si>
    <t>320A Beach 73rd St</t>
  </si>
  <si>
    <t>710 Riverside Dr</t>
  </si>
  <si>
    <t>110 Ten Eyck St</t>
  </si>
  <si>
    <t>147 Rockaway Pkwy</t>
  </si>
  <si>
    <t>1411 Linden Blvd</t>
  </si>
  <si>
    <t>701r Bay St</t>
  </si>
  <si>
    <t>562 Bainbridge St</t>
  </si>
  <si>
    <t>125 Sherman Ave</t>
  </si>
  <si>
    <t>556 W 181st St</t>
  </si>
  <si>
    <t>2935 Ocean Pkwy</t>
  </si>
  <si>
    <t>520 E 21st St</t>
  </si>
  <si>
    <t>35 Saint Felix St</t>
  </si>
  <si>
    <t>464 W 126th St</t>
  </si>
  <si>
    <t>540 W 146th St</t>
  </si>
  <si>
    <t>215 Cozine Ave</t>
  </si>
  <si>
    <t>903 E 6th St</t>
  </si>
  <si>
    <t>2351 Pacific St</t>
  </si>
  <si>
    <t>1041 E 179th St</t>
  </si>
  <si>
    <t>879 Mother Gaston Blvd</t>
  </si>
  <si>
    <t>563 Chauncey St</t>
  </si>
  <si>
    <t>550 Greene Ave</t>
  </si>
  <si>
    <t>471 W 147th St</t>
  </si>
  <si>
    <t>148 Bank St</t>
  </si>
  <si>
    <t>817 Union Ave</t>
  </si>
  <si>
    <t>519 W 143rd St</t>
  </si>
  <si>
    <t>216 Rockaway Ave</t>
  </si>
  <si>
    <t>48 Saint Marks Pl</t>
  </si>
  <si>
    <t>400 E 54th st</t>
  </si>
  <si>
    <t>1898 Harrison Ave</t>
  </si>
  <si>
    <t>840 E 8th St</t>
  </si>
  <si>
    <t>775 Concourse Vlg E</t>
  </si>
  <si>
    <t>691 Winthrop St</t>
  </si>
  <si>
    <t>206 Newport St</t>
  </si>
  <si>
    <t>350 Vanderbilt Ave</t>
  </si>
  <si>
    <t>2825 Claflin Ave</t>
  </si>
  <si>
    <t>653 Britton St</t>
  </si>
  <si>
    <t>1776 Weeks Ave</t>
  </si>
  <si>
    <t>2574 Bedford Ave</t>
  </si>
  <si>
    <t>2531 Frisby Ave</t>
  </si>
  <si>
    <t>903 Drew St</t>
  </si>
  <si>
    <t>2525 Morris Ave</t>
  </si>
  <si>
    <t>225 Park Hill Ave</t>
  </si>
  <si>
    <t>1362 New York Ave</t>
  </si>
  <si>
    <t>227 Lott Ave</t>
  </si>
  <si>
    <t>257 60th St</t>
  </si>
  <si>
    <t>2271 Washington Ave</t>
  </si>
  <si>
    <t>1725 Fulton Ave</t>
  </si>
  <si>
    <t>28 Macdonough St</t>
  </si>
  <si>
    <t>1975 Birchall Ave</t>
  </si>
  <si>
    <t>393 Montauk Ave</t>
  </si>
  <si>
    <t>135 W 115th St</t>
  </si>
  <si>
    <t>2000 Valentine Ave</t>
  </si>
  <si>
    <t>763 Lenox Rd</t>
  </si>
  <si>
    <t>2280 Loring Pl N</t>
  </si>
  <si>
    <t>1661 Saint Johns Pl</t>
  </si>
  <si>
    <t>3248 Olinville Ave</t>
  </si>
  <si>
    <t>110 Chauncey st</t>
  </si>
  <si>
    <t>12 Kingston Ave</t>
  </si>
  <si>
    <t>1940 Pacific St</t>
  </si>
  <si>
    <t>65 W 127th St</t>
  </si>
  <si>
    <t>2440 Bronx Park E</t>
  </si>
  <si>
    <t>480 E 23rd St</t>
  </si>
  <si>
    <t>1331 Bay St</t>
  </si>
  <si>
    <t>452 Saint Nicholas Ave</t>
  </si>
  <si>
    <t>190 62nd St</t>
  </si>
  <si>
    <t>220 Throop Ave</t>
  </si>
  <si>
    <t>617 W 152nd St</t>
  </si>
  <si>
    <t>7 W Farms Square Plz</t>
  </si>
  <si>
    <t>3170 Broadway</t>
  </si>
  <si>
    <t>1967 Bergen St</t>
  </si>
  <si>
    <t>725 Southern Blvd</t>
  </si>
  <si>
    <t>14 E 28th St</t>
  </si>
  <si>
    <t>78 Van Duzer St</t>
  </si>
  <si>
    <t>3640 Bronx Blvd</t>
  </si>
  <si>
    <t>735 E 182nd St</t>
  </si>
  <si>
    <t>35 Androvette St</t>
  </si>
  <si>
    <t>2245 Barker Ave</t>
  </si>
  <si>
    <t>2060 Grand Concourse</t>
  </si>
  <si>
    <t>4 Laguardia Ave</t>
  </si>
  <si>
    <t>67-35 Kissena Bouleevard</t>
  </si>
  <si>
    <t>100 Belmot Place</t>
  </si>
  <si>
    <t>2170 Ryer Ave</t>
  </si>
  <si>
    <t>3131 Grand Concourse</t>
  </si>
  <si>
    <t>720 Riverside Dr</t>
  </si>
  <si>
    <t>3356 Fulton St</t>
  </si>
  <si>
    <t>3014 Bouck Ave</t>
  </si>
  <si>
    <t>265 E 176th St</t>
  </si>
  <si>
    <t>33 Bond St</t>
  </si>
  <si>
    <t>129 Norway Ave</t>
  </si>
  <si>
    <t>711 Herkimer St</t>
  </si>
  <si>
    <t>15 Crooke Ave</t>
  </si>
  <si>
    <t>2202 Linden Blvd</t>
  </si>
  <si>
    <t>6550 Wetherole St</t>
  </si>
  <si>
    <t>20 W 129th St # 22</t>
  </si>
  <si>
    <t>795 Saint Nicholas Ave</t>
  </si>
  <si>
    <t>2140 Cruger Ave</t>
  </si>
  <si>
    <t>1920 Union St</t>
  </si>
  <si>
    <t>2122 Starling Ave</t>
  </si>
  <si>
    <t>572 Prospect Pl</t>
  </si>
  <si>
    <t>6418 32nd Ave</t>
  </si>
  <si>
    <t>768 Van Nest Ave</t>
  </si>
  <si>
    <t>1573 Bushwick Ave</t>
  </si>
  <si>
    <t>3114 Villa Ave</t>
  </si>
  <si>
    <t>85 A Harbor Loop</t>
  </si>
  <si>
    <t>221 W 233rd St</t>
  </si>
  <si>
    <t>1625 President St</t>
  </si>
  <si>
    <t>312 W 112th St</t>
  </si>
  <si>
    <t>2117 Clinton Ave</t>
  </si>
  <si>
    <t>3548 Tryon Ave</t>
  </si>
  <si>
    <t>1083 Tompkins Ave</t>
  </si>
  <si>
    <t>65 W 96th St</t>
  </si>
  <si>
    <t>1165 Elton St</t>
  </si>
  <si>
    <t>555 Mcclean Ave</t>
  </si>
  <si>
    <t>690 Allerton Ave</t>
  </si>
  <si>
    <t>212 Broad St</t>
  </si>
  <si>
    <t>1925 Harrison Ave</t>
  </si>
  <si>
    <t>550 E 21st ST</t>
  </si>
  <si>
    <t>4213 28th Ave</t>
  </si>
  <si>
    <t>1469 Fulton Ave</t>
  </si>
  <si>
    <t>87 Taft Ave</t>
  </si>
  <si>
    <t>101 Daniel Low Ter</t>
  </si>
  <si>
    <t>8 Norwood Ave</t>
  </si>
  <si>
    <t>3064 Bailey Ave</t>
  </si>
  <si>
    <t>364 Stuyvesant Ave</t>
  </si>
  <si>
    <t>4 E 1st St</t>
  </si>
  <si>
    <t>230 Echo Pl</t>
  </si>
  <si>
    <t>1257 Lincoln Pl</t>
  </si>
  <si>
    <t>1805 Pitkin Ave</t>
  </si>
  <si>
    <t>1374 York Ave</t>
  </si>
  <si>
    <t>225 W 106th St</t>
  </si>
  <si>
    <t>285 E 35th St</t>
  </si>
  <si>
    <t>26 Hudson St</t>
  </si>
  <si>
    <t>1908 Belmont Ave</t>
  </si>
  <si>
    <t>785 E Tremont Ave</t>
  </si>
  <si>
    <t>2095 Mohegan Ave</t>
  </si>
  <si>
    <t>588 Decatur St</t>
  </si>
  <si>
    <t>2395 Grand Ave</t>
  </si>
  <si>
    <t>355 E 184th St</t>
  </si>
  <si>
    <t>289 Broadway</t>
  </si>
  <si>
    <t>785 Belmont Ave</t>
  </si>
  <si>
    <t>10726 159th St</t>
  </si>
  <si>
    <t>85 Strong St</t>
  </si>
  <si>
    <t>1730 Taylor Ave</t>
  </si>
  <si>
    <t>2406 University Ave</t>
  </si>
  <si>
    <t>20 Richmind Plaza</t>
  </si>
  <si>
    <t>2111 Lafontaine Ave</t>
  </si>
  <si>
    <t>414 E 204th St</t>
  </si>
  <si>
    <t>217 E 176th St</t>
  </si>
  <si>
    <t>789 Astor Ave</t>
  </si>
  <si>
    <t>2281 University Ave</t>
  </si>
  <si>
    <t>806 Henderson Ave</t>
  </si>
  <si>
    <t>770 Gates Ave</t>
  </si>
  <si>
    <t>1420 Amsterdam Ave</t>
  </si>
  <si>
    <t>202 Amboy St</t>
  </si>
  <si>
    <t>950 Aldus St</t>
  </si>
  <si>
    <t>1450 Taylor Ave</t>
  </si>
  <si>
    <t>555 14th Street</t>
  </si>
  <si>
    <t>1357 Chandler St</t>
  </si>
  <si>
    <t>20016 115th Ave</t>
  </si>
  <si>
    <t>1 Delafield Way</t>
  </si>
  <si>
    <t>2701 Collier Ave</t>
  </si>
  <si>
    <t>3080 Decatur Ave</t>
  </si>
  <si>
    <t>1085 Belmont Ave</t>
  </si>
  <si>
    <t>22546 113th Dr</t>
  </si>
  <si>
    <t>4514 Hill Ave</t>
  </si>
  <si>
    <t>1011 Nelson Ave</t>
  </si>
  <si>
    <t>607 Halsey St</t>
  </si>
  <si>
    <t>443 Clinton Ave</t>
  </si>
  <si>
    <t>586 Pacific St</t>
  </si>
  <si>
    <t>524 Evergreen Ave</t>
  </si>
  <si>
    <t>6248 83rd Pl</t>
  </si>
  <si>
    <t>634 E 221st St</t>
  </si>
  <si>
    <t>3444 58th St</t>
  </si>
  <si>
    <t>3321 Fenton Ave</t>
  </si>
  <si>
    <t>13425 229th St</t>
  </si>
  <si>
    <t>447 Ionia Ave</t>
  </si>
  <si>
    <t>484 Van Buren St</t>
  </si>
  <si>
    <t>14435 37th Ave</t>
  </si>
  <si>
    <t>1314 Merriam Ave</t>
  </si>
  <si>
    <t>210 W 16th St</t>
  </si>
  <si>
    <t>40 Morningside Ave</t>
  </si>
  <si>
    <t>1219 E 80th St</t>
  </si>
  <si>
    <t>1052 Burke Ave</t>
  </si>
  <si>
    <t>966 E 179th St</t>
  </si>
  <si>
    <t>114-15 Dunkirk St</t>
  </si>
  <si>
    <t>803 Pine St</t>
  </si>
  <si>
    <t>9245 76th St</t>
  </si>
  <si>
    <t>115108 228th St</t>
  </si>
  <si>
    <t>11423 173rd St</t>
  </si>
  <si>
    <t>49 Crown St</t>
  </si>
  <si>
    <t>1020 Grant Ave</t>
  </si>
  <si>
    <t>22017 97th Ave</t>
  </si>
  <si>
    <t>2022 Continental Ave</t>
  </si>
  <si>
    <t>14651 222nd St</t>
  </si>
  <si>
    <t>760 Rogers Ave</t>
  </si>
  <si>
    <t>830 Ashford St</t>
  </si>
  <si>
    <t>24018 145th Ave</t>
  </si>
  <si>
    <t>22236 95th Ave</t>
  </si>
  <si>
    <t>14657 228th St</t>
  </si>
  <si>
    <t>201 Copperfield Ln</t>
  </si>
  <si>
    <t>21908 Murdock Ave</t>
  </si>
  <si>
    <t>11422 117th St</t>
  </si>
  <si>
    <t>398 Bradford St</t>
  </si>
  <si>
    <t>7127 Park Dr E</t>
  </si>
  <si>
    <t>2127 Homer Ave</t>
  </si>
  <si>
    <t>273 Saint Marks Pl</t>
  </si>
  <si>
    <t>11124 197th St</t>
  </si>
  <si>
    <t>314 Stockholm St</t>
  </si>
  <si>
    <t>1003 Ward Ave</t>
  </si>
  <si>
    <t>259 Lamport Blvd</t>
  </si>
  <si>
    <t>358 Knickerbocker Ave</t>
  </si>
  <si>
    <t>359 9th st</t>
  </si>
  <si>
    <t>19125 113th Ave</t>
  </si>
  <si>
    <t>3636 168th St</t>
  </si>
  <si>
    <t>90 George St</t>
  </si>
  <si>
    <t>524 Vandalia ave</t>
  </si>
  <si>
    <t>2284 Beaumont Ave</t>
  </si>
  <si>
    <t>1724 E 93rd St</t>
  </si>
  <si>
    <t>111 Beach 60th St</t>
  </si>
  <si>
    <t>480 Huguenot Ave</t>
  </si>
  <si>
    <t>2238 Morris Ave</t>
  </si>
  <si>
    <t>235 Hoyt St</t>
  </si>
  <si>
    <t>16022 131st Ave</t>
  </si>
  <si>
    <t>8935 205th St</t>
  </si>
  <si>
    <t>51 Argyle Rd</t>
  </si>
  <si>
    <t>110 Hampton Grn</t>
  </si>
  <si>
    <t>205 Montrose Ave</t>
  </si>
  <si>
    <t>2 Saint Marks Pl</t>
  </si>
  <si>
    <t>644b Manida St</t>
  </si>
  <si>
    <t>303 Torry Ave</t>
  </si>
  <si>
    <t>2949 8th Avenue 8N</t>
  </si>
  <si>
    <t>669 Rockaway Pkwy</t>
  </si>
  <si>
    <t>24119 144th Ave</t>
  </si>
  <si>
    <t>2766 Sexton Pl</t>
  </si>
  <si>
    <t>1367 Ellison Ave</t>
  </si>
  <si>
    <t>342 Grandview Ave</t>
  </si>
  <si>
    <t>1114 New York Ave</t>
  </si>
  <si>
    <t>18622 122nd Ave</t>
  </si>
  <si>
    <t>490 E 23rd St</t>
  </si>
  <si>
    <t>434 Beach 58th St</t>
  </si>
  <si>
    <t>1000 Anderson Ave</t>
  </si>
  <si>
    <t>1958 Needham Ave</t>
  </si>
  <si>
    <t>1145 E 80th St</t>
  </si>
  <si>
    <t>1405 Townsend Ave</t>
  </si>
  <si>
    <t>2589 42nd St</t>
  </si>
  <si>
    <t>909 Belmont Ave</t>
  </si>
  <si>
    <t>708 E 134th St</t>
  </si>
  <si>
    <t>626 1st Ave</t>
  </si>
  <si>
    <t>865 E 223rd St</t>
  </si>
  <si>
    <t>1551 Williamsbridge Rd</t>
  </si>
  <si>
    <t>9535 115th St</t>
  </si>
  <si>
    <t>291 Swinton Ave</t>
  </si>
  <si>
    <t>626 E 226th St</t>
  </si>
  <si>
    <t>240 E 175th st</t>
  </si>
  <si>
    <t>2285 Davidson Ave</t>
  </si>
  <si>
    <t>2817 Barker Ave</t>
  </si>
  <si>
    <t>332 W 234th St</t>
  </si>
  <si>
    <t>1018 Hegeman Ave</t>
  </si>
  <si>
    <t>314 Menahan St</t>
  </si>
  <si>
    <t>1040 E 57th St</t>
  </si>
  <si>
    <t>13306 111th Ave</t>
  </si>
  <si>
    <t>2250 Crotona Ave</t>
  </si>
  <si>
    <t>1322 Fteley Ave</t>
  </si>
  <si>
    <t>2555 48th St</t>
  </si>
  <si>
    <t>2056 Mill Ave</t>
  </si>
  <si>
    <t>872 E 95th St</t>
  </si>
  <si>
    <t>524 W 134th St</t>
  </si>
  <si>
    <t>3005 Kingsland Ave</t>
  </si>
  <si>
    <t>1536 E 91st St</t>
  </si>
  <si>
    <t>270 Convent Ave</t>
  </si>
  <si>
    <t>715 Gates Ave</t>
  </si>
  <si>
    <t>53 Ebbitts St</t>
  </si>
  <si>
    <t>8853 202nd St</t>
  </si>
  <si>
    <t>706 ROCKAWAY ST</t>
  </si>
  <si>
    <t>126 Neptune Ln</t>
  </si>
  <si>
    <t>17002 118th Ave</t>
  </si>
  <si>
    <t>8b Dreyer Ave</t>
  </si>
  <si>
    <t>117 E 118th St</t>
  </si>
  <si>
    <t>2139 E 18th St</t>
  </si>
  <si>
    <t>61 Beacon Ln</t>
  </si>
  <si>
    <t>1648 E 96th St</t>
  </si>
  <si>
    <t>28 PRINCETON LN</t>
  </si>
  <si>
    <t>110 E 176th St</t>
  </si>
  <si>
    <t>1662 E 48th St</t>
  </si>
  <si>
    <t>11941 147th St</t>
  </si>
  <si>
    <t>20 Menahan St</t>
  </si>
  <si>
    <t>5043 192nd St</t>
  </si>
  <si>
    <t>82 S Railroad Ave</t>
  </si>
  <si>
    <t>3981 Barnes Ave</t>
  </si>
  <si>
    <t>709 E 85th St</t>
  </si>
  <si>
    <t>169 Treadwell Ave</t>
  </si>
  <si>
    <t>1634 Saint Marks Ave</t>
  </si>
  <si>
    <t>194 Grandview ave</t>
  </si>
  <si>
    <t>225 Graves St</t>
  </si>
  <si>
    <t>746 E 182nd St</t>
  </si>
  <si>
    <t>88 Winchester Ave</t>
  </si>
  <si>
    <t>172-06 144th Avene</t>
  </si>
  <si>
    <t>321 Mersereau Ave</t>
  </si>
  <si>
    <t>1409 Royce St</t>
  </si>
  <si>
    <t>187 Bond St</t>
  </si>
  <si>
    <t>434 E 115th St</t>
  </si>
  <si>
    <t>3218 Wickham ave</t>
  </si>
  <si>
    <t>2170 Univ Ave</t>
  </si>
  <si>
    <t>5 Buchanan Pl</t>
  </si>
  <si>
    <t>1798 Bedford Ave</t>
  </si>
  <si>
    <t>722 E 217th St</t>
  </si>
  <si>
    <t>7605 267th St</t>
  </si>
  <si>
    <t>72 Pitney Ave</t>
  </si>
  <si>
    <t>2101 Westbury Ct</t>
  </si>
  <si>
    <t>225 Division Ave</t>
  </si>
  <si>
    <t>30 Dongan Hills Ave</t>
  </si>
  <si>
    <t>982 Prospect Ave</t>
  </si>
  <si>
    <t>11025 172nd St</t>
  </si>
  <si>
    <t>193 York Ave</t>
  </si>
  <si>
    <t>345 Taylor Ave</t>
  </si>
  <si>
    <t>27 Warren St</t>
  </si>
  <si>
    <t>2105 New England Thru</t>
  </si>
  <si>
    <t>9 Monaco Pl</t>
  </si>
  <si>
    <t>281 10th St</t>
  </si>
  <si>
    <t>1585 Unionport Rd</t>
  </si>
  <si>
    <t>293 Martense St</t>
  </si>
  <si>
    <t>2724 Sexton Pl</t>
  </si>
  <si>
    <t>72 West 109th Street</t>
  </si>
  <si>
    <t>204 Outlook Ave</t>
  </si>
  <si>
    <t>236 Hooker Pl</t>
  </si>
  <si>
    <t>400 Cozine Ave</t>
  </si>
  <si>
    <t>322 Hawthorne St</t>
  </si>
  <si>
    <t>1340 College Ave</t>
  </si>
  <si>
    <t>439 Vermont St</t>
  </si>
  <si>
    <t>196 Elm St</t>
  </si>
  <si>
    <t>2267 35th St</t>
  </si>
  <si>
    <t>736 Willoughby Ave</t>
  </si>
  <si>
    <t>95 Lenox Avenue</t>
  </si>
  <si>
    <t>16857 119th Ave</t>
  </si>
  <si>
    <t>71 W 112th Street</t>
  </si>
  <si>
    <t>558 Midwood St</t>
  </si>
  <si>
    <t>2940 W 21st St</t>
  </si>
  <si>
    <t>2669 E 11th St</t>
  </si>
  <si>
    <t>31 Giacomo Ln</t>
  </si>
  <si>
    <t>45 Paerdegat 10th St</t>
  </si>
  <si>
    <t>82 Prospect Ave</t>
  </si>
  <si>
    <t>1111 E 73rd St</t>
  </si>
  <si>
    <t>346 Pulaski Ave</t>
  </si>
  <si>
    <t>17904 Eveleth Rd</t>
  </si>
  <si>
    <t>65 Ivy Cir</t>
  </si>
  <si>
    <t>338 Taylor Ave</t>
  </si>
  <si>
    <t>78 Stratton St S</t>
  </si>
  <si>
    <t>1409 Remsen Ave</t>
  </si>
  <si>
    <t>19 Noah Ct</t>
  </si>
  <si>
    <t>200 E 17th St</t>
  </si>
  <si>
    <t>1248 Saint Marks Ave</t>
  </si>
  <si>
    <t>275 46th St</t>
  </si>
  <si>
    <t>6110 Beach Front Rd</t>
  </si>
  <si>
    <t>149 Watkins St</t>
  </si>
  <si>
    <t>717 Lexington Ave</t>
  </si>
  <si>
    <t>773 Manor Rd</t>
  </si>
  <si>
    <t>84 Seagate Ct</t>
  </si>
  <si>
    <t>16764 118th Ave</t>
  </si>
  <si>
    <t>817 Stafford Ave</t>
  </si>
  <si>
    <t>492 Convent Ave</t>
  </si>
  <si>
    <t>17140 119th Rd</t>
  </si>
  <si>
    <t>155 Wheeling Ave</t>
  </si>
  <si>
    <t>17 Pearl St</t>
  </si>
  <si>
    <t>1612 Poplar St</t>
  </si>
  <si>
    <t>54 Boerum St</t>
  </si>
  <si>
    <t>15209 88th Ave</t>
  </si>
  <si>
    <t>1035 Manor Ave</t>
  </si>
  <si>
    <t>906 Wheeler Ave</t>
  </si>
  <si>
    <t>10025 202nd St</t>
  </si>
  <si>
    <t>1411 New York Ave</t>
  </si>
  <si>
    <t>40 Willow Rd W</t>
  </si>
  <si>
    <t>16312 108th Ave</t>
  </si>
  <si>
    <t>699 Chauncey St</t>
  </si>
  <si>
    <t>811 E 49th St</t>
  </si>
  <si>
    <t>84-07 101rst Ave</t>
  </si>
  <si>
    <t>2385 1st Ave</t>
  </si>
  <si>
    <t>1710 Andrews Ave</t>
  </si>
  <si>
    <t>3738 101st St</t>
  </si>
  <si>
    <t>1725 Purdy St</t>
  </si>
  <si>
    <t>480 E 21st St</t>
  </si>
  <si>
    <t>563 E 29th St</t>
  </si>
  <si>
    <t>566 Washington Ave</t>
  </si>
  <si>
    <t>1468 Park Pl</t>
  </si>
  <si>
    <t>1097 Arden Ave</t>
  </si>
  <si>
    <t>1541 Metropolitan Ave</t>
  </si>
  <si>
    <t>9514 Avenue K</t>
  </si>
  <si>
    <t>439 W 126th Street 1 B</t>
  </si>
  <si>
    <t>2026 Westchester Ave</t>
  </si>
  <si>
    <t>389 Baden Pl</t>
  </si>
  <si>
    <t>195 Beach 26th St</t>
  </si>
  <si>
    <t>3227 Lurting Ave</t>
  </si>
  <si>
    <t>729 Rogers Ave</t>
  </si>
  <si>
    <t>11421 204th St</t>
  </si>
  <si>
    <t>248 Kissel Ave</t>
  </si>
  <si>
    <t>816 Belmont Ave</t>
  </si>
  <si>
    <t>169 Oakland Ave</t>
  </si>
  <si>
    <t>4641 156th St</t>
  </si>
  <si>
    <t>8857 Pitkin Ave</t>
  </si>
  <si>
    <t>7911 41st Ave</t>
  </si>
  <si>
    <t>1452 sterling pl</t>
  </si>
  <si>
    <t>8916 69th Rd</t>
  </si>
  <si>
    <t>571 Greeley Ave</t>
  </si>
  <si>
    <t>275 Bay 37th St</t>
  </si>
  <si>
    <t>177 Columbia St</t>
  </si>
  <si>
    <t>1470 Amsterdam Ave #04k</t>
  </si>
  <si>
    <t>28 Cliffside Ave</t>
  </si>
  <si>
    <t>1969 Mcgraw Ave</t>
  </si>
  <si>
    <t>19063 112th Ave</t>
  </si>
  <si>
    <t>19920 100th Ave</t>
  </si>
  <si>
    <t>3872 Amboy Rd</t>
  </si>
  <si>
    <t>217 55th St</t>
  </si>
  <si>
    <t>4029 De Reimer Ave</t>
  </si>
  <si>
    <t>241 6th Avenue 3F</t>
  </si>
  <si>
    <t>484 Junius St</t>
  </si>
  <si>
    <t>11616 217th St</t>
  </si>
  <si>
    <t>18803 Jordan Ave</t>
  </si>
  <si>
    <t>889 Saint Nicholas Ave</t>
  </si>
  <si>
    <t>121 E 131st St</t>
  </si>
  <si>
    <t>3725 68th St</t>
  </si>
  <si>
    <t>21528 35th Ave</t>
  </si>
  <si>
    <t>74 5th ave</t>
  </si>
  <si>
    <t>417 Bradley Ave</t>
  </si>
  <si>
    <t>2023 Lexington Ave</t>
  </si>
  <si>
    <t>3618 Bronx blvd</t>
  </si>
  <si>
    <t>1514 Unionport Rd</t>
  </si>
  <si>
    <t>245 Signs Rd</t>
  </si>
  <si>
    <t>8836 Elmhurst Ave</t>
  </si>
  <si>
    <t>3312 Tiemann Ave</t>
  </si>
  <si>
    <t>984 Findlay Ave</t>
  </si>
  <si>
    <t>1132 51st St</t>
  </si>
  <si>
    <t>3100 Brighton 7th St</t>
  </si>
  <si>
    <t>766 Ocean Ave</t>
  </si>
  <si>
    <t>455 Schenectady Ave</t>
  </si>
  <si>
    <t>430 Dumont Ave</t>
  </si>
  <si>
    <t>578 Christopher Ave</t>
  </si>
  <si>
    <t>7 Stagg St</t>
  </si>
  <si>
    <t>279 Cumberland St</t>
  </si>
  <si>
    <t>4365 Ely Ave</t>
  </si>
  <si>
    <t>828 E 222nd St</t>
  </si>
  <si>
    <t>1517 Saint Marks Ave</t>
  </si>
  <si>
    <t>3416 Ely Ave</t>
  </si>
  <si>
    <t>104 Scholes St</t>
  </si>
  <si>
    <t>310 N Burgher Ave</t>
  </si>
  <si>
    <t>364 Van Duzer St</t>
  </si>
  <si>
    <t>342 E 22nd St</t>
  </si>
  <si>
    <t>316 Troutman St</t>
  </si>
  <si>
    <t>1172 Ogden Ave</t>
  </si>
  <si>
    <t>1123 E 221st St</t>
  </si>
  <si>
    <t>1471 E 96th St</t>
  </si>
  <si>
    <t>14006 241st St</t>
  </si>
  <si>
    <t>372 New York Ave</t>
  </si>
  <si>
    <t>650 Water St</t>
  </si>
  <si>
    <t>953 E 232nd St</t>
  </si>
  <si>
    <t>3990 Paulding Ave</t>
  </si>
  <si>
    <t>20 Avenue D</t>
  </si>
  <si>
    <t>334 E 105th St</t>
  </si>
  <si>
    <t>680 Morris Park Ave</t>
  </si>
  <si>
    <t>129 Montrose ave</t>
  </si>
  <si>
    <t>40 Arden St</t>
  </si>
  <si>
    <t>1876 cedar ave</t>
  </si>
  <si>
    <t>205 Alexander Ave</t>
  </si>
  <si>
    <t>21220 Hollis Ave</t>
  </si>
  <si>
    <t>272 Sherman ave</t>
  </si>
  <si>
    <t>1340 Merriam Ave</t>
  </si>
  <si>
    <t>91 Ocean Pkwy</t>
  </si>
  <si>
    <t>443 Lenox Ave</t>
  </si>
  <si>
    <t>1512 Townfend Ave</t>
  </si>
  <si>
    <t>211 Annadale Rd</t>
  </si>
  <si>
    <t>1206 Bergen St</t>
  </si>
  <si>
    <t>82 Dwight St</t>
  </si>
  <si>
    <t>205 Avenue C</t>
  </si>
  <si>
    <t>8111 45th Ave</t>
  </si>
  <si>
    <t>242 Mason Ave</t>
  </si>
  <si>
    <t>10704 164th St</t>
  </si>
  <si>
    <t>252 Bainbridge St</t>
  </si>
  <si>
    <t>1801 Avenue N</t>
  </si>
  <si>
    <t>1155 E 35th St</t>
  </si>
  <si>
    <t>17340 105th Ave</t>
  </si>
  <si>
    <t>780 Concourse Vlg W</t>
  </si>
  <si>
    <t>7518 95th Ave</t>
  </si>
  <si>
    <t>1925 Adam Clayton Powell Jr Blvd</t>
  </si>
  <si>
    <t>10826 Liverpool St</t>
  </si>
  <si>
    <t>95 Cabrini Blvd</t>
  </si>
  <si>
    <t>250 Ocean Pkwy</t>
  </si>
  <si>
    <t>299 Union Ave</t>
  </si>
  <si>
    <t>30 3rd Ave</t>
  </si>
  <si>
    <t>2257 BRUCKNER Blvd</t>
  </si>
  <si>
    <t>23911 147th Rd</t>
  </si>
  <si>
    <t>5635 185th St</t>
  </si>
  <si>
    <t>9205 216th St</t>
  </si>
  <si>
    <t>3431 82nd St</t>
  </si>
  <si>
    <t>10731 121st St</t>
  </si>
  <si>
    <t>1212 Mlk Blvd.</t>
  </si>
  <si>
    <t>172 7th Ave</t>
  </si>
  <si>
    <t>3312 111th St</t>
  </si>
  <si>
    <t>12016 166th St</t>
  </si>
  <si>
    <t>11724 140th St</t>
  </si>
  <si>
    <t>7309 lighthouse dr</t>
  </si>
  <si>
    <t>1120 Wheeler Ave</t>
  </si>
  <si>
    <t>1430 Parkchester Rd</t>
  </si>
  <si>
    <t>139 Avenue D</t>
  </si>
  <si>
    <t>1387 Jesup Ave</t>
  </si>
  <si>
    <t>9034 205th Street</t>
  </si>
  <si>
    <t>528 W 152nd St</t>
  </si>
  <si>
    <t>8513 60th Avenue</t>
  </si>
  <si>
    <t>102 Chester Ave</t>
  </si>
  <si>
    <t>75 Allen St</t>
  </si>
  <si>
    <t>22214 133rd ave</t>
  </si>
  <si>
    <t>55 Parade Pl</t>
  </si>
  <si>
    <t>286 Jefferson Ave</t>
  </si>
  <si>
    <t>1214 E 82nd St</t>
  </si>
  <si>
    <t>936 Herkimer St</t>
  </si>
  <si>
    <t>2599 Pitkin Ave</t>
  </si>
  <si>
    <t>7515 188th St</t>
  </si>
  <si>
    <t>719 E 84th St</t>
  </si>
  <si>
    <t>2395 Cornaga Ave</t>
  </si>
  <si>
    <t>16514 144th Ter</t>
  </si>
  <si>
    <t>798 Hendrix St</t>
  </si>
  <si>
    <t>1241 E 101st St</t>
  </si>
  <si>
    <t>721 Sterling Pl</t>
  </si>
  <si>
    <t>2105 Foster Ave</t>
  </si>
  <si>
    <t>243 rogers ave</t>
  </si>
  <si>
    <t>914 E 93rd St</t>
  </si>
  <si>
    <t>54 Veronica Pl</t>
  </si>
  <si>
    <t>4835 Cordell Ave</t>
  </si>
  <si>
    <t>1763 51st St</t>
  </si>
  <si>
    <t>2145 Starling Ave</t>
  </si>
  <si>
    <t>5C</t>
  </si>
  <si>
    <t>2N</t>
  </si>
  <si>
    <t>3H</t>
  </si>
  <si>
    <t>Apt 2</t>
  </si>
  <si>
    <t>4F</t>
  </si>
  <si>
    <t>2nd Floor</t>
  </si>
  <si>
    <t>3E</t>
  </si>
  <si>
    <t>2B</t>
  </si>
  <si>
    <t>6A</t>
  </si>
  <si>
    <t>1st FL</t>
  </si>
  <si>
    <t>2H</t>
  </si>
  <si>
    <t>10B</t>
  </si>
  <si>
    <t>3B</t>
  </si>
  <si>
    <t>7K</t>
  </si>
  <si>
    <t>12G</t>
  </si>
  <si>
    <t>4J</t>
  </si>
  <si>
    <t>1R</t>
  </si>
  <si>
    <t>2R</t>
  </si>
  <si>
    <t>1 Floor</t>
  </si>
  <si>
    <t>1K</t>
  </si>
  <si>
    <t>D2</t>
  </si>
  <si>
    <t>18K</t>
  </si>
  <si>
    <t>2-D</t>
  </si>
  <si>
    <t>2F</t>
  </si>
  <si>
    <t>B4</t>
  </si>
  <si>
    <t>Basement</t>
  </si>
  <si>
    <t>#14</t>
  </si>
  <si>
    <t>#12-A</t>
  </si>
  <si>
    <t>2-C</t>
  </si>
  <si>
    <t>4G</t>
  </si>
  <si>
    <t>13-H</t>
  </si>
  <si>
    <t>5M</t>
  </si>
  <si>
    <t>1st Floor (Private house)</t>
  </si>
  <si>
    <t>Apt 3G</t>
  </si>
  <si>
    <t>#6</t>
  </si>
  <si>
    <t>2A</t>
  </si>
  <si>
    <t>Room 3</t>
  </si>
  <si>
    <t>1D</t>
  </si>
  <si>
    <t>#5A</t>
  </si>
  <si>
    <t>11G</t>
  </si>
  <si>
    <t>#2R</t>
  </si>
  <si>
    <t>#12G</t>
  </si>
  <si>
    <t>#3A</t>
  </si>
  <si>
    <t>13G</t>
  </si>
  <si>
    <t>4A</t>
  </si>
  <si>
    <t>G1</t>
  </si>
  <si>
    <t>5F</t>
  </si>
  <si>
    <t>3L</t>
  </si>
  <si>
    <t>C15</t>
  </si>
  <si>
    <t>2D</t>
  </si>
  <si>
    <t>6C</t>
  </si>
  <si>
    <t>4C</t>
  </si>
  <si>
    <t>3F</t>
  </si>
  <si>
    <t>9D</t>
  </si>
  <si>
    <t>16H</t>
  </si>
  <si>
    <t>2E</t>
  </si>
  <si>
    <t>7L</t>
  </si>
  <si>
    <t>Basement apt.</t>
  </si>
  <si>
    <t>Apt 4C</t>
  </si>
  <si>
    <t>4K</t>
  </si>
  <si>
    <t>B</t>
  </si>
  <si>
    <t>1B</t>
  </si>
  <si>
    <t>#1-S</t>
  </si>
  <si>
    <t>8G</t>
  </si>
  <si>
    <t>GB</t>
  </si>
  <si>
    <t>1F</t>
  </si>
  <si>
    <t>12J</t>
  </si>
  <si>
    <t>5H</t>
  </si>
  <si>
    <t>1A</t>
  </si>
  <si>
    <t>4D</t>
  </si>
  <si>
    <t>A33</t>
  </si>
  <si>
    <t>B5</t>
  </si>
  <si>
    <t>4I</t>
  </si>
  <si>
    <t>27D</t>
  </si>
  <si>
    <t>2c</t>
  </si>
  <si>
    <t>B10</t>
  </si>
  <si>
    <t>7A</t>
  </si>
  <si>
    <t>8D</t>
  </si>
  <si>
    <t>Apt C</t>
  </si>
  <si>
    <t>Apt C4</t>
  </si>
  <si>
    <t>Apt LL1</t>
  </si>
  <si>
    <t>Apt 5A</t>
  </si>
  <si>
    <t>2nd FL</t>
  </si>
  <si>
    <t>3C</t>
  </si>
  <si>
    <t>A-2</t>
  </si>
  <si>
    <t>C209</t>
  </si>
  <si>
    <t>8A</t>
  </si>
  <si>
    <t>4B</t>
  </si>
  <si>
    <t># A 605</t>
  </si>
  <si>
    <t>5J</t>
  </si>
  <si>
    <t>10D</t>
  </si>
  <si>
    <t>21W</t>
  </si>
  <si>
    <t>14C</t>
  </si>
  <si>
    <t>2K</t>
  </si>
  <si>
    <t>1C</t>
  </si>
  <si>
    <t>4b</t>
  </si>
  <si>
    <t>6M</t>
  </si>
  <si>
    <t>6B</t>
  </si>
  <si>
    <t>LA4</t>
  </si>
  <si>
    <t>A5</t>
  </si>
  <si>
    <t>7D</t>
  </si>
  <si>
    <t>Upper Fl</t>
  </si>
  <si>
    <t>2 G</t>
  </si>
  <si>
    <t>3G</t>
  </si>
  <si>
    <t>3c</t>
  </si>
  <si>
    <t>4R</t>
  </si>
  <si>
    <t>E6</t>
  </si>
  <si>
    <t>Apt 4E</t>
  </si>
  <si>
    <t>LD</t>
  </si>
  <si>
    <t>2 fl</t>
  </si>
  <si>
    <t>3D</t>
  </si>
  <si>
    <t>5E</t>
  </si>
  <si>
    <t>A4</t>
  </si>
  <si>
    <t>6L</t>
  </si>
  <si>
    <t>12F</t>
  </si>
  <si>
    <t>C2</t>
  </si>
  <si>
    <t>#18H</t>
  </si>
  <si>
    <t>top floor</t>
  </si>
  <si>
    <t>3r</t>
  </si>
  <si>
    <t>6E</t>
  </si>
  <si>
    <t>B2</t>
  </si>
  <si>
    <t>L</t>
  </si>
  <si>
    <t>2L</t>
  </si>
  <si>
    <t>13A</t>
  </si>
  <si>
    <t>9H</t>
  </si>
  <si>
    <t>3rd Fl.</t>
  </si>
  <si>
    <t>Apt. C1</t>
  </si>
  <si>
    <t>Bsmt</t>
  </si>
  <si>
    <t>#4H</t>
  </si>
  <si>
    <t>11C</t>
  </si>
  <si>
    <t>1 floor</t>
  </si>
  <si>
    <t>5G</t>
  </si>
  <si>
    <t>#826</t>
  </si>
  <si>
    <t>2nd Fl</t>
  </si>
  <si>
    <t>44L</t>
  </si>
  <si>
    <t>9C</t>
  </si>
  <si>
    <t>1-3</t>
  </si>
  <si>
    <t>13D</t>
  </si>
  <si>
    <t>8F</t>
  </si>
  <si>
    <t>#3F</t>
  </si>
  <si>
    <t>3R</t>
  </si>
  <si>
    <t>Apt 1D</t>
  </si>
  <si>
    <t>1H</t>
  </si>
  <si>
    <t>21G</t>
  </si>
  <si>
    <t>4E</t>
  </si>
  <si>
    <t>1 R</t>
  </si>
  <si>
    <t>32F</t>
  </si>
  <si>
    <t>1L</t>
  </si>
  <si>
    <t>9G</t>
  </si>
  <si>
    <t>Apt 2R</t>
  </si>
  <si>
    <t>1st floor</t>
  </si>
  <si>
    <t>2nd floor</t>
  </si>
  <si>
    <t>L2</t>
  </si>
  <si>
    <t>12B5</t>
  </si>
  <si>
    <t>2G</t>
  </si>
  <si>
    <t>3A</t>
  </si>
  <si>
    <t>3 A</t>
  </si>
  <si>
    <t>3b</t>
  </si>
  <si>
    <t>D4</t>
  </si>
  <si>
    <t>5A</t>
  </si>
  <si>
    <t>4P</t>
  </si>
  <si>
    <t>63B</t>
  </si>
  <si>
    <t>9L</t>
  </si>
  <si>
    <t>18F</t>
  </si>
  <si>
    <t>13H</t>
  </si>
  <si>
    <t>56A</t>
  </si>
  <si>
    <t>#106</t>
  </si>
  <si>
    <t>Apt 316</t>
  </si>
  <si>
    <t>10G</t>
  </si>
  <si>
    <t># 3C</t>
  </si>
  <si>
    <t>1st Fl</t>
  </si>
  <si>
    <t>9J</t>
  </si>
  <si>
    <t>D5</t>
  </si>
  <si>
    <t>11E</t>
  </si>
  <si>
    <t>7F</t>
  </si>
  <si>
    <t>First Floor</t>
  </si>
  <si>
    <t>16F</t>
  </si>
  <si>
    <t>8-4005</t>
  </si>
  <si>
    <t>#B1</t>
  </si>
  <si>
    <t>20F</t>
  </si>
  <si>
    <t>1E</t>
  </si>
  <si>
    <t>Apt 1-V</t>
  </si>
  <si>
    <t>3f</t>
  </si>
  <si>
    <t>3rd Floor</t>
  </si>
  <si>
    <t>1St Floor</t>
  </si>
  <si>
    <t>1st fl</t>
  </si>
  <si>
    <t>3M</t>
  </si>
  <si>
    <t>6F</t>
  </si>
  <si>
    <t>3J</t>
  </si>
  <si>
    <t>Apt 9G</t>
  </si>
  <si>
    <t>1st Floor</t>
  </si>
  <si>
    <t>9h</t>
  </si>
  <si>
    <t>GF</t>
  </si>
  <si>
    <t>c8</t>
  </si>
  <si>
    <t>16D</t>
  </si>
  <si>
    <t>19E</t>
  </si>
  <si>
    <t>2RR</t>
  </si>
  <si>
    <t>A1</t>
  </si>
  <si>
    <t>2M</t>
  </si>
  <si>
    <t>17E</t>
  </si>
  <si>
    <t>1st Fl.</t>
  </si>
  <si>
    <t>2fl</t>
  </si>
  <si>
    <t>#2D</t>
  </si>
  <si>
    <t>5N</t>
  </si>
  <si>
    <t>#4A</t>
  </si>
  <si>
    <t>6D</t>
  </si>
  <si>
    <t>#1V</t>
  </si>
  <si>
    <t>#3</t>
  </si>
  <si>
    <t>7E</t>
  </si>
  <si>
    <t>2J</t>
  </si>
  <si>
    <t>4FF</t>
  </si>
  <si>
    <t>5B</t>
  </si>
  <si>
    <t>C6</t>
  </si>
  <si>
    <t>apt 6</t>
  </si>
  <si>
    <t>Apt. 8-G</t>
  </si>
  <si>
    <t>3l</t>
  </si>
  <si>
    <t>16A</t>
  </si>
  <si>
    <t>#3D</t>
  </si>
  <si>
    <t>6CN</t>
  </si>
  <si>
    <t>18A</t>
  </si>
  <si>
    <t>8E4</t>
  </si>
  <si>
    <t>10J</t>
  </si>
  <si>
    <t>1c</t>
  </si>
  <si>
    <t>2C</t>
  </si>
  <si>
    <t>Apt 13C</t>
  </si>
  <si>
    <t>2h</t>
  </si>
  <si>
    <t>6FW</t>
  </si>
  <si>
    <t>#1E</t>
  </si>
  <si>
    <t>9c</t>
  </si>
  <si>
    <t>G</t>
  </si>
  <si>
    <t>D9</t>
  </si>
  <si>
    <t>1W</t>
  </si>
  <si>
    <t>5c</t>
  </si>
  <si>
    <t>6J</t>
  </si>
  <si>
    <t>3-R</t>
  </si>
  <si>
    <t>5D</t>
  </si>
  <si>
    <t>C505</t>
  </si>
  <si>
    <t>16B</t>
  </si>
  <si>
    <t>6th Floor</t>
  </si>
  <si>
    <t>9 E</t>
  </si>
  <si>
    <t>4DN</t>
  </si>
  <si>
    <t>15F</t>
  </si>
  <si>
    <t>C22</t>
  </si>
  <si>
    <t>20B</t>
  </si>
  <si>
    <t>5 F</t>
  </si>
  <si>
    <t>A-A</t>
  </si>
  <si>
    <t>C24A</t>
  </si>
  <si>
    <t>B-53</t>
  </si>
  <si>
    <t>30A</t>
  </si>
  <si>
    <t>3-E</t>
  </si>
  <si>
    <t>2 F</t>
  </si>
  <si>
    <t>3K</t>
  </si>
  <si>
    <t>10-N</t>
  </si>
  <si>
    <t>3N</t>
  </si>
  <si>
    <t>5K</t>
  </si>
  <si>
    <t>7C</t>
  </si>
  <si>
    <t>17H</t>
  </si>
  <si>
    <t>#1F</t>
  </si>
  <si>
    <t>12A</t>
  </si>
  <si>
    <t>6N</t>
  </si>
  <si>
    <t>5/3L</t>
  </si>
  <si>
    <t>8B</t>
  </si>
  <si>
    <t>17K</t>
  </si>
  <si>
    <t>7M</t>
  </si>
  <si>
    <t>#1</t>
  </si>
  <si>
    <t>A2</t>
  </si>
  <si>
    <t>K</t>
  </si>
  <si>
    <t>2-R</t>
  </si>
  <si>
    <t>D7</t>
  </si>
  <si>
    <t>Apt 3K</t>
  </si>
  <si>
    <t>C-8</t>
  </si>
  <si>
    <t>2V</t>
  </si>
  <si>
    <t>2nd floor, left rear room</t>
  </si>
  <si>
    <t>3 FL</t>
  </si>
  <si>
    <t>Apt 3R</t>
  </si>
  <si>
    <t>2nd fl</t>
  </si>
  <si>
    <t>bsmnt</t>
  </si>
  <si>
    <t>9B</t>
  </si>
  <si>
    <t>2 floor</t>
  </si>
  <si>
    <t>#1K</t>
  </si>
  <si>
    <t>Bw</t>
  </si>
  <si>
    <t>#2C</t>
  </si>
  <si>
    <t>3rd fl</t>
  </si>
  <si>
    <t>L1</t>
  </si>
  <si>
    <t>3rd FL</t>
  </si>
  <si>
    <t>6I</t>
  </si>
  <si>
    <t>Fl 1</t>
  </si>
  <si>
    <t>#2A</t>
  </si>
  <si>
    <t>k</t>
  </si>
  <si>
    <t>32A</t>
  </si>
  <si>
    <t>7 D</t>
  </si>
  <si>
    <t>E9</t>
  </si>
  <si>
    <t>11D</t>
  </si>
  <si>
    <t>#1D</t>
  </si>
  <si>
    <t>#1C</t>
  </si>
  <si>
    <t>3T</t>
  </si>
  <si>
    <t>17C</t>
  </si>
  <si>
    <t>#10H</t>
  </si>
  <si>
    <t>B9</t>
  </si>
  <si>
    <t>6H</t>
  </si>
  <si>
    <t>11H</t>
  </si>
  <si>
    <t>B1</t>
  </si>
  <si>
    <t>5X</t>
  </si>
  <si>
    <t>Apt 2B</t>
  </si>
  <si>
    <t>#4B</t>
  </si>
  <si>
    <t>8E</t>
  </si>
  <si>
    <t>01D</t>
  </si>
  <si>
    <t>5L</t>
  </si>
  <si>
    <t>Apt 7N</t>
  </si>
  <si>
    <t>#2H</t>
  </si>
  <si>
    <t>8H</t>
  </si>
  <si>
    <t>2d</t>
  </si>
  <si>
    <t>1N</t>
  </si>
  <si>
    <t>#6G</t>
  </si>
  <si>
    <t>3I</t>
  </si>
  <si>
    <t>6W</t>
  </si>
  <si>
    <t>E1</t>
  </si>
  <si>
    <t>E</t>
  </si>
  <si>
    <t>#4G</t>
  </si>
  <si>
    <t>4T</t>
  </si>
  <si>
    <t>12K</t>
  </si>
  <si>
    <t>E5</t>
  </si>
  <si>
    <t>Privat house</t>
  </si>
  <si>
    <t>2I</t>
  </si>
  <si>
    <t>Apt 3H</t>
  </si>
  <si>
    <t>Private house</t>
  </si>
  <si>
    <t>1 Rm 5</t>
  </si>
  <si>
    <t>#2U</t>
  </si>
  <si>
    <t>Apt 307</t>
  </si>
  <si>
    <t>A22</t>
  </si>
  <si>
    <t>Apt 6L</t>
  </si>
  <si>
    <t>7h</t>
  </si>
  <si>
    <t>Apt 16H</t>
  </si>
  <si>
    <t>21A</t>
  </si>
  <si>
    <t>Apt 1A</t>
  </si>
  <si>
    <t>6-I</t>
  </si>
  <si>
    <t>12B</t>
  </si>
  <si>
    <t>7-G</t>
  </si>
  <si>
    <t>20J</t>
  </si>
  <si>
    <t>2-A</t>
  </si>
  <si>
    <t>Apt 6O</t>
  </si>
  <si>
    <t>8C</t>
  </si>
  <si>
    <t>12N</t>
  </si>
  <si>
    <t>4H</t>
  </si>
  <si>
    <t>2-2</t>
  </si>
  <si>
    <t>#17A</t>
  </si>
  <si>
    <t>1st floor apt 3</t>
  </si>
  <si>
    <t>1H, LEFT SIDE</t>
  </si>
  <si>
    <t>A3</t>
  </si>
  <si>
    <t>12L</t>
  </si>
  <si>
    <t>10M</t>
  </si>
  <si>
    <t>9F</t>
  </si>
  <si>
    <t>C8</t>
  </si>
  <si>
    <t>8N</t>
  </si>
  <si>
    <t>F3</t>
  </si>
  <si>
    <t>13B</t>
  </si>
  <si>
    <t>b3</t>
  </si>
  <si>
    <t>#5D</t>
  </si>
  <si>
    <t>Bsmnt</t>
  </si>
  <si>
    <t>1T</t>
  </si>
  <si>
    <t>7G</t>
  </si>
  <si>
    <t>1O</t>
  </si>
  <si>
    <t>#2F</t>
  </si>
  <si>
    <t>3rd floor</t>
  </si>
  <si>
    <t>C17</t>
  </si>
  <si>
    <t>Main Floor</t>
  </si>
  <si>
    <t>6i</t>
  </si>
  <si>
    <t>Apt 330</t>
  </si>
  <si>
    <t>Gr. Front 100M</t>
  </si>
  <si>
    <t>47A</t>
  </si>
  <si>
    <t>6G</t>
  </si>
  <si>
    <t>7N</t>
  </si>
  <si>
    <t>20H</t>
  </si>
  <si>
    <t>basement</t>
  </si>
  <si>
    <t>1A1</t>
  </si>
  <si>
    <t>R2</t>
  </si>
  <si>
    <t>Room A201-2</t>
  </si>
  <si>
    <t>2i</t>
  </si>
  <si>
    <t>3AN</t>
  </si>
  <si>
    <t>12 L</t>
  </si>
  <si>
    <t>45C</t>
  </si>
  <si>
    <t>WI</t>
  </si>
  <si>
    <t>5-B</t>
  </si>
  <si>
    <t>AA</t>
  </si>
  <si>
    <t>4O</t>
  </si>
  <si>
    <t>RE6</t>
  </si>
  <si>
    <t>Apt 4B</t>
  </si>
  <si>
    <t>Apt 3</t>
  </si>
  <si>
    <t>#18C</t>
  </si>
  <si>
    <t>#16B</t>
  </si>
  <si>
    <t>#5</t>
  </si>
  <si>
    <t>1G</t>
  </si>
  <si>
    <t>1st Floor- Apt 1</t>
  </si>
  <si>
    <t>C</t>
  </si>
  <si>
    <t>#3B</t>
  </si>
  <si>
    <t>18H</t>
  </si>
  <si>
    <t>D12</t>
  </si>
  <si>
    <t>15C</t>
  </si>
  <si>
    <t>5-G</t>
  </si>
  <si>
    <t>3U</t>
  </si>
  <si>
    <t>C9L</t>
  </si>
  <si>
    <t>APpt. 5G</t>
  </si>
  <si>
    <t>4a</t>
  </si>
  <si>
    <t>#13F</t>
  </si>
  <si>
    <t>14K</t>
  </si>
  <si>
    <t>#E6</t>
  </si>
  <si>
    <t>1FR</t>
  </si>
  <si>
    <t>6ST</t>
  </si>
  <si>
    <t>H2</t>
  </si>
  <si>
    <t>A11</t>
  </si>
  <si>
    <t>11A</t>
  </si>
  <si>
    <t>3-D</t>
  </si>
  <si>
    <t>B103</t>
  </si>
  <si>
    <t>D10</t>
  </si>
  <si>
    <t>4 I</t>
  </si>
  <si>
    <t>F</t>
  </si>
  <si>
    <t>Apt 3A</t>
  </si>
  <si>
    <t>6K</t>
  </si>
  <si>
    <t>#3E</t>
  </si>
  <si>
    <t>BB</t>
  </si>
  <si>
    <t>#4D</t>
  </si>
  <si>
    <t>5DS</t>
  </si>
  <si>
    <t>9 G</t>
  </si>
  <si>
    <t>B7</t>
  </si>
  <si>
    <t>15L</t>
  </si>
  <si>
    <t>29E</t>
  </si>
  <si>
    <t>B6M</t>
  </si>
  <si>
    <t>H</t>
  </si>
  <si>
    <t>5d</t>
  </si>
  <si>
    <t>23 A</t>
  </si>
  <si>
    <t>A41</t>
  </si>
  <si>
    <t>6S</t>
  </si>
  <si>
    <t>B45</t>
  </si>
  <si>
    <t>F12</t>
  </si>
  <si>
    <t>5W</t>
  </si>
  <si>
    <t>Apt. 1A</t>
  </si>
  <si>
    <t>BSMT</t>
  </si>
  <si>
    <t>413E</t>
  </si>
  <si>
    <t>206W</t>
  </si>
  <si>
    <t>205W</t>
  </si>
  <si>
    <t>204W</t>
  </si>
  <si>
    <t>211W</t>
  </si>
  <si>
    <t>115E</t>
  </si>
  <si>
    <t>314W</t>
  </si>
  <si>
    <t>321E</t>
  </si>
  <si>
    <t>331E</t>
  </si>
  <si>
    <t>Apt 3J</t>
  </si>
  <si>
    <t>A</t>
  </si>
  <si>
    <t>1M</t>
  </si>
  <si>
    <t>2b</t>
  </si>
  <si>
    <t>back entrance</t>
  </si>
  <si>
    <t>Basement Apartment</t>
  </si>
  <si>
    <t>5P</t>
  </si>
  <si>
    <t>23E</t>
  </si>
  <si>
    <t>Bottom Floor</t>
  </si>
  <si>
    <t>Apt 1</t>
  </si>
  <si>
    <t>5O</t>
  </si>
  <si>
    <t>6R</t>
  </si>
  <si>
    <t>1AB</t>
  </si>
  <si>
    <t>7R</t>
  </si>
  <si>
    <t>Apt 4J</t>
  </si>
  <si>
    <t>11B</t>
  </si>
  <si>
    <t>M703</t>
  </si>
  <si>
    <t>17L</t>
  </si>
  <si>
    <t>apt 2F</t>
  </si>
  <si>
    <t>6e</t>
  </si>
  <si>
    <t>GA</t>
  </si>
  <si>
    <t>22K</t>
  </si>
  <si>
    <t>23K</t>
  </si>
  <si>
    <t>Apt 19F</t>
  </si>
  <si>
    <t>19H</t>
  </si>
  <si>
    <t>8C (THIRD FLOOR)</t>
  </si>
  <si>
    <t>4-B</t>
  </si>
  <si>
    <t>6yy</t>
  </si>
  <si>
    <t>F5</t>
  </si>
  <si>
    <t>Rear</t>
  </si>
  <si>
    <t>06D</t>
  </si>
  <si>
    <t>C3</t>
  </si>
  <si>
    <t>D3</t>
  </si>
  <si>
    <t>1d</t>
  </si>
  <si>
    <t>4M</t>
  </si>
  <si>
    <t>14H</t>
  </si>
  <si>
    <t>7J</t>
  </si>
  <si>
    <t>Apt 3B</t>
  </si>
  <si>
    <t>18D</t>
  </si>
  <si>
    <t>C4</t>
  </si>
  <si>
    <t>BW</t>
  </si>
  <si>
    <t>01K</t>
  </si>
  <si>
    <t>4L</t>
  </si>
  <si>
    <t>Unit 1</t>
  </si>
  <si>
    <t>Apt. 1; 1st Floor</t>
  </si>
  <si>
    <t>10L</t>
  </si>
  <si>
    <t>A55</t>
  </si>
  <si>
    <t>1st</t>
  </si>
  <si>
    <t>3EW</t>
  </si>
  <si>
    <t>34J</t>
  </si>
  <si>
    <t>4N</t>
  </si>
  <si>
    <t>7b</t>
  </si>
  <si>
    <t>Apt 50</t>
  </si>
  <si>
    <t>#2N</t>
  </si>
  <si>
    <t>22 K</t>
  </si>
  <si>
    <t>Bsmt Apt</t>
  </si>
  <si>
    <t>#6J</t>
  </si>
  <si>
    <t>B506</t>
  </si>
  <si>
    <t>1fl</t>
  </si>
  <si>
    <t>C1</t>
  </si>
  <si>
    <t>F22</t>
  </si>
  <si>
    <t>W12F</t>
  </si>
  <si>
    <t>2FL</t>
  </si>
  <si>
    <t>K51</t>
  </si>
  <si>
    <t># 1E</t>
  </si>
  <si>
    <t>First floor</t>
  </si>
  <si>
    <t>FL 3</t>
  </si>
  <si>
    <t>D14G</t>
  </si>
  <si>
    <t>Apt 1R</t>
  </si>
  <si>
    <t>6P</t>
  </si>
  <si>
    <t>A35</t>
  </si>
  <si>
    <t>9E</t>
  </si>
  <si>
    <t>25A</t>
  </si>
  <si>
    <t>Apt 7Y</t>
  </si>
  <si>
    <t>1A (55)</t>
  </si>
  <si>
    <t>11R</t>
  </si>
  <si>
    <t>1-H</t>
  </si>
  <si>
    <t>PH</t>
  </si>
  <si>
    <t>Apt 7G</t>
  </si>
  <si>
    <t>4 D</t>
  </si>
  <si>
    <t>A307</t>
  </si>
  <si>
    <t>TB</t>
  </si>
  <si>
    <t>2e</t>
  </si>
  <si>
    <t>#2</t>
  </si>
  <si>
    <t>2 R</t>
  </si>
  <si>
    <t>Apt 3L</t>
  </si>
  <si>
    <t>7B</t>
  </si>
  <si>
    <t>3Q</t>
  </si>
  <si>
    <t>D5C</t>
  </si>
  <si>
    <t>14G</t>
  </si>
  <si>
    <t>10A</t>
  </si>
  <si>
    <t>2Fl</t>
  </si>
  <si>
    <t>B-2</t>
  </si>
  <si>
    <t>24B</t>
  </si>
  <si>
    <t>D</t>
  </si>
  <si>
    <t>D8</t>
  </si>
  <si>
    <t>Bronx</t>
  </si>
  <si>
    <t>Staten Island</t>
  </si>
  <si>
    <t>Brooklyn</t>
  </si>
  <si>
    <t>New York</t>
  </si>
  <si>
    <t>Rockaway Beach</t>
  </si>
  <si>
    <t>Woodhaven</t>
  </si>
  <si>
    <t>College Point</t>
  </si>
  <si>
    <t>Rosedale</t>
  </si>
  <si>
    <t>Jackson Heights</t>
  </si>
  <si>
    <t>Jamaica</t>
  </si>
  <si>
    <t>Astoria</t>
  </si>
  <si>
    <t>Flushing</t>
  </si>
  <si>
    <t>Far Rockaway</t>
  </si>
  <si>
    <t>NEW YORK</t>
  </si>
  <si>
    <t>Ridgewood</t>
  </si>
  <si>
    <t>Fresh Meadows</t>
  </si>
  <si>
    <t>Richmond Hill</t>
  </si>
  <si>
    <t>Arverne</t>
  </si>
  <si>
    <t>Rego Park</t>
  </si>
  <si>
    <t>Queens Vlg</t>
  </si>
  <si>
    <t>Long Is City</t>
  </si>
  <si>
    <t>Sprngfld Gdns</t>
  </si>
  <si>
    <t>Saint Albans</t>
  </si>
  <si>
    <t>Ozone Park</t>
  </si>
  <si>
    <t>Springfield Gardens</t>
  </si>
  <si>
    <t>Hollis</t>
  </si>
  <si>
    <t>JAMAICA</t>
  </si>
  <si>
    <t>Corona</t>
  </si>
  <si>
    <t>Bayside</t>
  </si>
  <si>
    <t>East Elmhurst</t>
  </si>
  <si>
    <t>Woodside</t>
  </si>
  <si>
    <t>Maspeth</t>
  </si>
  <si>
    <t>South Richmond Hill</t>
  </si>
  <si>
    <t>manhattan</t>
  </si>
  <si>
    <t>Sunnyside</t>
  </si>
  <si>
    <t>Long Island City</t>
  </si>
  <si>
    <t>Rockaway Park</t>
  </si>
  <si>
    <t>Cambria Heights</t>
  </si>
  <si>
    <t>South Ozone Park</t>
  </si>
  <si>
    <t>Elmhurst</t>
  </si>
  <si>
    <t>Queens Village</t>
  </si>
  <si>
    <t>Glendale</t>
  </si>
  <si>
    <t>Laurelton</t>
  </si>
  <si>
    <t>Whitestone</t>
  </si>
  <si>
    <t>St. Albans</t>
  </si>
  <si>
    <t>Avenue</t>
  </si>
  <si>
    <t>Kew Gardens</t>
  </si>
  <si>
    <t>bronx</t>
  </si>
  <si>
    <t>Staten Islandstaten island</t>
  </si>
  <si>
    <t>Buffalo</t>
  </si>
  <si>
    <t>Forest Hills</t>
  </si>
  <si>
    <t>Middle Village</t>
  </si>
  <si>
    <t>Metuchen</t>
  </si>
  <si>
    <t>S Ozone Park</t>
  </si>
  <si>
    <t>STATEN ISLAND</t>
  </si>
  <si>
    <t>New Hyde Park</t>
  </si>
  <si>
    <t>West Haven</t>
  </si>
  <si>
    <t>Yonkers</t>
  </si>
  <si>
    <t>S Richmond Hl</t>
  </si>
  <si>
    <t>Bethesda</t>
  </si>
  <si>
    <t>Yes</t>
  </si>
  <si>
    <t xml:space="preserve"> </t>
  </si>
  <si>
    <t>No</t>
  </si>
  <si>
    <t>LT-050679-19/RI</t>
  </si>
  <si>
    <t>LT-071415-19/KI</t>
  </si>
  <si>
    <t>LT-028108-19/BX</t>
  </si>
  <si>
    <t>LT-009769-19/BX</t>
  </si>
  <si>
    <t>LT-028107-19/BX</t>
  </si>
  <si>
    <t>LT-050535-19/RI</t>
  </si>
  <si>
    <t>LT-057355-19/NY</t>
  </si>
  <si>
    <t>LT-066348-19/KI</t>
  </si>
  <si>
    <t>LT-011993-19/QU</t>
  </si>
  <si>
    <t>LT-065877-19/KI</t>
  </si>
  <si>
    <t>LT-027891-19/BX</t>
  </si>
  <si>
    <t>LT-061275-19/QU</t>
  </si>
  <si>
    <t>LT-010500-19</t>
  </si>
  <si>
    <t>LT-052713-19</t>
  </si>
  <si>
    <t>LT-013980-19/BX</t>
  </si>
  <si>
    <t>LT-025905-19/BX</t>
  </si>
  <si>
    <t>LT-011992-19/QU</t>
  </si>
  <si>
    <t>LT-052559-18/RI</t>
  </si>
  <si>
    <t>LT-28220/19-BX</t>
  </si>
  <si>
    <t>LT-063262-19/QU</t>
  </si>
  <si>
    <t>LT-062635-19/QU</t>
  </si>
  <si>
    <t>LT-057699-19/QU</t>
  </si>
  <si>
    <t>LT-022734-19/BX</t>
  </si>
  <si>
    <t>LT-025908-19/BX</t>
  </si>
  <si>
    <t>LT-803587-19/BX</t>
  </si>
  <si>
    <t>LT-018667-19/BX</t>
  </si>
  <si>
    <t>LT-054142-19/NY</t>
  </si>
  <si>
    <t>LT- 026972-19/BX</t>
  </si>
  <si>
    <t>LT-059197-19/KI</t>
  </si>
  <si>
    <t>No case</t>
  </si>
  <si>
    <t>LT-85080-18/KI</t>
  </si>
  <si>
    <t>LT-069940-19/KI</t>
  </si>
  <si>
    <t>LT-13619-19/BX</t>
  </si>
  <si>
    <t>LT-058727-19/KI</t>
  </si>
  <si>
    <t>LT-051149-19/QU</t>
  </si>
  <si>
    <t>LT-022101-19/BX</t>
  </si>
  <si>
    <t>LT-017825-19/BX</t>
  </si>
  <si>
    <t>LT-30279-19/BX</t>
  </si>
  <si>
    <t>LT-064209-19/NY</t>
  </si>
  <si>
    <t>LT-029544-19/BX</t>
  </si>
  <si>
    <t>no case</t>
  </si>
  <si>
    <t>LT-001778-19/KI</t>
  </si>
  <si>
    <t>No Case</t>
  </si>
  <si>
    <t>None</t>
  </si>
  <si>
    <t>LT-050183-19/RI</t>
  </si>
  <si>
    <t>L&amp;T-062787-19/KI</t>
  </si>
  <si>
    <t>LT-010829-19/QU</t>
  </si>
  <si>
    <t>LT-050700-19/RI</t>
  </si>
  <si>
    <t>LT-056477-19/QU</t>
  </si>
  <si>
    <t>LT-021609-19/BX</t>
  </si>
  <si>
    <t>LT-92551-18/KI</t>
  </si>
  <si>
    <t>LT-054481-19/KI</t>
  </si>
  <si>
    <t>LT-052742-19/QU</t>
  </si>
  <si>
    <t>LT-063992-19/NY</t>
  </si>
  <si>
    <t>LT-813546-18/BX</t>
  </si>
  <si>
    <t>LT-011201-19/BX</t>
  </si>
  <si>
    <t>LT-027698-19/BX</t>
  </si>
  <si>
    <t>LT-023131-19/BX</t>
  </si>
  <si>
    <t>LT-016253-18/NY</t>
  </si>
  <si>
    <t>65646/19</t>
  </si>
  <si>
    <t>LT-019248-19/BX</t>
  </si>
  <si>
    <t>LT-058256-18/BX</t>
  </si>
  <si>
    <t>LT-009316-18/BX</t>
  </si>
  <si>
    <t>LT-015184-19/BX</t>
  </si>
  <si>
    <t>LT-021613-13/BX</t>
  </si>
  <si>
    <t>LT-072048-18/QU</t>
  </si>
  <si>
    <t>LT-28032-19/BX</t>
  </si>
  <si>
    <t>LT-008185-19/BX</t>
  </si>
  <si>
    <t>66922/19</t>
  </si>
  <si>
    <t>LT-020266-19/BX</t>
  </si>
  <si>
    <t>016737-19/BX</t>
  </si>
  <si>
    <t>LT-029999-19/BX</t>
  </si>
  <si>
    <t>LT-068302-18/BX</t>
  </si>
  <si>
    <t>LT-028249-19/BX</t>
  </si>
  <si>
    <t>NYCHA Hearing</t>
  </si>
  <si>
    <t>none</t>
  </si>
  <si>
    <t>LT-017392-18/BX</t>
  </si>
  <si>
    <t>Lt-60627/19</t>
  </si>
  <si>
    <t>LT-18206-19</t>
  </si>
  <si>
    <t>NO CASE</t>
  </si>
  <si>
    <t>LT-061397-19/KI</t>
  </si>
  <si>
    <t>L&amp;T-0577818-19/KI</t>
  </si>
  <si>
    <t>LT-014407-19/BX</t>
  </si>
  <si>
    <t>LT-083382-18/KI</t>
  </si>
  <si>
    <t>L&amp;T-089593-18/KI</t>
  </si>
  <si>
    <t>L&amp;T-66161-19/KI</t>
  </si>
  <si>
    <t>LT-023506-19/BX</t>
  </si>
  <si>
    <t>LT-014951-19/KI</t>
  </si>
  <si>
    <t>LT-017853-18/KI</t>
  </si>
  <si>
    <t>069019-19</t>
  </si>
  <si>
    <t>LT-064075-19/NY</t>
  </si>
  <si>
    <t>LT-016089-19/BX</t>
  </si>
  <si>
    <t>060427/2019</t>
  </si>
  <si>
    <t>077498/2018</t>
  </si>
  <si>
    <t>CG0045/19BX</t>
  </si>
  <si>
    <t>LT-013067-19/BX</t>
  </si>
  <si>
    <t>LT-051360-19/RI</t>
  </si>
  <si>
    <t>LT-067117-18/BX</t>
  </si>
  <si>
    <t>LT-012943-19/KI</t>
  </si>
  <si>
    <t>LT-012175-18/NY</t>
  </si>
  <si>
    <t>LT-007241-19/BX</t>
  </si>
  <si>
    <t>48997/18</t>
  </si>
  <si>
    <t>097394/KI</t>
  </si>
  <si>
    <t>LT-071473-18/NY</t>
  </si>
  <si>
    <t>LT-86570-18/KI</t>
  </si>
  <si>
    <t>LT-053183-18/BX</t>
  </si>
  <si>
    <t>LT-020164-19/BX</t>
  </si>
  <si>
    <t>LT-035793-18/BX</t>
  </si>
  <si>
    <t>250601-19</t>
  </si>
  <si>
    <t>None yet</t>
  </si>
  <si>
    <t>LT-055755-19/NY</t>
  </si>
  <si>
    <t>LT-067423-19/KI</t>
  </si>
  <si>
    <t>LT-023429-18/BX</t>
  </si>
  <si>
    <t>LT-065513-19/KI</t>
  </si>
  <si>
    <t>LT-069073-19/KI</t>
  </si>
  <si>
    <t>LT-050405-19/RI</t>
  </si>
  <si>
    <t>LT-021409-19/BX</t>
  </si>
  <si>
    <t>LT-051044-19/RI</t>
  </si>
  <si>
    <t>60506/19</t>
  </si>
  <si>
    <t>LT-059506-19/KI</t>
  </si>
  <si>
    <t>LT-51128-19/RI</t>
  </si>
  <si>
    <t>LT-076248-18/QU</t>
  </si>
  <si>
    <t>LT-018640-19/BX</t>
  </si>
  <si>
    <t>LT-015772-19/BX</t>
  </si>
  <si>
    <t>LT-051021-19/RI</t>
  </si>
  <si>
    <t>LT-067557-19/KI</t>
  </si>
  <si>
    <t>L&amp;T-61079-19/KI</t>
  </si>
  <si>
    <t>LT-56320-19</t>
  </si>
  <si>
    <t>L&amp;T 54693/19 QU</t>
  </si>
  <si>
    <t>LT-056370-19/KI</t>
  </si>
  <si>
    <t>L&amp;T-016824-19/KI</t>
  </si>
  <si>
    <t>ER 410056 RT</t>
  </si>
  <si>
    <t>CV-300197-18/BX</t>
  </si>
  <si>
    <t>LT-071696-19/KI</t>
  </si>
  <si>
    <t>L&amp;T-071608-19/KI</t>
  </si>
  <si>
    <t>LT-022736-19/BX</t>
  </si>
  <si>
    <t>LT-053142-19/QU</t>
  </si>
  <si>
    <t>065941-19</t>
  </si>
  <si>
    <t>LT-053408-19/KI</t>
  </si>
  <si>
    <t>LT-071742-19/KI</t>
  </si>
  <si>
    <t>LT-026148-19/BX</t>
  </si>
  <si>
    <t>LT-060978-19/QU</t>
  </si>
  <si>
    <t>LT-000128-19/BX</t>
  </si>
  <si>
    <t>LT-060818-19/QU</t>
  </si>
  <si>
    <t>62636/19</t>
  </si>
  <si>
    <t>LT-078556-19 QU</t>
  </si>
  <si>
    <t>LT-057271-19/QU</t>
  </si>
  <si>
    <t>LT-28391-19/BX</t>
  </si>
  <si>
    <t>LT-059619-19/QU</t>
  </si>
  <si>
    <t>LT-051723-19/RI</t>
  </si>
  <si>
    <t>LT-063715-19/QU</t>
  </si>
  <si>
    <t>LT-010851-19/BX</t>
  </si>
  <si>
    <t>LT-062190-19/QU</t>
  </si>
  <si>
    <t>LT-062197-19/QU</t>
  </si>
  <si>
    <t>LT-001094-19/BX</t>
  </si>
  <si>
    <t>LT-022641-19/BX</t>
  </si>
  <si>
    <t>LT-057728-17/KI</t>
  </si>
  <si>
    <t>LT-029477-19/BX</t>
  </si>
  <si>
    <t>LT-063570-19/QU</t>
  </si>
  <si>
    <t>LT-061134-19 QU</t>
  </si>
  <si>
    <t>LT-063899-19/QU</t>
  </si>
  <si>
    <t>LT-060792-19/QU</t>
  </si>
  <si>
    <t>LT-017987-19/BX</t>
  </si>
  <si>
    <t>LT-030063-19/BX</t>
  </si>
  <si>
    <t>LT-030315-19/BX</t>
  </si>
  <si>
    <t>LT-057952-19</t>
  </si>
  <si>
    <t>LT-028667-19/BX</t>
  </si>
  <si>
    <t>LT-810376-17/BX</t>
  </si>
  <si>
    <t>LT-031350-19/BX</t>
  </si>
  <si>
    <t>LT-060758-19/QU</t>
  </si>
  <si>
    <t>LT-013325-19/BX</t>
  </si>
  <si>
    <t>LT-017546-19/BX</t>
  </si>
  <si>
    <t>LT-059920-19 QU</t>
  </si>
  <si>
    <t>LT-068421-18/BX</t>
  </si>
  <si>
    <t>LT-021706-19/BX</t>
  </si>
  <si>
    <t>LT-31084/19-BX</t>
  </si>
  <si>
    <t>LT-022027-19/BX</t>
  </si>
  <si>
    <t>LT-021432-19/BX</t>
  </si>
  <si>
    <t>L&amp;T-082361-18/KI</t>
  </si>
  <si>
    <t>LT-00322-19/QU</t>
  </si>
  <si>
    <t>LT-001433-19/KI</t>
  </si>
  <si>
    <t>LT-007186-19/BX</t>
  </si>
  <si>
    <t>LT-012073-19/QU</t>
  </si>
  <si>
    <t>LT:12262-19/QU</t>
  </si>
  <si>
    <t>LT-054976-19/QU</t>
  </si>
  <si>
    <t>LT-011782-19/KI</t>
  </si>
  <si>
    <t>LT-014727-19</t>
  </si>
  <si>
    <t>LT-013535-19/NY</t>
  </si>
  <si>
    <t>LT-029200-19/BX</t>
  </si>
  <si>
    <t>LT-068290-18/BX</t>
  </si>
  <si>
    <t>LT-030923-19/BX</t>
  </si>
  <si>
    <t>LT 77472-18 QU</t>
  </si>
  <si>
    <t>LT-037303-18/BX</t>
  </si>
  <si>
    <t>LT-060636-19</t>
  </si>
  <si>
    <t>LT-010761-19/NY</t>
  </si>
  <si>
    <t>LT-066389-18/QU</t>
  </si>
  <si>
    <t>LT-016685-19/KI</t>
  </si>
  <si>
    <t>LT-060605-19/KI</t>
  </si>
  <si>
    <t>LT-057002-19/KI</t>
  </si>
  <si>
    <t>LT-001985-19/BX</t>
  </si>
  <si>
    <t>LT-026372-19/BX</t>
  </si>
  <si>
    <t>LT-030016-19/BX</t>
  </si>
  <si>
    <t>69788/2019</t>
  </si>
  <si>
    <t>LT-30033/19-BX</t>
  </si>
  <si>
    <t>LT- 029290-19/BX</t>
  </si>
  <si>
    <t>LT-013273-19/BX</t>
  </si>
  <si>
    <t>LT-014870-19/BX</t>
  </si>
  <si>
    <t>LT-62580-19/KI</t>
  </si>
  <si>
    <t>LT-008337-19/BX</t>
  </si>
  <si>
    <t>LT-012147-19/BX</t>
  </si>
  <si>
    <t>LT-062771-19/QU</t>
  </si>
  <si>
    <t>58843/19</t>
  </si>
  <si>
    <t>60711/19</t>
  </si>
  <si>
    <t>LT-023424-19/BX</t>
  </si>
  <si>
    <t>LT-018425-19/BX</t>
  </si>
  <si>
    <t>LT-023130-19/BX</t>
  </si>
  <si>
    <t>LT-005853-19/BX</t>
  </si>
  <si>
    <t>LT-023018-19/BX</t>
  </si>
  <si>
    <t>LT-021664-19/BX</t>
  </si>
  <si>
    <t>LT 055703-19 QU</t>
  </si>
  <si>
    <t>LT-13124-19/QU</t>
  </si>
  <si>
    <t>LT-031322-19/BX</t>
  </si>
  <si>
    <t>LT-025971-19/BX</t>
  </si>
  <si>
    <t>LT-026818-19/BX</t>
  </si>
  <si>
    <t>LT-30866/19-BX</t>
  </si>
  <si>
    <t>63788/19</t>
  </si>
  <si>
    <t>LT-026178-19/BX</t>
  </si>
  <si>
    <t>CV-017856-19</t>
  </si>
  <si>
    <t>LT-047350-18/BX</t>
  </si>
  <si>
    <t>L&amp;T-094615-18/KI</t>
  </si>
  <si>
    <t>705489/2019</t>
  </si>
  <si>
    <t>LT-54650-18/BX</t>
  </si>
  <si>
    <t>LT-020781-19/BX</t>
  </si>
  <si>
    <t>LT-020421-19/BX</t>
  </si>
  <si>
    <t>LT-685987/18-BX</t>
  </si>
  <si>
    <t>LT-804758-18/BX</t>
  </si>
  <si>
    <t>LT-29358-19/BX</t>
  </si>
  <si>
    <t>LT-008473-19/BX</t>
  </si>
  <si>
    <t>LT-096258-18/KI</t>
  </si>
  <si>
    <t>L&amp;T- 067300-19/KI</t>
  </si>
  <si>
    <t>L&amp;T-059162/19-QU</t>
  </si>
  <si>
    <t>LT-041058-16/BX</t>
  </si>
  <si>
    <t>LT-060346-19/QU</t>
  </si>
  <si>
    <t>LT-000478-19/QU</t>
  </si>
  <si>
    <t>LT-068771-19/KI</t>
  </si>
  <si>
    <t>LT-052975-19/QU</t>
  </si>
  <si>
    <t>LT-60156-19/QU</t>
  </si>
  <si>
    <t>LT-028805-19/BX</t>
  </si>
  <si>
    <t>LT-017407-18/BX</t>
  </si>
  <si>
    <t>LT-75157-17/KI</t>
  </si>
  <si>
    <t>LT-071749-19/KI</t>
  </si>
  <si>
    <t>LT-069721-19/KI</t>
  </si>
  <si>
    <t>LT-070061-19/KI</t>
  </si>
  <si>
    <t>LT-069605-19/KI</t>
  </si>
  <si>
    <t>LT-065217-19/KI</t>
  </si>
  <si>
    <t>LT-052112-18</t>
  </si>
  <si>
    <t>LT-071993-19/KI</t>
  </si>
  <si>
    <t>LT-071394-19/KI</t>
  </si>
  <si>
    <t>LT-068666-19/KI</t>
  </si>
  <si>
    <t>LT-071393-19/KI</t>
  </si>
  <si>
    <t>LT-066302-19/KI</t>
  </si>
  <si>
    <t>LT-062394-19/QU</t>
  </si>
  <si>
    <t>LT-063791-19/QU</t>
  </si>
  <si>
    <t>L&amp;T-66155-19/KI</t>
  </si>
  <si>
    <t>LT-054563-19/NY</t>
  </si>
  <si>
    <t>LT-062905-19/QU</t>
  </si>
  <si>
    <t>LT-063883-19/QU</t>
  </si>
  <si>
    <t>LT-063349-19/QU</t>
  </si>
  <si>
    <t>LT-055522-19/NY</t>
  </si>
  <si>
    <t>LT-063578-19/QU</t>
  </si>
  <si>
    <t>LT-061532-19/QU</t>
  </si>
  <si>
    <t>LT-60230-19/QU</t>
  </si>
  <si>
    <t>LT-064408-19/NY</t>
  </si>
  <si>
    <t>LT-063534-19/QU</t>
  </si>
  <si>
    <t>LT-064287-19/KI</t>
  </si>
  <si>
    <t>LT-063416-19/QU</t>
  </si>
  <si>
    <t>LT-069184-19/KI</t>
  </si>
  <si>
    <t>LT-063412-19/QU</t>
  </si>
  <si>
    <t>LT-064064-19</t>
  </si>
  <si>
    <t>LT-061278-19/QU</t>
  </si>
  <si>
    <t>LT-063916-19/QU</t>
  </si>
  <si>
    <t>LT-060920-19/QU</t>
  </si>
  <si>
    <t>LT-059974-19/QU</t>
  </si>
  <si>
    <t>LT-60229-19/QU</t>
  </si>
  <si>
    <t>LT-071271-19/KI</t>
  </si>
  <si>
    <t>LT-013820-19/NY</t>
  </si>
  <si>
    <t>LT-064107-19/NY</t>
  </si>
  <si>
    <t>LT-251107-19/NY</t>
  </si>
  <si>
    <t>LT-060592-19/KI</t>
  </si>
  <si>
    <t>LT-063304-19/QU</t>
  </si>
  <si>
    <t>LT-061550-19/NY</t>
  </si>
  <si>
    <t>67282/19</t>
  </si>
  <si>
    <t>LT-063569-19/QU</t>
  </si>
  <si>
    <t>LT-068826-19/KI</t>
  </si>
  <si>
    <t>LT-077282-18/NY</t>
  </si>
  <si>
    <t>LT-019848-19/BX</t>
  </si>
  <si>
    <t>LT-063963-19/QU</t>
  </si>
  <si>
    <t>LT-057307-19/NY</t>
  </si>
  <si>
    <t>LT-063718-19/QU</t>
  </si>
  <si>
    <t>LT-067003-19/KI</t>
  </si>
  <si>
    <t>LT-063546-19/QU</t>
  </si>
  <si>
    <t>LT-250778-19/NY</t>
  </si>
  <si>
    <t>LT-063716-19/QU</t>
  </si>
  <si>
    <t>66337/19</t>
  </si>
  <si>
    <t>LT-056255-19/QU</t>
  </si>
  <si>
    <t>LT-059740-19/NY</t>
  </si>
  <si>
    <t>LT-061295-19/QU</t>
  </si>
  <si>
    <t>LT-062122-19/QU</t>
  </si>
  <si>
    <t>LT-059937-19/NY</t>
  </si>
  <si>
    <t>LT-071469-19/KI</t>
  </si>
  <si>
    <t>LT-063330-19/QU</t>
  </si>
  <si>
    <t>LT-051366-19/QU</t>
  </si>
  <si>
    <t>LT-053109-19/QU</t>
  </si>
  <si>
    <t>LT-071983-19/KI</t>
  </si>
  <si>
    <t>LT-064297-19/QU</t>
  </si>
  <si>
    <t>LT-060275-19/QU</t>
  </si>
  <si>
    <t>LT-063356-19/QU</t>
  </si>
  <si>
    <t>LT-018395-18/KI</t>
  </si>
  <si>
    <t>LT-072488-19/KI</t>
  </si>
  <si>
    <t>LT-054856-19/QU</t>
  </si>
  <si>
    <t>LT-017044-19/BX</t>
  </si>
  <si>
    <t>LT-013595-19/NY</t>
  </si>
  <si>
    <t>LT-069590-19/KI</t>
  </si>
  <si>
    <t>LT-068895-19/KI</t>
  </si>
  <si>
    <t>LT-068345-18/KI</t>
  </si>
  <si>
    <t>LT-050701-19/KI</t>
  </si>
  <si>
    <t>LT-096595-18/KI</t>
  </si>
  <si>
    <t>LT-062394-19/KI</t>
  </si>
  <si>
    <t>LT-013224-19/KI</t>
  </si>
  <si>
    <t>L&amp;T-016010-19/KI</t>
  </si>
  <si>
    <t>LT-016312-19/KI</t>
  </si>
  <si>
    <t>LT-068295-19/KI</t>
  </si>
  <si>
    <t>LT-016309-19/KI</t>
  </si>
  <si>
    <t>LT-016449-19/KI</t>
  </si>
  <si>
    <t>LT-064083-19/KI</t>
  </si>
  <si>
    <t>LT-069761-19/KI</t>
  </si>
  <si>
    <t>LT-064199-19/KI</t>
  </si>
  <si>
    <t>LT-016013-19/KI</t>
  </si>
  <si>
    <t>LT-016009-19/KI</t>
  </si>
  <si>
    <t>LT-057738-18/KI</t>
  </si>
  <si>
    <t>LT-063939-19/QU</t>
  </si>
  <si>
    <t>LT-051340-19</t>
  </si>
  <si>
    <t>LT-014680-19/NY</t>
  </si>
  <si>
    <t>LT-61360-19/QU</t>
  </si>
  <si>
    <t>LT-11863-19/QU</t>
  </si>
  <si>
    <t>LT-210345-19/HA</t>
  </si>
  <si>
    <t>LT-015798-19/NY</t>
  </si>
  <si>
    <t>LT-013662-19/NY</t>
  </si>
  <si>
    <t>LT-250601-19/NY</t>
  </si>
  <si>
    <t>LT-016518-16</t>
  </si>
  <si>
    <t>LT-006229-19/BX</t>
  </si>
  <si>
    <t>LT-062555-19/QU</t>
  </si>
  <si>
    <t>LT-50155-19/KI</t>
  </si>
  <si>
    <t>LT-040640-18/BX</t>
  </si>
  <si>
    <t>LT-059234-19/NY</t>
  </si>
  <si>
    <t>LT-057293-19/QU</t>
  </si>
  <si>
    <t>LT-054447-19/NY</t>
  </si>
  <si>
    <t>LT-59727-19/KI</t>
  </si>
  <si>
    <t>LT-10915-19/QU</t>
  </si>
  <si>
    <t>LT-078660-18/QU</t>
  </si>
  <si>
    <t>LT-071865-19/KI</t>
  </si>
  <si>
    <t>LT-059214-19/QU</t>
  </si>
  <si>
    <t>LT-56457-19/QU</t>
  </si>
  <si>
    <t>LT-063385-19/QU</t>
  </si>
  <si>
    <t>LT-010165-19/RI</t>
  </si>
  <si>
    <t>LT-057616-19/QU</t>
  </si>
  <si>
    <t>LT-063650-19/QU</t>
  </si>
  <si>
    <t>LT-058871-19/KI</t>
  </si>
  <si>
    <t>LT-804621-19/BX</t>
  </si>
  <si>
    <t>LT-211609-18/NY</t>
  </si>
  <si>
    <t>LT-012235-19/QU</t>
  </si>
  <si>
    <t>071251-19</t>
  </si>
  <si>
    <t>LT-022866-19/BX</t>
  </si>
  <si>
    <t>LT-062995-19/NY</t>
  </si>
  <si>
    <t>LT-058261-19/KI</t>
  </si>
  <si>
    <t>LT-011640-18/QU</t>
  </si>
  <si>
    <t>LT-016946-19/BX</t>
  </si>
  <si>
    <t>LT-063572-19/QU</t>
  </si>
  <si>
    <t>LT-028293-19/BX</t>
  </si>
  <si>
    <t>LT-093193-18/KI</t>
  </si>
  <si>
    <t>LT-61392-19</t>
  </si>
  <si>
    <t>060391/19</t>
  </si>
  <si>
    <t>LT-060434-19/NY</t>
  </si>
  <si>
    <t>LT-055489-19/KI</t>
  </si>
  <si>
    <t>LT-028765-19/BX</t>
  </si>
  <si>
    <t>LT-057814-19/NY</t>
  </si>
  <si>
    <t>LT-080137-16/NY</t>
  </si>
  <si>
    <t>LT-61784-19/QU</t>
  </si>
  <si>
    <t>LT-061202-19/NY</t>
  </si>
  <si>
    <t>LT-011168-19/QU</t>
  </si>
  <si>
    <t>LT-61576-19/QU</t>
  </si>
  <si>
    <t>LT-031489-19/BX</t>
  </si>
  <si>
    <t>LT-060402-19/QU</t>
  </si>
  <si>
    <t>LT-063384-19/QU</t>
  </si>
  <si>
    <t>LT-11866-19/QU</t>
  </si>
  <si>
    <t>LT-027333-19/BX</t>
  </si>
  <si>
    <t>LT-071816-17/NY</t>
  </si>
  <si>
    <t>LT-063530-19/NY</t>
  </si>
  <si>
    <t>LT-803630-19/BX</t>
  </si>
  <si>
    <t>LT-067733-19/KI</t>
  </si>
  <si>
    <t>LT-057621-19</t>
  </si>
  <si>
    <t>LT-60876-19/NY</t>
  </si>
  <si>
    <t>LT-062488-19/QU</t>
  </si>
  <si>
    <t>57603-19</t>
  </si>
  <si>
    <t>LT-029771-19/BX</t>
  </si>
  <si>
    <t>LT-053237-19/BX</t>
  </si>
  <si>
    <t>LT-029014-19/BX</t>
  </si>
  <si>
    <t>091592/2018</t>
  </si>
  <si>
    <t>LT-068350-19/KI</t>
  </si>
  <si>
    <t>LT-068243-19/KI</t>
  </si>
  <si>
    <t>LT-062103-19/NY</t>
  </si>
  <si>
    <t>LT-063205-19/QU</t>
  </si>
  <si>
    <t>LT-050467-19/NY</t>
  </si>
  <si>
    <t>LT-063432-19/NY</t>
  </si>
  <si>
    <t>LT-059436-19/QU</t>
  </si>
  <si>
    <t>LT-060612-19/NY</t>
  </si>
  <si>
    <t>LT-021346-19/BX</t>
  </si>
  <si>
    <t>LT-63636-19/QU</t>
  </si>
  <si>
    <t>LT-068828-19/KI</t>
  </si>
  <si>
    <t>LT-067794-19/KI</t>
  </si>
  <si>
    <t>06355727-19</t>
  </si>
  <si>
    <t>LT-051327-19/KI</t>
  </si>
  <si>
    <t>L&amp;T-060910-18/KI</t>
  </si>
  <si>
    <t>LT-065538/18-NY</t>
  </si>
  <si>
    <t>LID# 846426-CR-2016</t>
  </si>
  <si>
    <t>910368-NB-2019</t>
  </si>
  <si>
    <t>L&amp;T- 062522-19KI</t>
  </si>
  <si>
    <t>LT</t>
  </si>
  <si>
    <t>LT-071564-19/KI</t>
  </si>
  <si>
    <t>LT-061291-19/QU</t>
  </si>
  <si>
    <t>LT-054348-19/KI</t>
  </si>
  <si>
    <t>LT-066541-18/QU</t>
  </si>
  <si>
    <t>LT-055868-19/KI</t>
  </si>
  <si>
    <t>LT-069949-19/KI</t>
  </si>
  <si>
    <t>LT-057990-19/KI</t>
  </si>
  <si>
    <t>LT-058549-19/KI</t>
  </si>
  <si>
    <t>HM-130106-OM</t>
  </si>
  <si>
    <t>GX-110098-OM</t>
  </si>
  <si>
    <t>GQ-610075-OR</t>
  </si>
  <si>
    <t>GQ-610075</t>
  </si>
  <si>
    <t>GX-110104-OM</t>
  </si>
  <si>
    <t>HQ 610020 B</t>
  </si>
  <si>
    <t>LT-813127-18/BX</t>
  </si>
  <si>
    <t>903278-NB-2018</t>
  </si>
  <si>
    <t>LT-811915-19/BX</t>
  </si>
  <si>
    <t>LT-063986-19/NY</t>
  </si>
  <si>
    <t>0151596/2019</t>
  </si>
  <si>
    <t>100999/2019</t>
  </si>
  <si>
    <t>GW 430022 OM</t>
  </si>
  <si>
    <t>711397/2019</t>
  </si>
  <si>
    <t>LT-051009-19/RI</t>
  </si>
  <si>
    <t>LT-063491-19/QU</t>
  </si>
  <si>
    <t>LT-030907-19/BX</t>
  </si>
  <si>
    <t>LT-022280-19/BX</t>
  </si>
  <si>
    <t>LT-064001-19/KI</t>
  </si>
  <si>
    <t>LT-070165-19/KI</t>
  </si>
  <si>
    <t>LT-066195-19/KI</t>
  </si>
  <si>
    <t>LT-064339-19/KI</t>
  </si>
  <si>
    <t>LT-068118-19/KI</t>
  </si>
  <si>
    <t>LT-071586-19/KI</t>
  </si>
  <si>
    <t>L&amp;T-069470-2019</t>
  </si>
  <si>
    <t>LT062262/19</t>
  </si>
  <si>
    <t>LT-069393-19/KI</t>
  </si>
  <si>
    <t>LT-071565-19/KI</t>
  </si>
  <si>
    <t>LT-062789-19/KI</t>
  </si>
  <si>
    <t>LT-067667-19/KI</t>
  </si>
  <si>
    <t>LT-011010-19/BX</t>
  </si>
  <si>
    <t>LT-051239-19/RI</t>
  </si>
  <si>
    <t>78120/19</t>
  </si>
  <si>
    <t>LT-061422-19/QU</t>
  </si>
  <si>
    <t>LT-051556-19/RI</t>
  </si>
  <si>
    <t>LT-061942-19/QU</t>
  </si>
  <si>
    <t>LT-022315-19/BX</t>
  </si>
  <si>
    <t>LT-071855-17</t>
  </si>
  <si>
    <t>LT-058757-19/NY</t>
  </si>
  <si>
    <t>LT-10859-19/QU</t>
  </si>
  <si>
    <t>LT-059602-19/QU</t>
  </si>
  <si>
    <t>LT-012169-19/BX</t>
  </si>
  <si>
    <t>LT-056552-19/QU</t>
  </si>
  <si>
    <t>LT-025352-19/BX</t>
  </si>
  <si>
    <t>LT-020059-19/BX</t>
  </si>
  <si>
    <t>LT-064055-18/BX</t>
  </si>
  <si>
    <t>LT-061405-19/QU</t>
  </si>
  <si>
    <t>LT-029472-19/BX</t>
  </si>
  <si>
    <t>LT-063404-19/NY</t>
  </si>
  <si>
    <t>LT-064261-19/NY</t>
  </si>
  <si>
    <t>LT-050126-19/NY</t>
  </si>
  <si>
    <t>LT-031949-19/BX</t>
  </si>
  <si>
    <t>LT-059398-19/QU</t>
  </si>
  <si>
    <t>LT-059691-19/QU</t>
  </si>
  <si>
    <t>LT-062805-19/QU</t>
  </si>
  <si>
    <t>LT-61566-19/QU</t>
  </si>
  <si>
    <t>LT-064279-19/NY</t>
  </si>
  <si>
    <t>LT-060043-19/QU</t>
  </si>
  <si>
    <t>LT-57069-19/QU</t>
  </si>
  <si>
    <t>LT-031337-19/BX</t>
  </si>
  <si>
    <t>LT-063867-19/QU</t>
  </si>
  <si>
    <t>LT-025970-19/BX</t>
  </si>
  <si>
    <t>LT-61130-19/QU</t>
  </si>
  <si>
    <t>LT-71000-19/KI</t>
  </si>
  <si>
    <t>L&amp;T-50232-17/QU</t>
  </si>
  <si>
    <t>LT-058366-19/QU</t>
  </si>
  <si>
    <t>LT-062852-19/QU</t>
  </si>
  <si>
    <t>LT-056564-19/QU</t>
  </si>
  <si>
    <t>LT-050985-19/RI</t>
  </si>
  <si>
    <t>LT-022693-19/BX</t>
  </si>
  <si>
    <t>66193/19</t>
  </si>
  <si>
    <t>LT-036390-18/BX</t>
  </si>
  <si>
    <t>LT-010952-19/BX</t>
  </si>
  <si>
    <t>LT-030529-19/BX</t>
  </si>
  <si>
    <t>LT-029990-19/BX</t>
  </si>
  <si>
    <t>LT-062711-19/QU</t>
  </si>
  <si>
    <t>LT-031077-19/BX</t>
  </si>
  <si>
    <t>LT-027727-19/BX</t>
  </si>
  <si>
    <t>LT-051658-19/RI</t>
  </si>
  <si>
    <t>LT-58397-19/QU</t>
  </si>
  <si>
    <t>LT-059617-19/QU</t>
  </si>
  <si>
    <t>LT-51015-19/RI</t>
  </si>
  <si>
    <t>LT-053861-19/QU</t>
  </si>
  <si>
    <t>LT-062831-19/QU</t>
  </si>
  <si>
    <t>LT-063360-19/QU</t>
  </si>
  <si>
    <t>LT-061611-19/QU</t>
  </si>
  <si>
    <t>LT-058483-19/QU</t>
  </si>
  <si>
    <t>LT-250713-19/NY</t>
  </si>
  <si>
    <t>LT-70294-18QU</t>
  </si>
  <si>
    <t>LT-060376-19/QU</t>
  </si>
  <si>
    <t>LT-061970-19/QU</t>
  </si>
  <si>
    <t>LT-027892-19/BX</t>
  </si>
  <si>
    <t>LT-069741-19/KI</t>
  </si>
  <si>
    <t>LT-069568-19/KI</t>
  </si>
  <si>
    <t>LT-055366-19/QU</t>
  </si>
  <si>
    <t>LT-050974-19/RI</t>
  </si>
  <si>
    <t>LT-051320/19</t>
  </si>
  <si>
    <t>LT-057484-19/NY</t>
  </si>
  <si>
    <t>LT-62604-19/QU</t>
  </si>
  <si>
    <t>LT-069040-19/KI</t>
  </si>
  <si>
    <t>LT-57820-19/QU</t>
  </si>
  <si>
    <t>LT-058626-19/QU</t>
  </si>
  <si>
    <t>LT-053104-19/QU</t>
  </si>
  <si>
    <t>LT-065709-19/KI</t>
  </si>
  <si>
    <t>LT-001173-19/BX</t>
  </si>
  <si>
    <t>LT-014455-19/BX</t>
  </si>
  <si>
    <t>LT-069908-19/KI</t>
  </si>
  <si>
    <t>LT-020258-19/BX</t>
  </si>
  <si>
    <t>LT-047481-18/BX</t>
  </si>
  <si>
    <t>LT-068819-19/KI</t>
  </si>
  <si>
    <t>LT-62440-19/QU</t>
  </si>
  <si>
    <t>LT-061022-19/NY</t>
  </si>
  <si>
    <t>21798-19</t>
  </si>
  <si>
    <t>61370-19</t>
  </si>
  <si>
    <t>TBD</t>
  </si>
  <si>
    <t>none yet</t>
  </si>
  <si>
    <t>LT-802893-19</t>
  </si>
  <si>
    <t>LT-0600-19/QU</t>
  </si>
  <si>
    <t>LT-001218-19/KI</t>
  </si>
  <si>
    <t>LT-010647-19/RI</t>
  </si>
  <si>
    <t>LT-010921-19/QU</t>
  </si>
  <si>
    <t>LT-59736-19/QU</t>
  </si>
  <si>
    <t>LT-051260-19/RI</t>
  </si>
  <si>
    <t>LT-056954-18/BX</t>
  </si>
  <si>
    <t>LT-080720-18/NY</t>
  </si>
  <si>
    <t>LT-061599-19/KI</t>
  </si>
  <si>
    <t>LT-059605-19/QU</t>
  </si>
  <si>
    <t>LT-061873-18/QU</t>
  </si>
  <si>
    <t>LT-063158-18/KI</t>
  </si>
  <si>
    <t>51189/2019</t>
  </si>
  <si>
    <t>LT-067070-18/BX</t>
  </si>
  <si>
    <t>LT-053033-19/QU</t>
  </si>
  <si>
    <t>LT-068646-19/KI</t>
  </si>
  <si>
    <t>LT-052548-19/KI</t>
  </si>
  <si>
    <t>LT-063387-19/KI</t>
  </si>
  <si>
    <t>LT-071132-19/KI</t>
  </si>
  <si>
    <t>LT-064044-19/KI</t>
  </si>
  <si>
    <t>LT-058473-19/KI</t>
  </si>
  <si>
    <t>66234/19</t>
  </si>
  <si>
    <t>LT-017744-19/BX</t>
  </si>
  <si>
    <t>LT-060046-19/KI</t>
  </si>
  <si>
    <t>070743-19</t>
  </si>
  <si>
    <t>LT-70248-19</t>
  </si>
  <si>
    <t>LT-061076-19/KI</t>
  </si>
  <si>
    <t>LT-068809-19/KI</t>
  </si>
  <si>
    <t>60824/19</t>
  </si>
  <si>
    <t>LT-064051-19/KI</t>
  </si>
  <si>
    <t>LT-0058453-19/Qu</t>
  </si>
  <si>
    <t>LT-062996-19/KI</t>
  </si>
  <si>
    <t>LT-57260-19/KI</t>
  </si>
  <si>
    <t>66434/19</t>
  </si>
  <si>
    <t>LT-051776-19/KI</t>
  </si>
  <si>
    <t>LT-068581-19/KI</t>
  </si>
  <si>
    <t>LT-066396-19/KI</t>
  </si>
  <si>
    <t>LT-069302-19/KI</t>
  </si>
  <si>
    <t>LT-057138-19</t>
  </si>
  <si>
    <t>LT-014641-19/KI</t>
  </si>
  <si>
    <t>LT-064826-19/KI</t>
  </si>
  <si>
    <t>LT-069807-19/KI</t>
  </si>
  <si>
    <t>LT-065796-19/KI</t>
  </si>
  <si>
    <t>LT-070300-19/KI</t>
  </si>
  <si>
    <t>LT-055592-19/KI</t>
  </si>
  <si>
    <t>LT-085625-18/KI</t>
  </si>
  <si>
    <t>LT-016450-19/KI</t>
  </si>
  <si>
    <t>LT-069809-19/KI</t>
  </si>
  <si>
    <t>LT-069591-19/KI</t>
  </si>
  <si>
    <t>LT-067830-19/KI</t>
  </si>
  <si>
    <t>LT-063887-19/KI</t>
  </si>
  <si>
    <t>LT-069059-19/KI</t>
  </si>
  <si>
    <t>LT-017430-19/BX</t>
  </si>
  <si>
    <t>LT-61067-19/QU</t>
  </si>
  <si>
    <t>LT-052280-19/NY</t>
  </si>
  <si>
    <t>LT-027490-19/BX</t>
  </si>
  <si>
    <t>LT-028033-19/BX</t>
  </si>
  <si>
    <t>LT-063503-18/BX</t>
  </si>
  <si>
    <t>LT-058530-19/NY</t>
  </si>
  <si>
    <t>LT-060054-19/NY</t>
  </si>
  <si>
    <t>LT-025450-19/BX</t>
  </si>
  <si>
    <t>LT-015502-19/NY</t>
  </si>
  <si>
    <t>LT-803487-19/BX</t>
  </si>
  <si>
    <t>LT-027492-19/BX</t>
  </si>
  <si>
    <t>LT-029604-19/BX</t>
  </si>
  <si>
    <t>LT-089751-19/KI</t>
  </si>
  <si>
    <t>LT-023768-19/BX</t>
  </si>
  <si>
    <t>LT-063895-18/BX</t>
  </si>
  <si>
    <t>LT-054766-19/QU</t>
  </si>
  <si>
    <t>LT-50288-19/RI</t>
  </si>
  <si>
    <t>LT-027113-19/BX</t>
  </si>
  <si>
    <t>LT-0622017-19/QU</t>
  </si>
  <si>
    <t>LT-028441-19/BX</t>
  </si>
  <si>
    <t>LT-063836-19/NY</t>
  </si>
  <si>
    <t>LT-50618-19/RI</t>
  </si>
  <si>
    <t>LT-061067-19/NY</t>
  </si>
  <si>
    <t>LT-005574-19/BX</t>
  </si>
  <si>
    <t>LT-063764-19/NY</t>
  </si>
  <si>
    <t>LT-010677-19/BX</t>
  </si>
  <si>
    <t>LT-062243-19/QU</t>
  </si>
  <si>
    <t>LT-024503-19/BX</t>
  </si>
  <si>
    <t>LT-075052-18/QU</t>
  </si>
  <si>
    <t>LT-062661-19/QU</t>
  </si>
  <si>
    <t>LT-051480-19/RI</t>
  </si>
  <si>
    <t>LT-050617-18/BX</t>
  </si>
  <si>
    <t>LT-008522-19/BX</t>
  </si>
  <si>
    <t>LT-025515-19/BX</t>
  </si>
  <si>
    <t>LT-06187-19/KI</t>
  </si>
  <si>
    <t>LT-014279-19/BX</t>
  </si>
  <si>
    <t>LT-51069-19/QU</t>
  </si>
  <si>
    <t>LT-010582-19/RI</t>
  </si>
  <si>
    <t>LT-021736-19/BX</t>
  </si>
  <si>
    <t>LT-064503-19/NY</t>
  </si>
  <si>
    <t>LT-056172-19/NY</t>
  </si>
  <si>
    <t>LT-062096-19/NY</t>
  </si>
  <si>
    <t>LT-022445-19/BX</t>
  </si>
  <si>
    <t>LT-069474-19/KI</t>
  </si>
  <si>
    <t>LT-016369-19/NY</t>
  </si>
  <si>
    <t>LT-27400-19/BX</t>
  </si>
  <si>
    <t>LT-031261-19/BX</t>
  </si>
  <si>
    <t>LT-010250-19/RI</t>
  </si>
  <si>
    <t>LT-019983-18/KI</t>
  </si>
  <si>
    <t>LT-055554</t>
  </si>
  <si>
    <t>LT-011872-19/QU</t>
  </si>
  <si>
    <t>76161/18</t>
  </si>
  <si>
    <t>LT-804388-19/BX</t>
  </si>
  <si>
    <t>Lt-062856-19/QU</t>
  </si>
  <si>
    <t>57717/19</t>
  </si>
  <si>
    <t>LT-014787-19/BX</t>
  </si>
  <si>
    <t>LT-061806-19/QU</t>
  </si>
  <si>
    <t>LT-010577-19/RI</t>
  </si>
  <si>
    <t>LT-017132-19/BX</t>
  </si>
  <si>
    <t>LT-061783-19/KI</t>
  </si>
  <si>
    <t>LT-010586-19/RI</t>
  </si>
  <si>
    <t>LT-050058-19/QU</t>
  </si>
  <si>
    <t>LT-016119-19/KI</t>
  </si>
  <si>
    <t>LT-027986-19/BX</t>
  </si>
  <si>
    <t>LT-016341-19/NY</t>
  </si>
  <si>
    <t>LT-061180-19/KI</t>
  </si>
  <si>
    <t>LT-062052-19/QU</t>
  </si>
  <si>
    <t>LT-023787-19/BX</t>
  </si>
  <si>
    <t>LT-063738-19/NY</t>
  </si>
  <si>
    <t>LT-068362-19/KI</t>
  </si>
  <si>
    <t>LT-019177-19/BX</t>
  </si>
  <si>
    <t>LT-052346-19/KI</t>
  </si>
  <si>
    <t>LT-015660-19/BX</t>
  </si>
  <si>
    <t>LT-60371-19/QU</t>
  </si>
  <si>
    <t>LT-060536-19/KI</t>
  </si>
  <si>
    <t>L&amp;T-64653-19/KI</t>
  </si>
  <si>
    <t>LT-025032-19/BX</t>
  </si>
  <si>
    <t>LT-063136-19/KI</t>
  </si>
  <si>
    <t>LT-030488-19/BX</t>
  </si>
  <si>
    <t>LT-068253-19/KI</t>
  </si>
  <si>
    <t>LT-029011-19/BX</t>
  </si>
  <si>
    <t>LT-050583-19/RI</t>
  </si>
  <si>
    <t>LT-050710-19/RI</t>
  </si>
  <si>
    <t>LT-057263-19/QU</t>
  </si>
  <si>
    <t>Lt-021899-19/BX</t>
  </si>
  <si>
    <t>LT-011427-19/QU</t>
  </si>
  <si>
    <t>LT-050846-19/NY</t>
  </si>
  <si>
    <t>79124/18</t>
  </si>
  <si>
    <t>68486/19</t>
  </si>
  <si>
    <t>LT-056511-19/QU</t>
  </si>
  <si>
    <t>LT-063560-19/NY</t>
  </si>
  <si>
    <t>LT-059773-11/bx</t>
  </si>
  <si>
    <t>LT-011479-19/QU</t>
  </si>
  <si>
    <t>LT-005510-19/BX</t>
  </si>
  <si>
    <t>71130/19</t>
  </si>
  <si>
    <t>LT-018743-19/BX</t>
  </si>
  <si>
    <t>LT-026365-19/BX</t>
  </si>
  <si>
    <t>LT-030456-19/BX</t>
  </si>
  <si>
    <t>LT-011051-19 QU</t>
  </si>
  <si>
    <t>LT-61911-19/QU</t>
  </si>
  <si>
    <t>LT-070095-19/KI</t>
  </si>
  <si>
    <t>LT-010608-19/RI</t>
  </si>
  <si>
    <t>LT-060771-19/KI</t>
  </si>
  <si>
    <t>LT-008277-18/BX</t>
  </si>
  <si>
    <t>LT-063667-19/KI</t>
  </si>
  <si>
    <t>LT-0018316-19/BX</t>
  </si>
  <si>
    <t>LT-026816-19/BX</t>
  </si>
  <si>
    <t>14367/2019</t>
  </si>
  <si>
    <t>LT-018087-19/BX</t>
  </si>
  <si>
    <t>LT-028120-19/BX</t>
  </si>
  <si>
    <t>LT-075002-17/QU</t>
  </si>
  <si>
    <t>LT-068062-19/KI</t>
  </si>
  <si>
    <t>LT-031207-19/BX</t>
  </si>
  <si>
    <t>LT-062292-19/QU</t>
  </si>
  <si>
    <t>LT-071220-19/KI</t>
  </si>
  <si>
    <t>LT-029859-19/BX</t>
  </si>
  <si>
    <t>LT-062853-19/NY</t>
  </si>
  <si>
    <t>LT-029474-19/BX</t>
  </si>
  <si>
    <t>LT-031036-19/BX</t>
  </si>
  <si>
    <t>LT-028284-19/BX</t>
  </si>
  <si>
    <t>LT-010383-19/RI</t>
  </si>
  <si>
    <t>LT-028022-19/BX</t>
  </si>
  <si>
    <t>LT-028426-19/BX</t>
  </si>
  <si>
    <t>LT-028084-19/BX</t>
  </si>
  <si>
    <t>LT-020949-19/BX</t>
  </si>
  <si>
    <t>LT-064108-19/NY</t>
  </si>
  <si>
    <t>LT-809598-17/BX</t>
  </si>
  <si>
    <t>LT-008693-19/BX</t>
  </si>
  <si>
    <t>LT-68894-19/KI</t>
  </si>
  <si>
    <t>LT-026489-19/BX</t>
  </si>
  <si>
    <t>LT-004707-19/BX</t>
  </si>
  <si>
    <t>LT-030292-19/BX</t>
  </si>
  <si>
    <t>LT-023325-19/BX</t>
  </si>
  <si>
    <t>LT-029610-19/BX</t>
  </si>
  <si>
    <t>LT-054900-19/QU</t>
  </si>
  <si>
    <t>LT-57014-19/QU</t>
  </si>
  <si>
    <t>LT-054710-19/QU</t>
  </si>
  <si>
    <t>LT-058075-18/BX</t>
  </si>
  <si>
    <t>LT-056378-19/NY</t>
  </si>
  <si>
    <t>LT-006522-19/BX</t>
  </si>
  <si>
    <t>L&amp;T-062237-19/KI</t>
  </si>
  <si>
    <t>LT-028734-19/BX</t>
  </si>
  <si>
    <t>LT-030060-19/BX</t>
  </si>
  <si>
    <t>LT-062870-19/QU</t>
  </si>
  <si>
    <t>LT-064374-19/KI</t>
  </si>
  <si>
    <t>LT-029010-19/BX</t>
  </si>
  <si>
    <t>LT-055152-19/NY</t>
  </si>
  <si>
    <t>LT-057444-19/NY</t>
  </si>
  <si>
    <t>LT-002252-19/BX</t>
  </si>
  <si>
    <t>LT-029526-19/BX</t>
  </si>
  <si>
    <t>LT-058684-19/NY</t>
  </si>
  <si>
    <t>LT-024618-19/BX</t>
  </si>
  <si>
    <t>L&amp;T-085018-18/KI</t>
  </si>
  <si>
    <t>LT-067374-17/KI</t>
  </si>
  <si>
    <t>LT-024822-19/BX</t>
  </si>
  <si>
    <t>LT-057984-19/NY</t>
  </si>
  <si>
    <t>LT-010473-19/RI</t>
  </si>
  <si>
    <t>LT-024804-19/BX</t>
  </si>
  <si>
    <t>LT-023615-19/BX</t>
  </si>
  <si>
    <t>LT-036746-18/BX</t>
  </si>
  <si>
    <t>LT-057324-19/NY</t>
  </si>
  <si>
    <t>LT-051840-19/RI</t>
  </si>
  <si>
    <t>LT-024141-19/BX</t>
  </si>
  <si>
    <t>LT-024152-19/BX</t>
  </si>
  <si>
    <t>LT-026735-19/BX</t>
  </si>
  <si>
    <t>LT-061993-19/KI</t>
  </si>
  <si>
    <t>LT-029207-19/BX</t>
  </si>
  <si>
    <t>LT-027712-19/BX</t>
  </si>
  <si>
    <t>LT-058040-19/NY</t>
  </si>
  <si>
    <t>LT-006078-19/BX</t>
  </si>
  <si>
    <t>LT-001473-19/BX</t>
  </si>
  <si>
    <t>LT-062700-18/BX</t>
  </si>
  <si>
    <t>LT-058896-19/NY</t>
  </si>
  <si>
    <t>LT-029025-19/BX</t>
  </si>
  <si>
    <t>LT-029022-19/BX</t>
  </si>
  <si>
    <t>LT-001744-19/BX</t>
  </si>
  <si>
    <t>LT-017727-19/BX</t>
  </si>
  <si>
    <t>LT-057938-19/KI</t>
  </si>
  <si>
    <t>LT-026854-19/BX</t>
  </si>
  <si>
    <t>LT-028521-19/BX</t>
  </si>
  <si>
    <t>LT-016738-19/BX</t>
  </si>
  <si>
    <t>LT-031037-19/BX</t>
  </si>
  <si>
    <t>LT-028581-19/BX</t>
  </si>
  <si>
    <t>LT-029224-19/BX</t>
  </si>
  <si>
    <t>LT-50646-19/RI</t>
  </si>
  <si>
    <t>LT-017798-19/BX</t>
  </si>
  <si>
    <t>LT-029508-19/BX</t>
  </si>
  <si>
    <t>LT-021554-19/BX</t>
  </si>
  <si>
    <t>LT-803684-19/BX</t>
  </si>
  <si>
    <t>LT-028131-19/BX</t>
  </si>
  <si>
    <t>LT-018702-19/BX</t>
  </si>
  <si>
    <t>LT-065971-19/KI</t>
  </si>
  <si>
    <t>LT-027825-19/BX</t>
  </si>
  <si>
    <t>LT-061943-19/QU</t>
  </si>
  <si>
    <t>LT-041406-17/BX</t>
  </si>
  <si>
    <t>LT-073141-18/QU</t>
  </si>
  <si>
    <t>LT-090290-18/KI</t>
  </si>
  <si>
    <t>CV-019938/19</t>
  </si>
  <si>
    <t>LT-015463-19/BX</t>
  </si>
  <si>
    <t>LT-002704-18/KI</t>
  </si>
  <si>
    <t>LT-050971-18/BX</t>
  </si>
  <si>
    <t>LT-063235-19/NY</t>
  </si>
  <si>
    <t>LT-22528-19</t>
  </si>
  <si>
    <t>LT-63597-19/QU</t>
  </si>
  <si>
    <t>LT-031295-19/BX</t>
  </si>
  <si>
    <t>LT-024248-18/BX</t>
  </si>
  <si>
    <t>LT-071723-19</t>
  </si>
  <si>
    <t>LT-069178-19/KI</t>
  </si>
  <si>
    <t>LT-069436-19/KI</t>
  </si>
  <si>
    <t>LT69186/19</t>
  </si>
  <si>
    <t>LT-051537-19/RI</t>
  </si>
  <si>
    <t>LT-057882-19/KI</t>
  </si>
  <si>
    <t>LT-065466-19/KI</t>
  </si>
  <si>
    <t>LT-066319-19/KI</t>
  </si>
  <si>
    <t>LT-029546-19/BX</t>
  </si>
  <si>
    <t>LT-051491-19/RI</t>
  </si>
  <si>
    <t>LT-051701-19/RI</t>
  </si>
  <si>
    <t>LT-070975-19/KI</t>
  </si>
  <si>
    <t>LT-031335-19/BX</t>
  </si>
  <si>
    <t>LT-065281-19/KI</t>
  </si>
  <si>
    <t>LT-051710-19/RI</t>
  </si>
  <si>
    <t>LT-72141-19/KI</t>
  </si>
  <si>
    <t>LT-31387-19/BX</t>
  </si>
  <si>
    <t>LT-071454-19/KI</t>
  </si>
  <si>
    <t>LT-051492-19/RI</t>
  </si>
  <si>
    <t>LT-069256-19/KI</t>
  </si>
  <si>
    <t>LT-28484-19/BX</t>
  </si>
  <si>
    <t>LT-067185-19/KI</t>
  </si>
  <si>
    <t>LT-051785-19/RI</t>
  </si>
  <si>
    <t>LT-051498-19/RI</t>
  </si>
  <si>
    <t>LT-060607-19/QU</t>
  </si>
  <si>
    <t>LT-051732-19/RI</t>
  </si>
  <si>
    <t>LT-051257-19/RI</t>
  </si>
  <si>
    <t>LT-026145-19/BX</t>
  </si>
  <si>
    <t>LT-050896-19/RI</t>
  </si>
  <si>
    <t>LT-26497-19/BX</t>
  </si>
  <si>
    <t>061175-19/QU</t>
  </si>
  <si>
    <t>LT-031204-19/BX</t>
  </si>
  <si>
    <t>LT-023483-19/BX</t>
  </si>
  <si>
    <t>LT-024396-19/BX</t>
  </si>
  <si>
    <t>LT-010875-18/RI</t>
  </si>
  <si>
    <t>LT-018136-19/BX</t>
  </si>
  <si>
    <t>LT-051542-19/RI</t>
  </si>
  <si>
    <t>LT50922-19/RI</t>
  </si>
  <si>
    <t>LT-069491-19/KI</t>
  </si>
  <si>
    <t>LT-051788-19/RI</t>
  </si>
  <si>
    <t>LT-051733-19/RI</t>
  </si>
  <si>
    <t>LT-051791-19/RI</t>
  </si>
  <si>
    <t>LT-024280-19/BX</t>
  </si>
  <si>
    <t>LT-055204-19/KI</t>
  </si>
  <si>
    <t>LT-053712-18/RI</t>
  </si>
  <si>
    <t>LT-059006-19/KI</t>
  </si>
  <si>
    <t>LT-071806-19/KI</t>
  </si>
  <si>
    <t>LT-064893-19/KI</t>
  </si>
  <si>
    <t>LT-069262-19/KI</t>
  </si>
  <si>
    <t>LT-030297-19/BX</t>
  </si>
  <si>
    <t>LT-52233-18/RI</t>
  </si>
  <si>
    <t>LT-050958-19/RI</t>
  </si>
  <si>
    <t>LT-051711-19/RI</t>
  </si>
  <si>
    <t>058901-19</t>
  </si>
  <si>
    <t>LT-051516-19/RI</t>
  </si>
  <si>
    <t>LT-050902-19/RI</t>
  </si>
  <si>
    <t>071552-19</t>
  </si>
  <si>
    <t>LT-69320-19/KI</t>
  </si>
  <si>
    <t>LT-031389-19/BX</t>
  </si>
  <si>
    <t>LT-051510-19/RI</t>
  </si>
  <si>
    <t>LT-051229-19/RI</t>
  </si>
  <si>
    <t>063687-19/QU</t>
  </si>
  <si>
    <t>LT-051297-19/RI</t>
  </si>
  <si>
    <t>LT-018158-19/BX</t>
  </si>
  <si>
    <t>LT-062538-19/QU</t>
  </si>
  <si>
    <t>LT-058934-18/BX</t>
  </si>
  <si>
    <t>LT-031160-19/BX</t>
  </si>
  <si>
    <t>HP-1375-19/KI</t>
  </si>
  <si>
    <t>LT-001631-19/KI</t>
  </si>
  <si>
    <t>LT-001169-19/KI</t>
  </si>
  <si>
    <t>LT-068842-18/BX</t>
  </si>
  <si>
    <t>LT-52664-18/RI</t>
  </si>
  <si>
    <t>LT-055997-19/NY</t>
  </si>
  <si>
    <t>LT-052689-18/BX</t>
  </si>
  <si>
    <t>LT-068537-18/KI</t>
  </si>
  <si>
    <t>LT-026857-18/BX</t>
  </si>
  <si>
    <t>LT-56490-19/KI</t>
  </si>
  <si>
    <t>LT-063928-19/KI</t>
  </si>
  <si>
    <t>LT-050035-19/RI</t>
  </si>
  <si>
    <t>LT-051328-19/RI</t>
  </si>
  <si>
    <t>LT-028295-19/BX</t>
  </si>
  <si>
    <t>LT-030832-19/BX</t>
  </si>
  <si>
    <t>LT4445-19/BX</t>
  </si>
  <si>
    <t>65250/19</t>
  </si>
  <si>
    <t>LT-019616-19/BX</t>
  </si>
  <si>
    <t>LT-054459-19/KI</t>
  </si>
  <si>
    <t>LT-029933-19/BX</t>
  </si>
  <si>
    <t>LT-050841-19/RI</t>
  </si>
  <si>
    <t>65959-19</t>
  </si>
  <si>
    <t>LT-068912-19/KI</t>
  </si>
  <si>
    <t>LT-027462-19/BX</t>
  </si>
  <si>
    <t>LT-028790-19/BX</t>
  </si>
  <si>
    <t>LT-57513-19/RI</t>
  </si>
  <si>
    <t>LT-021961-19/BX</t>
  </si>
  <si>
    <t>LT-071995-19/KI</t>
  </si>
  <si>
    <t>LT-022502-19/BX</t>
  </si>
  <si>
    <t>67480-19</t>
  </si>
  <si>
    <t>LT-026431-19/BX</t>
  </si>
  <si>
    <t>LT-54825-19/KI</t>
  </si>
  <si>
    <t>LT-008522-19/bx</t>
  </si>
  <si>
    <t>LT-021614-19/BX</t>
  </si>
  <si>
    <t>LT-050261-19/KI</t>
  </si>
  <si>
    <t>LT-059339-19/KI</t>
  </si>
  <si>
    <t>LT-050619-19/RI</t>
  </si>
  <si>
    <t>LT-065317-19/KI</t>
  </si>
  <si>
    <t>LT-026967-19/BX</t>
  </si>
  <si>
    <t>LT-050474-19/RI</t>
  </si>
  <si>
    <t>052817-19</t>
  </si>
  <si>
    <t>LT-056457-19/QU</t>
  </si>
  <si>
    <t>LT-805823-19/BX</t>
  </si>
  <si>
    <t>LT-087159-18/KI</t>
  </si>
  <si>
    <t>LT-014905-19</t>
  </si>
  <si>
    <t>LT-029021-19/BX</t>
  </si>
  <si>
    <t>LT-057620-19/KI</t>
  </si>
  <si>
    <t>LT-22616-19/BX</t>
  </si>
  <si>
    <t>LT-058143-19/NY</t>
  </si>
  <si>
    <t>LT-052189-18/RI</t>
  </si>
  <si>
    <t>LT-028652-19/BX</t>
  </si>
  <si>
    <t>LT-031017-19/BX</t>
  </si>
  <si>
    <t>LT-051623-19/RI</t>
  </si>
  <si>
    <t>LT-019073-19/BX</t>
  </si>
  <si>
    <t>LT-026354-19/BX</t>
  </si>
  <si>
    <t>LT-010605-19/RI</t>
  </si>
  <si>
    <t>11700-19/QU</t>
  </si>
  <si>
    <t>LT-051527-19/RI</t>
  </si>
  <si>
    <t>LT-030119-19/BX</t>
  </si>
  <si>
    <t>LT-029220-19/BX</t>
  </si>
  <si>
    <t>LT-031480-19/BX</t>
  </si>
  <si>
    <t>LT-027996-19/BX</t>
  </si>
  <si>
    <t>LT-010223-19/RI</t>
  </si>
  <si>
    <t>LT-069790-19/KI</t>
  </si>
  <si>
    <t>068361-19</t>
  </si>
  <si>
    <t>LT-050752-19/RI</t>
  </si>
  <si>
    <t>63784/19</t>
  </si>
  <si>
    <t>LT-028420-19/BX</t>
  </si>
  <si>
    <t>LT-69638-19/KI</t>
  </si>
  <si>
    <t>LT-010673-19/BX</t>
  </si>
  <si>
    <t>LT-010998-19/BX</t>
  </si>
  <si>
    <t>083179-18</t>
  </si>
  <si>
    <t>LT-063832-19/QU</t>
  </si>
  <si>
    <t>LT-031577-19/BX</t>
  </si>
  <si>
    <t>LT-057818-19/KI</t>
  </si>
  <si>
    <t>lt 070890-19/ki</t>
  </si>
  <si>
    <t>LT-050845-19/RI</t>
  </si>
  <si>
    <t>LT-050512-19/RI</t>
  </si>
  <si>
    <t>LT-050930-19/RI</t>
  </si>
  <si>
    <t>LT-027080-19/BX</t>
  </si>
  <si>
    <t>LT-051046-19/RI</t>
  </si>
  <si>
    <t>LT-003838-18/BX</t>
  </si>
  <si>
    <t>LT-059482-19/KI</t>
  </si>
  <si>
    <t>LT-52300-17/RI</t>
  </si>
  <si>
    <t>LT-031171-19/BX</t>
  </si>
  <si>
    <t>LT-019011-19/BX</t>
  </si>
  <si>
    <t>LT-050855-19/RI</t>
  </si>
  <si>
    <t>LT-031033-19/BX</t>
  </si>
  <si>
    <t>LT-052666-19/KI</t>
  </si>
  <si>
    <t>LT-010137-19/RI</t>
  </si>
  <si>
    <t>LT-026248-19/BX</t>
  </si>
  <si>
    <t>LT-011344-18/RI</t>
  </si>
  <si>
    <t>LT-066033-19/BX</t>
  </si>
  <si>
    <t>LT-067359-19/KI</t>
  </si>
  <si>
    <t>LT-060765-19/QU</t>
  </si>
  <si>
    <t>LT-028446-19/BX</t>
  </si>
  <si>
    <t>LT-051689-19/RI</t>
  </si>
  <si>
    <t>LT-051377-19/RI</t>
  </si>
  <si>
    <t>LT-051018-19/RI</t>
  </si>
  <si>
    <t>LT-6407-19/BX</t>
  </si>
  <si>
    <t>LT66112-19/KI</t>
  </si>
  <si>
    <t>LT-027755-19/BX</t>
  </si>
  <si>
    <t>LT-068837-19/KI</t>
  </si>
  <si>
    <t>LT-066271-19/KI</t>
  </si>
  <si>
    <t>57937/2019</t>
  </si>
  <si>
    <t>LT-066127-19/KI</t>
  </si>
  <si>
    <t>LT-051208-19/RI</t>
  </si>
  <si>
    <t>LT-028026-19/BX</t>
  </si>
  <si>
    <t>LT-021007-19/BX</t>
  </si>
  <si>
    <t>LT-014462-19/BX</t>
  </si>
  <si>
    <t>LT: 069358/19-KI</t>
  </si>
  <si>
    <t>LT-030469-19/BX</t>
  </si>
  <si>
    <t>073121-19/BX</t>
  </si>
  <si>
    <t>LT-052234-17/RI</t>
  </si>
  <si>
    <t>LT-069535-19/KI</t>
  </si>
  <si>
    <t>LT-011277-19/QU</t>
  </si>
  <si>
    <t>LT-031894-19/BX</t>
  </si>
  <si>
    <t>LT-023949-19/BX</t>
  </si>
  <si>
    <t>LT-026250-19/BX</t>
  </si>
  <si>
    <t>LT-057814-18/BX</t>
  </si>
  <si>
    <t>LT-803018-19/BX</t>
  </si>
  <si>
    <t>LT-024939-19/BX</t>
  </si>
  <si>
    <t>LT-026976-19/BX</t>
  </si>
  <si>
    <t>LT-020245-19/BX</t>
  </si>
  <si>
    <t>30407-19/BX</t>
  </si>
  <si>
    <t>909679-TD-2019</t>
  </si>
  <si>
    <t>092112-18</t>
  </si>
  <si>
    <t>LT-021330-19/BX</t>
  </si>
  <si>
    <t>LT-064844-18/BX</t>
  </si>
  <si>
    <t>LT-014982-19/KI</t>
  </si>
  <si>
    <t>LT-013465-19/BX</t>
  </si>
  <si>
    <t>LT-013499-18/BX</t>
  </si>
  <si>
    <t>LT-015100-18/KI</t>
  </si>
  <si>
    <t>LT-3337-19</t>
  </si>
  <si>
    <t>DHCR Administrative Action</t>
  </si>
  <si>
    <t>Holdover</t>
  </si>
  <si>
    <t>HP Action</t>
  </si>
  <si>
    <t>Non-payment</t>
  </si>
  <si>
    <t>NYCHA Housing Grievance</t>
  </si>
  <si>
    <t>NYCHA Housing Termination</t>
  </si>
  <si>
    <t>Sec. 8 Termination</t>
  </si>
  <si>
    <t>Tenant Rights</t>
  </si>
  <si>
    <t>Section 8 other</t>
  </si>
  <si>
    <t>Non-Litigation Advocacy</t>
  </si>
  <si>
    <t>SCRIE/DRIE</t>
  </si>
  <si>
    <t>Affirmative Litigation Supreme</t>
  </si>
  <si>
    <t>Human Rights Complaint</t>
  </si>
  <si>
    <t>Illegal Lockout</t>
  </si>
  <si>
    <t>Other Administrative Proceeding</t>
  </si>
  <si>
    <t>Other Civil Court</t>
  </si>
  <si>
    <t>PA Issue: Other</t>
  </si>
  <si>
    <t>Appeal-Appellate Term</t>
  </si>
  <si>
    <t>Article 78</t>
  </si>
  <si>
    <t>Ejectment Action</t>
  </si>
  <si>
    <t>Section 8 Grievance</t>
  </si>
  <si>
    <t>Advice</t>
  </si>
  <si>
    <t>Brief Service</t>
  </si>
  <si>
    <t>Hold For Review</t>
  </si>
  <si>
    <t>Out-of-Court Advocacy</t>
  </si>
  <si>
    <t>Representation - State Court</t>
  </si>
  <si>
    <t>Representation - Admin. Agency</t>
  </si>
  <si>
    <t>Representation - Federal Court</t>
  </si>
  <si>
    <t>A - Counsel and Advice</t>
  </si>
  <si>
    <t>B - Limited Action (Brief Service)</t>
  </si>
  <si>
    <t>F - Negotiated Settlement w/out Litigation</t>
  </si>
  <si>
    <t>G - Negotiated Settlement with Litigation</t>
  </si>
  <si>
    <t>H - Administrative Agency Decision</t>
  </si>
  <si>
    <t>L - Extensive Service (not resulting in Settlement of Court or Administrative Action)</t>
  </si>
  <si>
    <t>3018 Tenant Rights Coalition (TRC)</t>
  </si>
  <si>
    <t>3112 HPLP-Homelessness Prevention Law Project</t>
  </si>
  <si>
    <t>3114 HRA-HPLP-Homelessness Prevention Law Project</t>
  </si>
  <si>
    <t>2157 OCA-City-wide Civil Legal Services Grant</t>
  </si>
  <si>
    <t>3123 Universal Access to Counsel – (UAC)</t>
  </si>
  <si>
    <t>3113 HPLP-Homelessness Prevention Law Project</t>
  </si>
  <si>
    <t>3111 HPLP-Homelessness Prevention Law Project</t>
  </si>
  <si>
    <t>3124 Universal Access to Counsel – (UAC)</t>
  </si>
  <si>
    <t>3020 CLS-Civil Legal Services</t>
  </si>
  <si>
    <t>3401 DFTA - Services Program for the Elderly</t>
  </si>
  <si>
    <t>3121 Universal Access to Counsel – (UAC)</t>
  </si>
  <si>
    <t>5221 SSUSA-Single Stop USA</t>
  </si>
  <si>
    <t>3011 TRC FJC Initiative</t>
  </si>
  <si>
    <t>5227 RH VJP (Veterans Justice Project)</t>
  </si>
  <si>
    <t>3115 HPLP-Homelessness Prevention Law Project</t>
  </si>
  <si>
    <t>4100 IOLA - General</t>
  </si>
  <si>
    <t>5510 CB9 Manhattanville-West Harlem Tenant Advocacy Project</t>
  </si>
  <si>
    <t>3125 Universal Access to Counsel – (UAC)</t>
  </si>
  <si>
    <t>3122 Universal Access to Counsel – (UAC)</t>
  </si>
  <si>
    <t>3402 DFTA-Services Program for Elderly</t>
  </si>
  <si>
    <t>1204 LITC-Low Income Tax Payers Clinic</t>
  </si>
  <si>
    <t>4037 Military Mondays/Leveraging Corporations</t>
  </si>
  <si>
    <t>4103 Bank Settlement Grant (Foreclosure &amp; CED)</t>
  </si>
  <si>
    <t>3026 NYC HRA Veterans Justice Project (VJP) #2 (aka HRA VJP #2)</t>
  </si>
  <si>
    <t>5556 Robin Hood-Foreclosure and Housing</t>
  </si>
  <si>
    <t>4000 LSC - Basic Grant</t>
  </si>
  <si>
    <t>4301 Public Health Solutions</t>
  </si>
  <si>
    <t>4252 HELP USA NY Supportive Services for Veteran Families</t>
  </si>
  <si>
    <t>2171 NYS Dept. of Health- HHS for LGBT Individuals, Families &amp; Communities</t>
  </si>
  <si>
    <t>2411 NYS DOS - Legislative Member Item</t>
  </si>
  <si>
    <t>2091 AG-HOPP-CNYCN</t>
  </si>
  <si>
    <t>5553 CNYCN-Senior Citizen Homeowner Preservation Services</t>
  </si>
  <si>
    <t>4302 PHS- ADV-Client Advocacy</t>
  </si>
  <si>
    <t>2093 AG-HOPP-CNYCN</t>
  </si>
  <si>
    <t>2090 OAG/HOPP</t>
  </si>
  <si>
    <t>1418 HUD Fair Housing PEI</t>
  </si>
  <si>
    <t>5270 H. Van Ameringen Foundation</t>
  </si>
  <si>
    <t>5437 CNYCN - Foreclosure</t>
  </si>
  <si>
    <t>5440 CNYCN - Center for NYC Neighborhoods</t>
  </si>
  <si>
    <t>2094 AG-HOPP-CNYCN</t>
  </si>
  <si>
    <t>3312 Housing Preservation Initiative (HPI)</t>
  </si>
  <si>
    <t>3019 NYC HRA Veterans Justice Project (VJP)</t>
  </si>
  <si>
    <t>3403 DFTA - Assigned Counsel Project</t>
  </si>
  <si>
    <t>3306 Anti-Eviction and SRO Legal Services (formerly known as “HPD” Contracts)</t>
  </si>
  <si>
    <t>4322 NY Presbyterian Hospital (VOCA)</t>
  </si>
  <si>
    <t>5442 Center for NYC Neighborhoods-Foreclosure Prevention</t>
  </si>
  <si>
    <t>2557 VOCA Victim assistance Program # 3</t>
  </si>
  <si>
    <t>Prefer Not To Answer</t>
  </si>
  <si>
    <t>63 Private Landlord/Tenant</t>
  </si>
  <si>
    <t>64 Public Housing</t>
  </si>
  <si>
    <t>69 Other Housing</t>
  </si>
  <si>
    <t>61 Federally Subsidized Housing</t>
  </si>
  <si>
    <t>62 Homeownership/Real Property (Not Foreclosure)</t>
  </si>
  <si>
    <t>67 Mortgage Foreclosures (Not Predatory Lending/Practices)</t>
  </si>
  <si>
    <t>68 Mortgage Predatory Lending/Practices</t>
  </si>
  <si>
    <t>66 Housing Discrimination</t>
  </si>
  <si>
    <t>No Stipulation; No Judgment</t>
  </si>
  <si>
    <t>Post-Stipulation, No Judgment</t>
  </si>
  <si>
    <t>Post-Judgment, Tenant in Possession-Judgment Due to Default</t>
  </si>
  <si>
    <t>Post-Judgment, Tenant in Possession-Judgment Due to Other</t>
  </si>
  <si>
    <t>Post-Judgment, Tenant Out of Possession</t>
  </si>
  <si>
    <t>On for Trial</t>
  </si>
  <si>
    <t>07/02/2019</t>
  </si>
  <si>
    <t>07/18/2019</t>
  </si>
  <si>
    <t>07/12/2019</t>
  </si>
  <si>
    <t>07/11/2019</t>
  </si>
  <si>
    <t>07/01/2019</t>
  </si>
  <si>
    <t>07/16/2019</t>
  </si>
  <si>
    <t>07/09/2019</t>
  </si>
  <si>
    <t>07/17/2019</t>
  </si>
  <si>
    <t>07/10/2019</t>
  </si>
  <si>
    <t>07/15/2019</t>
  </si>
  <si>
    <t>07/05/2019</t>
  </si>
  <si>
    <t>07/08/2019</t>
  </si>
  <si>
    <t>07/23/2019</t>
  </si>
  <si>
    <t>07/29/2019</t>
  </si>
  <si>
    <t>07/30/2019</t>
  </si>
  <si>
    <t>07/22/2019</t>
  </si>
  <si>
    <t>07/24/2019</t>
  </si>
  <si>
    <t>07/25/2019</t>
  </si>
  <si>
    <t>07/03/2019</t>
  </si>
  <si>
    <t>07/26/2019</t>
  </si>
  <si>
    <t>07/31/2019</t>
  </si>
  <si>
    <t>07/19/2019</t>
  </si>
  <si>
    <t>07/28/2019</t>
  </si>
  <si>
    <t>07/29/2017</t>
  </si>
  <si>
    <t>08/31/2019</t>
  </si>
  <si>
    <t>07/23/2023</t>
  </si>
  <si>
    <t>Bronx Legal Services</t>
  </si>
  <si>
    <t>Staten Island Legal Services</t>
  </si>
  <si>
    <t>Brooklyn Legal Services</t>
  </si>
  <si>
    <t>Manhattan Legal Services</t>
  </si>
  <si>
    <t>Queens Legal Services</t>
  </si>
  <si>
    <t>Community Organization</t>
  </si>
  <si>
    <t>Court Referral-NON HRA</t>
  </si>
  <si>
    <t>HRA</t>
  </si>
  <si>
    <t>Other</t>
  </si>
  <si>
    <t>Self-referred</t>
  </si>
  <si>
    <t>Returning Client</t>
  </si>
  <si>
    <t>Word of mouth</t>
  </si>
  <si>
    <t>Elected Official</t>
  </si>
  <si>
    <t>FJC Housing Intake</t>
  </si>
  <si>
    <t>Tenant Support Unit</t>
  </si>
  <si>
    <t>Other City Agency</t>
  </si>
  <si>
    <t>Friends/Family</t>
  </si>
  <si>
    <t>Outreach</t>
  </si>
  <si>
    <t>ADP Hotline</t>
  </si>
  <si>
    <t>In-House</t>
  </si>
  <si>
    <t>3-1-1</t>
  </si>
  <si>
    <t>HRA ELS Part F Brooklyn</t>
  </si>
  <si>
    <t>Home base</t>
  </si>
  <si>
    <t>School</t>
  </si>
  <si>
    <t>6014-Obtained advice and counsel on a Housing matter</t>
  </si>
  <si>
    <t>6016-Obtained referral on a Housing matter</t>
  </si>
  <si>
    <t>6017-Obtained other benefit on a Housing matter</t>
  </si>
  <si>
    <t>6003-Delayed eviction providing time to seek alternative housing</t>
  </si>
  <si>
    <t>6015-Obtained non-litgation advocacy services on a Housing  matter</t>
  </si>
  <si>
    <t>6002-Prevented eviction from private housing</t>
  </si>
  <si>
    <t>6004-Obtained access to housing</t>
  </si>
  <si>
    <t>6009-Obtained repairs, Improved housing conditions or otherwise enforced rights to decent, habitable housing</t>
  </si>
  <si>
    <t>6005-Avoided or delayed foreclosure or other loss of home</t>
  </si>
  <si>
    <t>6007-Avoided, or obtained redress for charges by landlord</t>
  </si>
  <si>
    <t>6021-Provided full representation in a Housing matter, but no legal benefit achieved for the client</t>
  </si>
  <si>
    <t>6018-Prevented eviction from subsidized housing</t>
  </si>
  <si>
    <t>6001-Prevented eviction from public housing</t>
  </si>
  <si>
    <t>ZZ-Client Withdrew—For ZZ Adm Closed Reason Closed Cases Only</t>
  </si>
  <si>
    <t>02/07/1954</t>
  </si>
  <si>
    <t>06/28/1966</t>
  </si>
  <si>
    <t>03/23/1964</t>
  </si>
  <si>
    <t>04/21/1977</t>
  </si>
  <si>
    <t>11/30/1982</t>
  </si>
  <si>
    <t>02/19/1983</t>
  </si>
  <si>
    <t>09/24/1981</t>
  </si>
  <si>
    <t>07/15/1955</t>
  </si>
  <si>
    <t>03/26/1987</t>
  </si>
  <si>
    <t>01/09/1975</t>
  </si>
  <si>
    <t>05/03/1984</t>
  </si>
  <si>
    <t>10/03/1962</t>
  </si>
  <si>
    <t>11/10/1978</t>
  </si>
  <si>
    <t>01/08/1995</t>
  </si>
  <si>
    <t>01/31/1979</t>
  </si>
  <si>
    <t>12/01/1985</t>
  </si>
  <si>
    <t>05/06/1959</t>
  </si>
  <si>
    <t>11/27/1989</t>
  </si>
  <si>
    <t>08/28/1976</t>
  </si>
  <si>
    <t>05/04/1999</t>
  </si>
  <si>
    <t>09/21/1982</t>
  </si>
  <si>
    <t>08/10/1985</t>
  </si>
  <si>
    <t>08/30/1967</t>
  </si>
  <si>
    <t>09/04/1967</t>
  </si>
  <si>
    <t>05/23/2019</t>
  </si>
  <si>
    <t>05/17/1964</t>
  </si>
  <si>
    <t>06/27/1953</t>
  </si>
  <si>
    <t>01/12/1983</t>
  </si>
  <si>
    <t>05/19/1990</t>
  </si>
  <si>
    <t>10/06/1958</t>
  </si>
  <si>
    <t>01/26/1988</t>
  </si>
  <si>
    <t>05/21/1956</t>
  </si>
  <si>
    <t>12/10/1995</t>
  </si>
  <si>
    <t>02/25/1934</t>
  </si>
  <si>
    <t>02/04/1953</t>
  </si>
  <si>
    <t>01/14/1959</t>
  </si>
  <si>
    <t>09/01/1972</t>
  </si>
  <si>
    <t>04/25/1978</t>
  </si>
  <si>
    <t>12/18/1934</t>
  </si>
  <si>
    <t>01/08/1967</t>
  </si>
  <si>
    <t>01/09/1952</t>
  </si>
  <si>
    <t>01/01/1955</t>
  </si>
  <si>
    <t>04/08/1958</t>
  </si>
  <si>
    <t>04/16/1951</t>
  </si>
  <si>
    <t>11/03/1961</t>
  </si>
  <si>
    <t>06/09/1962</t>
  </si>
  <si>
    <t>02/24/1993</t>
  </si>
  <si>
    <t>02/14/1951</t>
  </si>
  <si>
    <t>08/25/1956</t>
  </si>
  <si>
    <t>01/18/1957</t>
  </si>
  <si>
    <t>10/04/1987</t>
  </si>
  <si>
    <t>10/26/1946</t>
  </si>
  <si>
    <t>12/06/1949</t>
  </si>
  <si>
    <t>01/04/1943</t>
  </si>
  <si>
    <t>04/28/1962</t>
  </si>
  <si>
    <t>02/04/1989</t>
  </si>
  <si>
    <t>01/28/1942</t>
  </si>
  <si>
    <t>01/12/1997</t>
  </si>
  <si>
    <t>06/25/1940</t>
  </si>
  <si>
    <t>08/03/1982</t>
  </si>
  <si>
    <t>02/27/1989</t>
  </si>
  <si>
    <t>01/19/1963</t>
  </si>
  <si>
    <t>06/01/1954</t>
  </si>
  <si>
    <t>12/19/1971</t>
  </si>
  <si>
    <t>12/04/1964</t>
  </si>
  <si>
    <t>07/22/1969</t>
  </si>
  <si>
    <t>01/22/1961</t>
  </si>
  <si>
    <t>02/28/1957</t>
  </si>
  <si>
    <t>05/09/1948</t>
  </si>
  <si>
    <t>12/08/1968</t>
  </si>
  <si>
    <t>01/02/1961</t>
  </si>
  <si>
    <t>08/28/1981</t>
  </si>
  <si>
    <t>05/27/1962</t>
  </si>
  <si>
    <t>02/24/1937</t>
  </si>
  <si>
    <t>05/08/1950</t>
  </si>
  <si>
    <t>01/16/1960</t>
  </si>
  <si>
    <t>01/02/1984</t>
  </si>
  <si>
    <t>09/22/1955</t>
  </si>
  <si>
    <t>02/20/1990</t>
  </si>
  <si>
    <t>08/20/1948</t>
  </si>
  <si>
    <t>04/22/1965</t>
  </si>
  <si>
    <t>05/31/1945</t>
  </si>
  <si>
    <t>02/05/1989</t>
  </si>
  <si>
    <t>04/16/1965</t>
  </si>
  <si>
    <t>09/21/1976</t>
  </si>
  <si>
    <t>06/08/1940</t>
  </si>
  <si>
    <t>09/23/1974</t>
  </si>
  <si>
    <t>03/11/1986</t>
  </si>
  <si>
    <t>07/20/1933</t>
  </si>
  <si>
    <t>12/02/1956</t>
  </si>
  <si>
    <t>02/26/1992</t>
  </si>
  <si>
    <t>01/05/1949</t>
  </si>
  <si>
    <t>11/20/1948</t>
  </si>
  <si>
    <t>05/04/1945</t>
  </si>
  <si>
    <t>07/19/1938</t>
  </si>
  <si>
    <t>06/16/1946</t>
  </si>
  <si>
    <t>11/23/1940</t>
  </si>
  <si>
    <t>02/24/1960</t>
  </si>
  <si>
    <t>06/05/1947</t>
  </si>
  <si>
    <t>02/06/1967</t>
  </si>
  <si>
    <t>10/09/1978</t>
  </si>
  <si>
    <t>09/06/1954</t>
  </si>
  <si>
    <t>10/16/1978</t>
  </si>
  <si>
    <t>01/26/1995</t>
  </si>
  <si>
    <t>01/17/1987</t>
  </si>
  <si>
    <t>08/14/1969</t>
  </si>
  <si>
    <t>12/31/1975</t>
  </si>
  <si>
    <t>03/06/1965</t>
  </si>
  <si>
    <t>12/21/1958</t>
  </si>
  <si>
    <t>12/28/1977</t>
  </si>
  <si>
    <t>12/08/1981</t>
  </si>
  <si>
    <t>04/29/1971</t>
  </si>
  <si>
    <t>05/10/1995</t>
  </si>
  <si>
    <t>04/21/1994</t>
  </si>
  <si>
    <t>11/22/1974</t>
  </si>
  <si>
    <t>02/12/1997</t>
  </si>
  <si>
    <t>04/02/1957</t>
  </si>
  <si>
    <t>10/01/1947</t>
  </si>
  <si>
    <t>03/25/1971</t>
  </si>
  <si>
    <t>12/29/1953</t>
  </si>
  <si>
    <t>10/23/1980</t>
  </si>
  <si>
    <t>09/20/1942</t>
  </si>
  <si>
    <t>12/17/1972</t>
  </si>
  <si>
    <t>12/18/1988</t>
  </si>
  <si>
    <t>08/27/1979</t>
  </si>
  <si>
    <t>09/06/1976</t>
  </si>
  <si>
    <t>12/27/1976</t>
  </si>
  <si>
    <t>05/12/1983</t>
  </si>
  <si>
    <t>05/12/1990</t>
  </si>
  <si>
    <t>01/22/1970</t>
  </si>
  <si>
    <t>12/06/1964</t>
  </si>
  <si>
    <t>01/01/1945</t>
  </si>
  <si>
    <t>12/30/1971</t>
  </si>
  <si>
    <t>02/28/1962</t>
  </si>
  <si>
    <t>05/31/1972</t>
  </si>
  <si>
    <t>09/05/1934</t>
  </si>
  <si>
    <t>01/14/1971</t>
  </si>
  <si>
    <t>05/05/1967</t>
  </si>
  <si>
    <t>10/25/1991</t>
  </si>
  <si>
    <t>04/13/1933</t>
  </si>
  <si>
    <t>06/16/1948</t>
  </si>
  <si>
    <t>03/18/1980</t>
  </si>
  <si>
    <t>07/28/1977</t>
  </si>
  <si>
    <t>12/17/1993</t>
  </si>
  <si>
    <t>08/13/1975</t>
  </si>
  <si>
    <t>05/17/1963</t>
  </si>
  <si>
    <t>04/12/1982</t>
  </si>
  <si>
    <t>11/27/1955</t>
  </si>
  <si>
    <t>12/21/1957</t>
  </si>
  <si>
    <t>05/25/1985</t>
  </si>
  <si>
    <t>06/04/1973</t>
  </si>
  <si>
    <t>01/05/1975</t>
  </si>
  <si>
    <t>07/03/1980</t>
  </si>
  <si>
    <t>12/12/1945</t>
  </si>
  <si>
    <t>05/09/1970</t>
  </si>
  <si>
    <t>10/26/1984</t>
  </si>
  <si>
    <t>02/08/1972</t>
  </si>
  <si>
    <t>09/17/1968</t>
  </si>
  <si>
    <t>02/21/1953</t>
  </si>
  <si>
    <t>11/23/1956</t>
  </si>
  <si>
    <t>09/07/1967</t>
  </si>
  <si>
    <t>07/06/1967</t>
  </si>
  <si>
    <t>05/14/1971</t>
  </si>
  <si>
    <t>11/21/1977</t>
  </si>
  <si>
    <t>10/01/1971</t>
  </si>
  <si>
    <t>12/27/1957</t>
  </si>
  <si>
    <t>05/21/1949</t>
  </si>
  <si>
    <t>08/27/1956</t>
  </si>
  <si>
    <t>02/29/1984</t>
  </si>
  <si>
    <t>06/04/1946</t>
  </si>
  <si>
    <t>05/22/1982</t>
  </si>
  <si>
    <t>10/26/1947</t>
  </si>
  <si>
    <t>10/13/1973</t>
  </si>
  <si>
    <t>08/18/1947</t>
  </si>
  <si>
    <t>05/23/1966</t>
  </si>
  <si>
    <t>02/22/1970</t>
  </si>
  <si>
    <t>08/22/1995</t>
  </si>
  <si>
    <t>12/20/1952</t>
  </si>
  <si>
    <t>03/15/1960</t>
  </si>
  <si>
    <t>07/24/1973</t>
  </si>
  <si>
    <t>09/20/1964</t>
  </si>
  <si>
    <t>07/30/1966</t>
  </si>
  <si>
    <t>10/08/1967</t>
  </si>
  <si>
    <t>03/08/1954</t>
  </si>
  <si>
    <t>01/24/1972</t>
  </si>
  <si>
    <t>03/26/1934</t>
  </si>
  <si>
    <t>12/28/1940</t>
  </si>
  <si>
    <t>05/09/1978</t>
  </si>
  <si>
    <t>12/29/1986</t>
  </si>
  <si>
    <t>02/17/1985</t>
  </si>
  <si>
    <t>04/20/1936</t>
  </si>
  <si>
    <t>11/13/1966</t>
  </si>
  <si>
    <t>01/07/1959</t>
  </si>
  <si>
    <t>05/17/1946</t>
  </si>
  <si>
    <t>02/26/1962</t>
  </si>
  <si>
    <t>01/08/1943</t>
  </si>
  <si>
    <t>12/08/1984</t>
  </si>
  <si>
    <t>07/08/1946</t>
  </si>
  <si>
    <t>09/08/1982</t>
  </si>
  <si>
    <t>07/15/1957</t>
  </si>
  <si>
    <t>07/20/1970</t>
  </si>
  <si>
    <t>11/18/1979</t>
  </si>
  <si>
    <t>12/31/1936</t>
  </si>
  <si>
    <t>01/01/1979</t>
  </si>
  <si>
    <t>10/06/1982</t>
  </si>
  <si>
    <t>05/02/1947</t>
  </si>
  <si>
    <t>03/20/1977</t>
  </si>
  <si>
    <t>03/21/1996</t>
  </si>
  <si>
    <t>11/16/1981</t>
  </si>
  <si>
    <t>05/17/1955</t>
  </si>
  <si>
    <t>04/14/1949</t>
  </si>
  <si>
    <t>05/15/1967</t>
  </si>
  <si>
    <t>11/28/1929</t>
  </si>
  <si>
    <t>06/13/1962</t>
  </si>
  <si>
    <t>06/11/1962</t>
  </si>
  <si>
    <t>04/19/1998</t>
  </si>
  <si>
    <t>11/18/1964</t>
  </si>
  <si>
    <t>04/26/1958</t>
  </si>
  <si>
    <t>12/09/1950</t>
  </si>
  <si>
    <t>09/14/1942</t>
  </si>
  <si>
    <t>05/04/1948</t>
  </si>
  <si>
    <t>01/11/1969</t>
  </si>
  <si>
    <t>07/17/1974</t>
  </si>
  <si>
    <t>01/10/1958</t>
  </si>
  <si>
    <t>03/21/1974</t>
  </si>
  <si>
    <t>11/21/1949</t>
  </si>
  <si>
    <t>02/21/1955</t>
  </si>
  <si>
    <t>04/01/1952</t>
  </si>
  <si>
    <t>02/27/1981</t>
  </si>
  <si>
    <t>04/29/1959</t>
  </si>
  <si>
    <t>05/11/1958</t>
  </si>
  <si>
    <t>08/30/1987</t>
  </si>
  <si>
    <t>09/10/1957</t>
  </si>
  <si>
    <t>07/19/1951</t>
  </si>
  <si>
    <t>05/26/1960</t>
  </si>
  <si>
    <t>08/14/1956</t>
  </si>
  <si>
    <t>02/23/1966</t>
  </si>
  <si>
    <t>05/14/1982</t>
  </si>
  <si>
    <t>06/03/1964</t>
  </si>
  <si>
    <t>07/19/1979</t>
  </si>
  <si>
    <t>05/18/1994</t>
  </si>
  <si>
    <t>11/05/1951</t>
  </si>
  <si>
    <t>06/12/1982</t>
  </si>
  <si>
    <t>04/26/1959</t>
  </si>
  <si>
    <t>07/22/1949</t>
  </si>
  <si>
    <t>08/05/1994</t>
  </si>
  <si>
    <t>08/22/1989</t>
  </si>
  <si>
    <t>12/05/1965</t>
  </si>
  <si>
    <t>10/15/1950</t>
  </si>
  <si>
    <t>10/06/1968</t>
  </si>
  <si>
    <t>01/19/1954</t>
  </si>
  <si>
    <t>07/20/1954</t>
  </si>
  <si>
    <t>03/16/1983</t>
  </si>
  <si>
    <t>12/30/1987</t>
  </si>
  <si>
    <t>08/30/1955</t>
  </si>
  <si>
    <t>04/28/1977</t>
  </si>
  <si>
    <t>03/08/1976</t>
  </si>
  <si>
    <t>12/17/1994</t>
  </si>
  <si>
    <t>03/12/1991</t>
  </si>
  <si>
    <t>06/11/1966</t>
  </si>
  <si>
    <t>08/06/1981</t>
  </si>
  <si>
    <t>02/11/1964</t>
  </si>
  <si>
    <t>05/13/1976</t>
  </si>
  <si>
    <t>03/11/1963</t>
  </si>
  <si>
    <t>06/21/1967</t>
  </si>
  <si>
    <t>07/01/1957</t>
  </si>
  <si>
    <t>08/24/1957</t>
  </si>
  <si>
    <t>08/15/1995</t>
  </si>
  <si>
    <t>02/24/1958</t>
  </si>
  <si>
    <t>02/17/1957</t>
  </si>
  <si>
    <t>10/08/1989</t>
  </si>
  <si>
    <t>08/12/1951</t>
  </si>
  <si>
    <t>11/05/1979</t>
  </si>
  <si>
    <t>03/04/1943</t>
  </si>
  <si>
    <t>10/25/1980</t>
  </si>
  <si>
    <t>01/16/1971</t>
  </si>
  <si>
    <t>10/18/1962</t>
  </si>
  <si>
    <t>09/12/1960</t>
  </si>
  <si>
    <t>11/01/1932</t>
  </si>
  <si>
    <t>06/22/1970</t>
  </si>
  <si>
    <t>04/02/1961</t>
  </si>
  <si>
    <t>03/24/1988</t>
  </si>
  <si>
    <t>05/26/1987</t>
  </si>
  <si>
    <t>08/17/1956</t>
  </si>
  <si>
    <t>04/17/1965</t>
  </si>
  <si>
    <t>07/31/1955</t>
  </si>
  <si>
    <t>07/23/1972</t>
  </si>
  <si>
    <t>12/11/1955</t>
  </si>
  <si>
    <t>10/26/1973</t>
  </si>
  <si>
    <t>10/05/1949</t>
  </si>
  <si>
    <t>06/17/1983</t>
  </si>
  <si>
    <t>07/30/1989</t>
  </si>
  <si>
    <t>04/05/1995</t>
  </si>
  <si>
    <t>06/06/1964</t>
  </si>
  <si>
    <t>09/20/1959</t>
  </si>
  <si>
    <t>08/06/1961</t>
  </si>
  <si>
    <t>11/19/1964</t>
  </si>
  <si>
    <t>05/22/1934</t>
  </si>
  <si>
    <t>07/16/1966</t>
  </si>
  <si>
    <t>02/04/1950</t>
  </si>
  <si>
    <t>08/13/1956</t>
  </si>
  <si>
    <t>10/01/1958</t>
  </si>
  <si>
    <t>11/23/1992</t>
  </si>
  <si>
    <t>10/02/1956</t>
  </si>
  <si>
    <t>11/28/1947</t>
  </si>
  <si>
    <t>01/21/1977</t>
  </si>
  <si>
    <t>10/27/1971</t>
  </si>
  <si>
    <t>12/09/1960</t>
  </si>
  <si>
    <t>01/13/1996</t>
  </si>
  <si>
    <t>03/07/1983</t>
  </si>
  <si>
    <t>07/12/1973</t>
  </si>
  <si>
    <t>07/31/1969</t>
  </si>
  <si>
    <t>06/21/1974</t>
  </si>
  <si>
    <t>02/04/1951</t>
  </si>
  <si>
    <t>03/25/1976</t>
  </si>
  <si>
    <t>10/29/1972</t>
  </si>
  <si>
    <t>09/06/1962</t>
  </si>
  <si>
    <t>03/25/1983</t>
  </si>
  <si>
    <t>07/08/1942</t>
  </si>
  <si>
    <t>12/22/1970</t>
  </si>
  <si>
    <t>10/23/1974</t>
  </si>
  <si>
    <t>11/16/1985</t>
  </si>
  <si>
    <t>01/10/1967</t>
  </si>
  <si>
    <t>07/11/1962</t>
  </si>
  <si>
    <t>02/18/1968</t>
  </si>
  <si>
    <t>10/18/1983</t>
  </si>
  <si>
    <t>11/19/1935</t>
  </si>
  <si>
    <t>07/26/1962</t>
  </si>
  <si>
    <t>04/13/1958</t>
  </si>
  <si>
    <t>06/29/1982</t>
  </si>
  <si>
    <t>04/05/1961</t>
  </si>
  <si>
    <t>03/27/1983</t>
  </si>
  <si>
    <t>02/09/1982</t>
  </si>
  <si>
    <t>09/10/1984</t>
  </si>
  <si>
    <t>02/23/1954</t>
  </si>
  <si>
    <t>02/10/1971</t>
  </si>
  <si>
    <t>12/25/1959</t>
  </si>
  <si>
    <t>12/26/1965</t>
  </si>
  <si>
    <t>06/16/1939</t>
  </si>
  <si>
    <t>11/11/1972</t>
  </si>
  <si>
    <t>02/02/1976</t>
  </si>
  <si>
    <t>10/28/1947</t>
  </si>
  <si>
    <t>09/15/1950</t>
  </si>
  <si>
    <t>10/13/1972</t>
  </si>
  <si>
    <t>08/20/1955</t>
  </si>
  <si>
    <t>02/08/1942</t>
  </si>
  <si>
    <t>03/24/1965</t>
  </si>
  <si>
    <t>01/01/1956</t>
  </si>
  <si>
    <t>11/11/1986</t>
  </si>
  <si>
    <t>03/19/1987</t>
  </si>
  <si>
    <t>09/08/1964</t>
  </si>
  <si>
    <t>08/26/1958</t>
  </si>
  <si>
    <t>01/23/1980</t>
  </si>
  <si>
    <t>09/07/1969</t>
  </si>
  <si>
    <t>02/10/1944</t>
  </si>
  <si>
    <t>12/28/1984</t>
  </si>
  <si>
    <t>08/11/1960</t>
  </si>
  <si>
    <t>10/01/1954</t>
  </si>
  <si>
    <t>04/24/1950</t>
  </si>
  <si>
    <t>06/13/1942</t>
  </si>
  <si>
    <t>01/27/1949</t>
  </si>
  <si>
    <t>01/11/1953</t>
  </si>
  <si>
    <t>11/02/1964</t>
  </si>
  <si>
    <t>01/14/1954</t>
  </si>
  <si>
    <t>12/28/1985</t>
  </si>
  <si>
    <t>07/10/1939</t>
  </si>
  <si>
    <t>07/17/1948</t>
  </si>
  <si>
    <t>07/10/1960</t>
  </si>
  <si>
    <t>06/15/1952</t>
  </si>
  <si>
    <t>03/13/1948</t>
  </si>
  <si>
    <t>02/06/1941</t>
  </si>
  <si>
    <t>09/30/1957</t>
  </si>
  <si>
    <t>12/13/1947</t>
  </si>
  <si>
    <t>07/28/1954</t>
  </si>
  <si>
    <t>09/20/1966</t>
  </si>
  <si>
    <t>12/08/1950</t>
  </si>
  <si>
    <t>05/29/1967</t>
  </si>
  <si>
    <t>02/18/1954</t>
  </si>
  <si>
    <t>06/21/1952</t>
  </si>
  <si>
    <t>11/10/1956</t>
  </si>
  <si>
    <t>03/13/1980</t>
  </si>
  <si>
    <t>10/15/1975</t>
  </si>
  <si>
    <t>01/17/1990</t>
  </si>
  <si>
    <t>02/17/1986</t>
  </si>
  <si>
    <t>09/12/1980</t>
  </si>
  <si>
    <t>03/12/1974</t>
  </si>
  <si>
    <t>11/06/1980</t>
  </si>
  <si>
    <t>12/30/1985</t>
  </si>
  <si>
    <t>09/07/1961</t>
  </si>
  <si>
    <t>03/02/1969</t>
  </si>
  <si>
    <t>08/03/1938</t>
  </si>
  <si>
    <t>09/04/1960</t>
  </si>
  <si>
    <t>02/11/1985</t>
  </si>
  <si>
    <t>10/09/1937</t>
  </si>
  <si>
    <t>05/13/1946</t>
  </si>
  <si>
    <t>09/27/1966</t>
  </si>
  <si>
    <t>12/27/1951</t>
  </si>
  <si>
    <t>09/29/1958</t>
  </si>
  <si>
    <t>10/03/1963</t>
  </si>
  <si>
    <t>05/05/1941</t>
  </si>
  <si>
    <t>09/02/1964</t>
  </si>
  <si>
    <t>07/02/1962</t>
  </si>
  <si>
    <t>11/04/1971</t>
  </si>
  <si>
    <t>05/28/1953</t>
  </si>
  <si>
    <t>04/16/1962</t>
  </si>
  <si>
    <t>04/15/1951</t>
  </si>
  <si>
    <t>04/29/1954</t>
  </si>
  <si>
    <t>04/03/1961</t>
  </si>
  <si>
    <t>05/19/1981</t>
  </si>
  <si>
    <t>10/07/1985</t>
  </si>
  <si>
    <t>12/19/1946</t>
  </si>
  <si>
    <t>05/08/1934</t>
  </si>
  <si>
    <t>12/03/1969</t>
  </si>
  <si>
    <t>11/28/1967</t>
  </si>
  <si>
    <t>02/19/1963</t>
  </si>
  <si>
    <t>07/28/1969</t>
  </si>
  <si>
    <t>01/28/1946</t>
  </si>
  <si>
    <t>12/11/1966</t>
  </si>
  <si>
    <t>04/11/1951</t>
  </si>
  <si>
    <t>02/26/1982</t>
  </si>
  <si>
    <t>09/01/1968</t>
  </si>
  <si>
    <t>05/27/1967</t>
  </si>
  <si>
    <t>07/20/1968</t>
  </si>
  <si>
    <t>03/21/1947</t>
  </si>
  <si>
    <t>04/12/1951</t>
  </si>
  <si>
    <t>01/28/1960</t>
  </si>
  <si>
    <t>10/10/1957</t>
  </si>
  <si>
    <t>07/06/1989</t>
  </si>
  <si>
    <t>06/16/1991</t>
  </si>
  <si>
    <t>07/16/1959</t>
  </si>
  <si>
    <t>04/14/1975</t>
  </si>
  <si>
    <t>07/10/1954</t>
  </si>
  <si>
    <t>06/08/1961</t>
  </si>
  <si>
    <t>05/11/1974</t>
  </si>
  <si>
    <t>10/27/1977</t>
  </si>
  <si>
    <t>07/05/1953</t>
  </si>
  <si>
    <t>06/07/1967</t>
  </si>
  <si>
    <t>09/10/1948</t>
  </si>
  <si>
    <t>05/14/1955</t>
  </si>
  <si>
    <t>09/02/1978</t>
  </si>
  <si>
    <t>04/02/1993</t>
  </si>
  <si>
    <t>03/15/1964</t>
  </si>
  <si>
    <t>04/03/1987</t>
  </si>
  <si>
    <t>11/11/1968</t>
  </si>
  <si>
    <t>05/23/1988</t>
  </si>
  <si>
    <t>07/10/1968</t>
  </si>
  <si>
    <t>09/21/1959</t>
  </si>
  <si>
    <t>06/03/1963</t>
  </si>
  <si>
    <t>04/12/1960</t>
  </si>
  <si>
    <t>09/13/1981</t>
  </si>
  <si>
    <t>04/12/1958</t>
  </si>
  <si>
    <t>01/08/1982</t>
  </si>
  <si>
    <t>08/22/1991</t>
  </si>
  <si>
    <t>10/28/1975</t>
  </si>
  <si>
    <t>08/16/1979</t>
  </si>
  <si>
    <t>02/01/1977</t>
  </si>
  <si>
    <t>07/22/1963</t>
  </si>
  <si>
    <t>01/25/1956</t>
  </si>
  <si>
    <t>09/29/1993</t>
  </si>
  <si>
    <t>05/10/1962</t>
  </si>
  <si>
    <t>04/27/1987</t>
  </si>
  <si>
    <t>03/25/1985</t>
  </si>
  <si>
    <t>01/21/1944</t>
  </si>
  <si>
    <t>01/27/1951</t>
  </si>
  <si>
    <t>01/28/1985</t>
  </si>
  <si>
    <t>10/08/1983</t>
  </si>
  <si>
    <t>04/10/1963</t>
  </si>
  <si>
    <t>05/01/1965</t>
  </si>
  <si>
    <t>10/13/1966</t>
  </si>
  <si>
    <t>06/16/1999</t>
  </si>
  <si>
    <t>12/12/1983</t>
  </si>
  <si>
    <t>11/19/1966</t>
  </si>
  <si>
    <t>01/19/1958</t>
  </si>
  <si>
    <t>03/12/1989</t>
  </si>
  <si>
    <t>03/10/1979</t>
  </si>
  <si>
    <t>04/03/1979</t>
  </si>
  <si>
    <t>04/15/1942</t>
  </si>
  <si>
    <t>09/10/1987</t>
  </si>
  <si>
    <t>01/14/1985</t>
  </si>
  <si>
    <t>08/04/1987</t>
  </si>
  <si>
    <t>11/08/1947</t>
  </si>
  <si>
    <t>11/14/1975</t>
  </si>
  <si>
    <t>12/03/1966</t>
  </si>
  <si>
    <t>02/19/1978</t>
  </si>
  <si>
    <t>11/07/1989</t>
  </si>
  <si>
    <t>03/04/1971</t>
  </si>
  <si>
    <t>01/16/1992</t>
  </si>
  <si>
    <t>01/07/1970</t>
  </si>
  <si>
    <t>11/20/1938</t>
  </si>
  <si>
    <t>11/15/1965</t>
  </si>
  <si>
    <t>07/14/1955</t>
  </si>
  <si>
    <t>09/14/1956</t>
  </si>
  <si>
    <t>10/06/1974</t>
  </si>
  <si>
    <t>10/29/1970</t>
  </si>
  <si>
    <t>03/30/1960</t>
  </si>
  <si>
    <t>04/28/1952</t>
  </si>
  <si>
    <t>12/18/1953</t>
  </si>
  <si>
    <t>02/20/1949</t>
  </si>
  <si>
    <t>09/29/1954</t>
  </si>
  <si>
    <t>09/07/1957</t>
  </si>
  <si>
    <t>10/18/1954</t>
  </si>
  <si>
    <t>04/07/1969</t>
  </si>
  <si>
    <t>12/05/1986</t>
  </si>
  <si>
    <t>02/26/1953</t>
  </si>
  <si>
    <t>03/19/1991</t>
  </si>
  <si>
    <t>05/16/1957</t>
  </si>
  <si>
    <t>04/08/1974</t>
  </si>
  <si>
    <t>06/19/1975</t>
  </si>
  <si>
    <t>07/08/1962</t>
  </si>
  <si>
    <t>08/25/1973</t>
  </si>
  <si>
    <t>04/16/1961</t>
  </si>
  <si>
    <t>06/19/1955</t>
  </si>
  <si>
    <t>04/04/1951</t>
  </si>
  <si>
    <t>07/07/1988</t>
  </si>
  <si>
    <t>12/13/1956</t>
  </si>
  <si>
    <t>03/11/1979</t>
  </si>
  <si>
    <t>10/28/1960</t>
  </si>
  <si>
    <t>03/17/1966</t>
  </si>
  <si>
    <t>03/31/1953</t>
  </si>
  <si>
    <t>02/13/1947</t>
  </si>
  <si>
    <t>01/01/1949</t>
  </si>
  <si>
    <t>05/13/1981</t>
  </si>
  <si>
    <t>10/06/1962</t>
  </si>
  <si>
    <t>02/06/1943</t>
  </si>
  <si>
    <t>06/04/1979</t>
  </si>
  <si>
    <t>03/13/1965</t>
  </si>
  <si>
    <t>06/16/1940</t>
  </si>
  <si>
    <t>11/10/1970</t>
  </si>
  <si>
    <t>10/29/1971</t>
  </si>
  <si>
    <t>10/22/1970</t>
  </si>
  <si>
    <t>07/08/1989</t>
  </si>
  <si>
    <t>08/31/1960</t>
  </si>
  <si>
    <t>11/18/1999</t>
  </si>
  <si>
    <t>04/15/1950</t>
  </si>
  <si>
    <t>06/30/1927</t>
  </si>
  <si>
    <t>07/31/1972</t>
  </si>
  <si>
    <t>09/28/1969</t>
  </si>
  <si>
    <t>02/12/1943</t>
  </si>
  <si>
    <t>02/23/1949</t>
  </si>
  <si>
    <t>04/25/1937</t>
  </si>
  <si>
    <t>08/09/1938</t>
  </si>
  <si>
    <t>08/30/1945</t>
  </si>
  <si>
    <t>09/24/1936</t>
  </si>
  <si>
    <t>05/01/1947</t>
  </si>
  <si>
    <t>01/12/1975</t>
  </si>
  <si>
    <t>06/05/1970</t>
  </si>
  <si>
    <t>07/18/1989</t>
  </si>
  <si>
    <t>07/11/1967</t>
  </si>
  <si>
    <t>11/07/1953</t>
  </si>
  <si>
    <t>04/26/1953</t>
  </si>
  <si>
    <t>10/01/1976</t>
  </si>
  <si>
    <t>11/04/1986</t>
  </si>
  <si>
    <t>07/22/1990</t>
  </si>
  <si>
    <t>11/27/1958</t>
  </si>
  <si>
    <t>12/31/1961</t>
  </si>
  <si>
    <t>04/18/1962</t>
  </si>
  <si>
    <t>01/08/1983</t>
  </si>
  <si>
    <t>04/15/1998</t>
  </si>
  <si>
    <t>05/10/1965</t>
  </si>
  <si>
    <t>03/05/1963</t>
  </si>
  <si>
    <t>09/25/1996</t>
  </si>
  <si>
    <t>03/08/1959</t>
  </si>
  <si>
    <t>12/28/1959</t>
  </si>
  <si>
    <t>03/18/1989</t>
  </si>
  <si>
    <t>01/04/1988</t>
  </si>
  <si>
    <t>12/16/1964</t>
  </si>
  <si>
    <t>02/27/1944</t>
  </si>
  <si>
    <t>07/17/1969</t>
  </si>
  <si>
    <t>01/21/1988</t>
  </si>
  <si>
    <t>02/02/1981</t>
  </si>
  <si>
    <t>09/30/1964</t>
  </si>
  <si>
    <t>03/21/1970</t>
  </si>
  <si>
    <t>12/08/1963</t>
  </si>
  <si>
    <t>03/07/1991</t>
  </si>
  <si>
    <t>10/27/1965</t>
  </si>
  <si>
    <t>11/13/1946</t>
  </si>
  <si>
    <t>04/26/1975</t>
  </si>
  <si>
    <t>12/05/1971</t>
  </si>
  <si>
    <t>08/21/1959</t>
  </si>
  <si>
    <t>05/13/1950</t>
  </si>
  <si>
    <t>10/31/1979</t>
  </si>
  <si>
    <t>03/16/1969</t>
  </si>
  <si>
    <t>01/22/1965</t>
  </si>
  <si>
    <t>09/29/1987</t>
  </si>
  <si>
    <t>09/26/1960</t>
  </si>
  <si>
    <t>08/11/1979</t>
  </si>
  <si>
    <t>07/02/1982</t>
  </si>
  <si>
    <t>12/18/1968</t>
  </si>
  <si>
    <t>12/27/1971</t>
  </si>
  <si>
    <t>05/27/1991</t>
  </si>
  <si>
    <t>05/22/1985</t>
  </si>
  <si>
    <t>02/17/1933</t>
  </si>
  <si>
    <t>02/05/1965</t>
  </si>
  <si>
    <t>10/03/1954</t>
  </si>
  <si>
    <t>12/15/1953</t>
  </si>
  <si>
    <t>11/18/1946</t>
  </si>
  <si>
    <t>05/15/1968</t>
  </si>
  <si>
    <t>02/08/1952</t>
  </si>
  <si>
    <t>08/01/1970</t>
  </si>
  <si>
    <t>01/26/1944</t>
  </si>
  <si>
    <t>09/21/1978</t>
  </si>
  <si>
    <t>05/30/1969</t>
  </si>
  <si>
    <t>01/01/1989</t>
  </si>
  <si>
    <t>02/06/1965</t>
  </si>
  <si>
    <t>08/12/1943</t>
  </si>
  <si>
    <t>10/15/1971</t>
  </si>
  <si>
    <t>08/15/1967</t>
  </si>
  <si>
    <t>10/08/1953</t>
  </si>
  <si>
    <t>11/20/1967</t>
  </si>
  <si>
    <t>12/23/1953</t>
  </si>
  <si>
    <t>04/26/1981</t>
  </si>
  <si>
    <t>05/16/1951</t>
  </si>
  <si>
    <t>09/01/1971</t>
  </si>
  <si>
    <t>02/10/1978</t>
  </si>
  <si>
    <t>08/05/1953</t>
  </si>
  <si>
    <t>11/13/1955</t>
  </si>
  <si>
    <t>06/22/1957</t>
  </si>
  <si>
    <t>04/22/1972</t>
  </si>
  <si>
    <t>12/04/1943</t>
  </si>
  <si>
    <t>07/28/1960</t>
  </si>
  <si>
    <t>01/15/1950</t>
  </si>
  <si>
    <t>07/11/1959</t>
  </si>
  <si>
    <t>10/07/1975</t>
  </si>
  <si>
    <t>09/19/1949</t>
  </si>
  <si>
    <t>06/18/1961</t>
  </si>
  <si>
    <t>08/01/1943</t>
  </si>
  <si>
    <t>07/26/1974</t>
  </si>
  <si>
    <t>07/04/1963</t>
  </si>
  <si>
    <t>03/16/1980</t>
  </si>
  <si>
    <t>05/23/1956</t>
  </si>
  <si>
    <t>01/10/1987</t>
  </si>
  <si>
    <t>06/19/1951</t>
  </si>
  <si>
    <t>09/18/1962</t>
  </si>
  <si>
    <t>02/23/1967</t>
  </si>
  <si>
    <t>03/04/1938</t>
  </si>
  <si>
    <t>01/22/1942</t>
  </si>
  <si>
    <t>10/09/1987</t>
  </si>
  <si>
    <t>11/02/1967</t>
  </si>
  <si>
    <t>10/28/1965</t>
  </si>
  <si>
    <t>03/02/1942</t>
  </si>
  <si>
    <t>06/10/1951</t>
  </si>
  <si>
    <t>10/06/1932</t>
  </si>
  <si>
    <t>10/31/1946</t>
  </si>
  <si>
    <t>10/14/1982</t>
  </si>
  <si>
    <t>11/04/1934</t>
  </si>
  <si>
    <t>06/28/1961</t>
  </si>
  <si>
    <t>06/28/1957</t>
  </si>
  <si>
    <t>04/19/1936</t>
  </si>
  <si>
    <t>06/11/1960</t>
  </si>
  <si>
    <t>04/08/1988</t>
  </si>
  <si>
    <t>11/10/1974</t>
  </si>
  <si>
    <t>02/09/1976</t>
  </si>
  <si>
    <t>09/19/1959</t>
  </si>
  <si>
    <t>07/05/1981</t>
  </si>
  <si>
    <t>06/07/1993</t>
  </si>
  <si>
    <t>07/30/1968</t>
  </si>
  <si>
    <t>08/05/1991</t>
  </si>
  <si>
    <t>05/11/1960</t>
  </si>
  <si>
    <t>06/06/1941</t>
  </si>
  <si>
    <t>02/05/1960</t>
  </si>
  <si>
    <t>08/31/1967</t>
  </si>
  <si>
    <t>08/14/1955</t>
  </si>
  <si>
    <t>01/14/1963</t>
  </si>
  <si>
    <t>07/10/1966</t>
  </si>
  <si>
    <t>06/21/1972</t>
  </si>
  <si>
    <t>04/28/1959</t>
  </si>
  <si>
    <t>10/18/1957</t>
  </si>
  <si>
    <t>02/27/1983</t>
  </si>
  <si>
    <t>04/30/1965</t>
  </si>
  <si>
    <t>11/09/1982</t>
  </si>
  <si>
    <t>01/09/1988</t>
  </si>
  <si>
    <t>06/17/1954</t>
  </si>
  <si>
    <t>12/31/1976</t>
  </si>
  <si>
    <t>08/04/1965</t>
  </si>
  <si>
    <t>06/26/1988</t>
  </si>
  <si>
    <t>10/08/1940</t>
  </si>
  <si>
    <t>12/20/1956</t>
  </si>
  <si>
    <t>12/31/1938</t>
  </si>
  <si>
    <t>01/08/1981</t>
  </si>
  <si>
    <t>07/04/1970</t>
  </si>
  <si>
    <t>08/21/1990</t>
  </si>
  <si>
    <t>07/06/1970</t>
  </si>
  <si>
    <t>12/21/1967</t>
  </si>
  <si>
    <t>12/13/1971</t>
  </si>
  <si>
    <t>11/04/1946</t>
  </si>
  <si>
    <t>04/16/1942</t>
  </si>
  <si>
    <t>05/18/1939</t>
  </si>
  <si>
    <t>03/07/1942</t>
  </si>
  <si>
    <t>07/01/1954</t>
  </si>
  <si>
    <t>02/06/1945</t>
  </si>
  <si>
    <t>03/09/1947</t>
  </si>
  <si>
    <t>08/20/1978</t>
  </si>
  <si>
    <t>05/05/1983</t>
  </si>
  <si>
    <t>08/10/1951</t>
  </si>
  <si>
    <t>05/17/1942</t>
  </si>
  <si>
    <t>07/24/1963</t>
  </si>
  <si>
    <t>02/20/1977</t>
  </si>
  <si>
    <t>04/02/1962</t>
  </si>
  <si>
    <t>09/24/1951</t>
  </si>
  <si>
    <t>11/24/1968</t>
  </si>
  <si>
    <t>01/03/1989</t>
  </si>
  <si>
    <t>11/26/1970</t>
  </si>
  <si>
    <t>09/27/1969</t>
  </si>
  <si>
    <t>10/25/1936</t>
  </si>
  <si>
    <t>09/18/1954</t>
  </si>
  <si>
    <t>09/12/1944</t>
  </si>
  <si>
    <t>01/17/1954</t>
  </si>
  <si>
    <t>02/07/1951</t>
  </si>
  <si>
    <t>04/03/1948</t>
  </si>
  <si>
    <t>07/10/1956</t>
  </si>
  <si>
    <t>05/02/1954</t>
  </si>
  <si>
    <t>04/10/1958</t>
  </si>
  <si>
    <t>02/10/1987</t>
  </si>
  <si>
    <t>03/04/1977</t>
  </si>
  <si>
    <t>06/10/1958</t>
  </si>
  <si>
    <t>01/14/1964</t>
  </si>
  <si>
    <t>02/16/1954</t>
  </si>
  <si>
    <t>11/22/1934</t>
  </si>
  <si>
    <t>04/22/1953</t>
  </si>
  <si>
    <t>07/09/1949</t>
  </si>
  <si>
    <t>05/11/1975</t>
  </si>
  <si>
    <t>05/05/1944</t>
  </si>
  <si>
    <t>12/13/1968</t>
  </si>
  <si>
    <t>01/09/1983</t>
  </si>
  <si>
    <t>02/04/1983</t>
  </si>
  <si>
    <t>10/31/1969</t>
  </si>
  <si>
    <t>06/24/1939</t>
  </si>
  <si>
    <t>05/31/1970</t>
  </si>
  <si>
    <t>10/22/1947</t>
  </si>
  <si>
    <t>06/12/1969</t>
  </si>
  <si>
    <t>07/12/1980</t>
  </si>
  <si>
    <t>08/07/1974</t>
  </si>
  <si>
    <t>03/02/1994</t>
  </si>
  <si>
    <t>10/05/1975</t>
  </si>
  <si>
    <t>10/20/1961</t>
  </si>
  <si>
    <t>09/08/1977</t>
  </si>
  <si>
    <t>08/31/1963</t>
  </si>
  <si>
    <t>10/12/1991</t>
  </si>
  <si>
    <t>08/23/1968</t>
  </si>
  <si>
    <t>11/08/1953</t>
  </si>
  <si>
    <t>01/25/1960</t>
  </si>
  <si>
    <t>09/26/1980</t>
  </si>
  <si>
    <t>02/08/1961</t>
  </si>
  <si>
    <t>09/22/1963</t>
  </si>
  <si>
    <t>01/15/1977</t>
  </si>
  <si>
    <t>06/05/1983</t>
  </si>
  <si>
    <t>08/18/1967</t>
  </si>
  <si>
    <t>08/24/1965</t>
  </si>
  <si>
    <t>04/28/1963</t>
  </si>
  <si>
    <t>02/01/1946</t>
  </si>
  <si>
    <t>02/01/1954</t>
  </si>
  <si>
    <t>07/29/1988</t>
  </si>
  <si>
    <t>05/22/1965</t>
  </si>
  <si>
    <t>05/16/1972</t>
  </si>
  <si>
    <t>05/20/1970</t>
  </si>
  <si>
    <t>05/08/1959</t>
  </si>
  <si>
    <t>11/26/1976</t>
  </si>
  <si>
    <t>10/03/1985</t>
  </si>
  <si>
    <t>02/25/1967</t>
  </si>
  <si>
    <t>05/18/1988</t>
  </si>
  <si>
    <t>12/15/1973</t>
  </si>
  <si>
    <t>06/17/1955</t>
  </si>
  <si>
    <t>05/10/1956</t>
  </si>
  <si>
    <t>09/27/1959</t>
  </si>
  <si>
    <t>10/12/1987</t>
  </si>
  <si>
    <t>06/15/1985</t>
  </si>
  <si>
    <t>04/30/1979</t>
  </si>
  <si>
    <t>12/26/1950</t>
  </si>
  <si>
    <t>08/06/1942</t>
  </si>
  <si>
    <t>06/13/1975</t>
  </si>
  <si>
    <t>02/08/1939</t>
  </si>
  <si>
    <t>03/31/1971</t>
  </si>
  <si>
    <t>12/01/1975</t>
  </si>
  <si>
    <t>07/28/1936</t>
  </si>
  <si>
    <t>11/11/1964</t>
  </si>
  <si>
    <t>12/09/1963</t>
  </si>
  <si>
    <t>09/16/1982</t>
  </si>
  <si>
    <t>01/25/1970</t>
  </si>
  <si>
    <t>08/03/1969</t>
  </si>
  <si>
    <t>04/29/1945</t>
  </si>
  <si>
    <t>01/05/1955</t>
  </si>
  <si>
    <t>04/15/1983</t>
  </si>
  <si>
    <t>05/17/1989</t>
  </si>
  <si>
    <t>08/29/1975</t>
  </si>
  <si>
    <t>10/09/1945</t>
  </si>
  <si>
    <t>01/12/1988</t>
  </si>
  <si>
    <t>10/23/1946</t>
  </si>
  <si>
    <t>12/31/1967</t>
  </si>
  <si>
    <t>09/24/1986</t>
  </si>
  <si>
    <t>04/19/1996</t>
  </si>
  <si>
    <t>09/29/1971</t>
  </si>
  <si>
    <t>07/15/1967</t>
  </si>
  <si>
    <t>03/01/1984</t>
  </si>
  <si>
    <t>10/13/1994</t>
  </si>
  <si>
    <t>08/08/1937</t>
  </si>
  <si>
    <t>06/27/1966</t>
  </si>
  <si>
    <t>12/21/1982</t>
  </si>
  <si>
    <t>04/30/1973</t>
  </si>
  <si>
    <t>04/26/1989</t>
  </si>
  <si>
    <t>04/02/1970</t>
  </si>
  <si>
    <t>09/12/1991</t>
  </si>
  <si>
    <t>08/02/1940</t>
  </si>
  <si>
    <t>12/28/1951</t>
  </si>
  <si>
    <t>10/17/1979</t>
  </si>
  <si>
    <t>12/28/1980</t>
  </si>
  <si>
    <t>11/03/1950</t>
  </si>
  <si>
    <t>06/14/1946</t>
  </si>
  <si>
    <t>09/12/1959</t>
  </si>
  <si>
    <t>05/25/1958</t>
  </si>
  <si>
    <t>09/11/1959</t>
  </si>
  <si>
    <t>01/03/1965</t>
  </si>
  <si>
    <t>01/01/1954</t>
  </si>
  <si>
    <t>06/29/1978</t>
  </si>
  <si>
    <t>11/08/1967</t>
  </si>
  <si>
    <t>09/19/1955</t>
  </si>
  <si>
    <t>04/24/1988</t>
  </si>
  <si>
    <t>02/09/1943</t>
  </si>
  <si>
    <t>12/25/1979</t>
  </si>
  <si>
    <t>09/28/1964</t>
  </si>
  <si>
    <t>09/29/1975</t>
  </si>
  <si>
    <t>08/12/1956</t>
  </si>
  <si>
    <t>09/26/1970</t>
  </si>
  <si>
    <t>05/01/1957</t>
  </si>
  <si>
    <t>02/11/1986</t>
  </si>
  <si>
    <t>04/05/1975</t>
  </si>
  <si>
    <t>12/20/1940</t>
  </si>
  <si>
    <t>02/05/1988</t>
  </si>
  <si>
    <t>02/24/1983</t>
  </si>
  <si>
    <t>12/28/1981</t>
  </si>
  <si>
    <t>11/28/1964</t>
  </si>
  <si>
    <t>03/19/1928</t>
  </si>
  <si>
    <t>01/11/1992</t>
  </si>
  <si>
    <t>08/30/1958</t>
  </si>
  <si>
    <t>04/13/1961</t>
  </si>
  <si>
    <t>03/01/1996</t>
  </si>
  <si>
    <t>05/24/1962</t>
  </si>
  <si>
    <t>01/11/1973</t>
  </si>
  <si>
    <t>06/05/1968</t>
  </si>
  <si>
    <t>09/07/1956</t>
  </si>
  <si>
    <t>03/12/1960</t>
  </si>
  <si>
    <t>11/07/1964</t>
  </si>
  <si>
    <t>12/06/1965</t>
  </si>
  <si>
    <t>06/18/1974</t>
  </si>
  <si>
    <t>11/11/1956</t>
  </si>
  <si>
    <t>12/03/1975</t>
  </si>
  <si>
    <t>12/04/1973</t>
  </si>
  <si>
    <t>03/05/1974</t>
  </si>
  <si>
    <t>05/17/1993</t>
  </si>
  <si>
    <t>02/22/1968</t>
  </si>
  <si>
    <t>06/15/1993</t>
  </si>
  <si>
    <t>06/27/1968</t>
  </si>
  <si>
    <t>06/24/1972</t>
  </si>
  <si>
    <t>06/15/1972</t>
  </si>
  <si>
    <t>12/26/1983</t>
  </si>
  <si>
    <t>08/27/1981</t>
  </si>
  <si>
    <t>12/28/1968</t>
  </si>
  <si>
    <t>11/20/1955</t>
  </si>
  <si>
    <t>08/21/1953</t>
  </si>
  <si>
    <t>04/11/1992</t>
  </si>
  <si>
    <t>01/23/1992</t>
  </si>
  <si>
    <t>04/12/1963</t>
  </si>
  <si>
    <t>01/07/1972</t>
  </si>
  <si>
    <t>11/04/1968</t>
  </si>
  <si>
    <t>11/05/1971</t>
  </si>
  <si>
    <t>12/28/1972</t>
  </si>
  <si>
    <t>02/09/1961</t>
  </si>
  <si>
    <t>03/31/1933</t>
  </si>
  <si>
    <t>08/02/1963</t>
  </si>
  <si>
    <t>02/20/1943</t>
  </si>
  <si>
    <t>02/16/1964</t>
  </si>
  <si>
    <t>10/17/1968</t>
  </si>
  <si>
    <t>11/07/1960</t>
  </si>
  <si>
    <t>07/08/1988</t>
  </si>
  <si>
    <t>10/02/1967</t>
  </si>
  <si>
    <t>03/05/1987</t>
  </si>
  <si>
    <t>03/12/1978</t>
  </si>
  <si>
    <t>01/09/1947</t>
  </si>
  <si>
    <t>11/03/1940</t>
  </si>
  <si>
    <t>06/10/1956</t>
  </si>
  <si>
    <t>12/10/1981</t>
  </si>
  <si>
    <t>05/23/1968</t>
  </si>
  <si>
    <t>09/25/1946</t>
  </si>
  <si>
    <t>05/19/1950</t>
  </si>
  <si>
    <t>07/28/1959</t>
  </si>
  <si>
    <t>05/05/1980</t>
  </si>
  <si>
    <t>03/31/1941</t>
  </si>
  <si>
    <t>07/15/1961</t>
  </si>
  <si>
    <t>08/02/1973</t>
  </si>
  <si>
    <t>03/11/1950</t>
  </si>
  <si>
    <t>12/19/1963</t>
  </si>
  <si>
    <t>10/15/1982</t>
  </si>
  <si>
    <t>09/19/1980</t>
  </si>
  <si>
    <t>06/01/1967</t>
  </si>
  <si>
    <t>04/06/1973</t>
  </si>
  <si>
    <t>06/10/1922</t>
  </si>
  <si>
    <t>09/05/1964</t>
  </si>
  <si>
    <t>04/30/1968</t>
  </si>
  <si>
    <t>12/10/1960</t>
  </si>
  <si>
    <t>08/25/1962</t>
  </si>
  <si>
    <t>03/10/1943</t>
  </si>
  <si>
    <t>05/16/1969</t>
  </si>
  <si>
    <t>10/02/1979</t>
  </si>
  <si>
    <t>02/17/1953</t>
  </si>
  <si>
    <t>07/23/1982</t>
  </si>
  <si>
    <t>12/29/1946</t>
  </si>
  <si>
    <t>05/04/1940</t>
  </si>
  <si>
    <t>10/27/1967</t>
  </si>
  <si>
    <t>08/06/1958</t>
  </si>
  <si>
    <t>04/02/1966</t>
  </si>
  <si>
    <t>09/09/1987</t>
  </si>
  <si>
    <t>08/14/1982</t>
  </si>
  <si>
    <t>07/24/1957</t>
  </si>
  <si>
    <t>01/09/1953</t>
  </si>
  <si>
    <t>02/13/1955</t>
  </si>
  <si>
    <t>11/21/1945</t>
  </si>
  <si>
    <t>01/25/1974</t>
  </si>
  <si>
    <t>12/30/1961</t>
  </si>
  <si>
    <t>08/26/1987</t>
  </si>
  <si>
    <t>01/22/1962</t>
  </si>
  <si>
    <t>10/30/1962</t>
  </si>
  <si>
    <t>12/04/1961</t>
  </si>
  <si>
    <t>12/31/1966</t>
  </si>
  <si>
    <t>11/02/1986</t>
  </si>
  <si>
    <t>01/31/1964</t>
  </si>
  <si>
    <t>01/29/1928</t>
  </si>
  <si>
    <t>09/27/1957</t>
  </si>
  <si>
    <t>07/14/1966</t>
  </si>
  <si>
    <t>12/17/1984</t>
  </si>
  <si>
    <t>09/04/1986</t>
  </si>
  <si>
    <t>08/10/1957</t>
  </si>
  <si>
    <t>07/09/1972</t>
  </si>
  <si>
    <t>03/27/1951</t>
  </si>
  <si>
    <t>09/04/1959</t>
  </si>
  <si>
    <t>06/13/1985</t>
  </si>
  <si>
    <t>10/20/1962</t>
  </si>
  <si>
    <t>10/11/1980</t>
  </si>
  <si>
    <t>02/10/1956</t>
  </si>
  <si>
    <t>08/24/1958</t>
  </si>
  <si>
    <t>08/27/1984</t>
  </si>
  <si>
    <t>10/26/1966</t>
  </si>
  <si>
    <t>04/16/1967</t>
  </si>
  <si>
    <t>01/19/1994</t>
  </si>
  <si>
    <t>05/03/1980</t>
  </si>
  <si>
    <t>03/13/1969</t>
  </si>
  <si>
    <t>09/12/1981</t>
  </si>
  <si>
    <t>03/05/1952</t>
  </si>
  <si>
    <t>02/17/1962</t>
  </si>
  <si>
    <t>02/04/1959</t>
  </si>
  <si>
    <t>06/18/1968</t>
  </si>
  <si>
    <t>05/12/1981</t>
  </si>
  <si>
    <t>11/05/1959</t>
  </si>
  <si>
    <t>11/11/1994</t>
  </si>
  <si>
    <t>07/12/1949</t>
  </si>
  <si>
    <t>05/17/1939</t>
  </si>
  <si>
    <t>06/25/1961</t>
  </si>
  <si>
    <t>10/07/1971</t>
  </si>
  <si>
    <t>10/02/1955</t>
  </si>
  <si>
    <t>09/02/1944</t>
  </si>
  <si>
    <t>09/03/1961</t>
  </si>
  <si>
    <t>06/05/1959</t>
  </si>
  <si>
    <t>11/01/1954</t>
  </si>
  <si>
    <t>04/05/1947</t>
  </si>
  <si>
    <t>02/15/1973</t>
  </si>
  <si>
    <t>01/18/1971</t>
  </si>
  <si>
    <t>11/26/1974</t>
  </si>
  <si>
    <t>10/17/1974</t>
  </si>
  <si>
    <t>07/06/1966</t>
  </si>
  <si>
    <t>06/24/1954</t>
  </si>
  <si>
    <t>11/23/1980</t>
  </si>
  <si>
    <t>05/19/1957</t>
  </si>
  <si>
    <t>04/07/1964</t>
  </si>
  <si>
    <t>11/15/1969</t>
  </si>
  <si>
    <t>09/19/1988</t>
  </si>
  <si>
    <t>03/12/1977</t>
  </si>
  <si>
    <t>07/31/1982</t>
  </si>
  <si>
    <t>02/22/1975</t>
  </si>
  <si>
    <t>10/27/1949</t>
  </si>
  <si>
    <t>01/17/1950</t>
  </si>
  <si>
    <t>10/21/1972</t>
  </si>
  <si>
    <t>02/12/1948</t>
  </si>
  <si>
    <t>04/29/1961</t>
  </si>
  <si>
    <t>06/02/1952</t>
  </si>
  <si>
    <t>09/17/1981</t>
  </si>
  <si>
    <t>03/21/1977</t>
  </si>
  <si>
    <t>02/03/1956</t>
  </si>
  <si>
    <t>09/22/1969</t>
  </si>
  <si>
    <t>08/15/1932</t>
  </si>
  <si>
    <t>02/16/1992</t>
  </si>
  <si>
    <t>05/01/1937</t>
  </si>
  <si>
    <t>05/01/1944</t>
  </si>
  <si>
    <t>07/28/1992</t>
  </si>
  <si>
    <t>11/21/1970</t>
  </si>
  <si>
    <t>01/10/1943</t>
  </si>
  <si>
    <t>09/08/1962</t>
  </si>
  <si>
    <t>09/04/1954</t>
  </si>
  <si>
    <t>10/19/1958</t>
  </si>
  <si>
    <t>06/26/1968</t>
  </si>
  <si>
    <t>05/13/1961</t>
  </si>
  <si>
    <t>10/15/1954</t>
  </si>
  <si>
    <t>07/20/1952</t>
  </si>
  <si>
    <t>08/10/1962</t>
  </si>
  <si>
    <t>01/03/1972</t>
  </si>
  <si>
    <t>08/08/1945</t>
  </si>
  <si>
    <t>12/26/1966</t>
  </si>
  <si>
    <t>08/15/1945</t>
  </si>
  <si>
    <t>07/06/1948</t>
  </si>
  <si>
    <t>06/24/1974</t>
  </si>
  <si>
    <t>09/07/1955</t>
  </si>
  <si>
    <t>07/11/1966</t>
  </si>
  <si>
    <t>08/29/1941</t>
  </si>
  <si>
    <t>06/10/1976</t>
  </si>
  <si>
    <t>10/30/1929</t>
  </si>
  <si>
    <t>02/23/1946</t>
  </si>
  <si>
    <t>02/06/1957</t>
  </si>
  <si>
    <t>09/22/1937</t>
  </si>
  <si>
    <t>03/06/1961</t>
  </si>
  <si>
    <t>10/31/1975</t>
  </si>
  <si>
    <t>11/11/1962</t>
  </si>
  <si>
    <t>12/25/1962</t>
  </si>
  <si>
    <t>06/21/1930</t>
  </si>
  <si>
    <t>10/11/1952</t>
  </si>
  <si>
    <t>11/22/1932</t>
  </si>
  <si>
    <t>12/13/1964</t>
  </si>
  <si>
    <t>07/22/1948</t>
  </si>
  <si>
    <t>11/13/1951</t>
  </si>
  <si>
    <t>07/04/1945</t>
  </si>
  <si>
    <t>07/10/1984</t>
  </si>
  <si>
    <t>11/23/1977</t>
  </si>
  <si>
    <t>04/14/1945</t>
  </si>
  <si>
    <t>10/05/1978</t>
  </si>
  <si>
    <t>06/25/1970</t>
  </si>
  <si>
    <t>07/13/1945</t>
  </si>
  <si>
    <t>03/11/1984</t>
  </si>
  <si>
    <t>08/08/1946</t>
  </si>
  <si>
    <t>04/23/1985</t>
  </si>
  <si>
    <t>12/27/1977</t>
  </si>
  <si>
    <t>03/04/1951</t>
  </si>
  <si>
    <t>11/01/1951</t>
  </si>
  <si>
    <t>04/25/1967</t>
  </si>
  <si>
    <t>09/25/1956</t>
  </si>
  <si>
    <t>01/22/1993</t>
  </si>
  <si>
    <t>12/26/1980</t>
  </si>
  <si>
    <t>05/25/1987</t>
  </si>
  <si>
    <t>11/04/1954</t>
  </si>
  <si>
    <t>03/17/1982</t>
  </si>
  <si>
    <t>11/11/1992</t>
  </si>
  <si>
    <t>12/20/1948</t>
  </si>
  <si>
    <t>06/08/1955</t>
  </si>
  <si>
    <t>07/21/1984</t>
  </si>
  <si>
    <t>06/08/1960</t>
  </si>
  <si>
    <t>06/21/1961</t>
  </si>
  <si>
    <t>11/19/1956</t>
  </si>
  <si>
    <t>07/06/1961</t>
  </si>
  <si>
    <t>07/11/1934</t>
  </si>
  <si>
    <t>09/04/1957</t>
  </si>
  <si>
    <t>03/20/1947</t>
  </si>
  <si>
    <t>08/30/1995</t>
  </si>
  <si>
    <t>05/07/1960</t>
  </si>
  <si>
    <t>05/13/1970</t>
  </si>
  <si>
    <t>05/25/1980</t>
  </si>
  <si>
    <t>06/06/1968</t>
  </si>
  <si>
    <t>02/28/1978</t>
  </si>
  <si>
    <t>02/23/1959</t>
  </si>
  <si>
    <t>07/06/1978</t>
  </si>
  <si>
    <t>11/14/1946</t>
  </si>
  <si>
    <t>11/01/1968</t>
  </si>
  <si>
    <t>08/15/1984</t>
  </si>
  <si>
    <t>10/10/1992</t>
  </si>
  <si>
    <t>10/11/1956</t>
  </si>
  <si>
    <t>12/23/1965</t>
  </si>
  <si>
    <t>12/23/1991</t>
  </si>
  <si>
    <t>06/26/1953</t>
  </si>
  <si>
    <t>04/06/1982</t>
  </si>
  <si>
    <t>08/03/1945</t>
  </si>
  <si>
    <t>07/13/1977</t>
  </si>
  <si>
    <t>12/06/1944</t>
  </si>
  <si>
    <t>04/20/1982</t>
  </si>
  <si>
    <t>04/12/1984</t>
  </si>
  <si>
    <t>10/13/1986</t>
  </si>
  <si>
    <t>10/21/1973</t>
  </si>
  <si>
    <t>02/28/1946</t>
  </si>
  <si>
    <t>01/11/1987</t>
  </si>
  <si>
    <t>06/20/1970</t>
  </si>
  <si>
    <t>09/25/1950</t>
  </si>
  <si>
    <t>03/13/1952</t>
  </si>
  <si>
    <t>05/17/1969</t>
  </si>
  <si>
    <t>02/26/1951</t>
  </si>
  <si>
    <t>03/27/1964</t>
  </si>
  <si>
    <t>02/23/1980</t>
  </si>
  <si>
    <t>06/09/1976</t>
  </si>
  <si>
    <t>10/11/1954</t>
  </si>
  <si>
    <t>09/04/1970</t>
  </si>
  <si>
    <t>08/17/1979</t>
  </si>
  <si>
    <t>07/10/1944</t>
  </si>
  <si>
    <t>01/28/1998</t>
  </si>
  <si>
    <t>11/03/1968</t>
  </si>
  <si>
    <t>09/28/1973</t>
  </si>
  <si>
    <t>12/04/1953</t>
  </si>
  <si>
    <t>09/26/1962</t>
  </si>
  <si>
    <t>01/17/1966</t>
  </si>
  <si>
    <t>09/27/1985</t>
  </si>
  <si>
    <t>02/17/1980</t>
  </si>
  <si>
    <t>09/25/1969</t>
  </si>
  <si>
    <t>07/14/1974</t>
  </si>
  <si>
    <t>02/26/1995</t>
  </si>
  <si>
    <t>09/19/1961</t>
  </si>
  <si>
    <t>09/22/1980</t>
  </si>
  <si>
    <t>04/12/1969</t>
  </si>
  <si>
    <t>04/03/1959</t>
  </si>
  <si>
    <t>01/05/1966</t>
  </si>
  <si>
    <t>11/17/1982</t>
  </si>
  <si>
    <t>03/10/1937</t>
  </si>
  <si>
    <t>12/15/1955</t>
  </si>
  <si>
    <t>05/17/1995</t>
  </si>
  <si>
    <t>01/27/1954</t>
  </si>
  <si>
    <t>10/16/1985</t>
  </si>
  <si>
    <t>02/17/1950</t>
  </si>
  <si>
    <t>11/20/1983</t>
  </si>
  <si>
    <t>09/10/1965</t>
  </si>
  <si>
    <t>05/08/1944</t>
  </si>
  <si>
    <t>01/16/1940</t>
  </si>
  <si>
    <t>01/03/1959</t>
  </si>
  <si>
    <t>11/06/1983</t>
  </si>
  <si>
    <t>05/24/1979</t>
  </si>
  <si>
    <t>02/07/1958</t>
  </si>
  <si>
    <t>10/01/1962</t>
  </si>
  <si>
    <t>05/27/1953</t>
  </si>
  <si>
    <t>07/06/1984</t>
  </si>
  <si>
    <t>11/08/1972</t>
  </si>
  <si>
    <t>06/22/1978</t>
  </si>
  <si>
    <t>05/06/1986</t>
  </si>
  <si>
    <t>03/02/1974</t>
  </si>
  <si>
    <t>02/24/1954</t>
  </si>
  <si>
    <t>11/17/1971</t>
  </si>
  <si>
    <t>12/25/1986</t>
  </si>
  <si>
    <t>01/19/1977</t>
  </si>
  <si>
    <t>01/10/1988</t>
  </si>
  <si>
    <t>10/26/1942</t>
  </si>
  <si>
    <t>12/31/1957</t>
  </si>
  <si>
    <t>02/25/1989</t>
  </si>
  <si>
    <t>04/29/1946</t>
  </si>
  <si>
    <t>02/05/1985</t>
  </si>
  <si>
    <t>07/20/1959</t>
  </si>
  <si>
    <t>06/23/1960</t>
  </si>
  <si>
    <t>10/01/1982</t>
  </si>
  <si>
    <t>05/14/1986</t>
  </si>
  <si>
    <t>07/10/1982</t>
  </si>
  <si>
    <t>10/03/1990</t>
  </si>
  <si>
    <t>03/08/1971</t>
  </si>
  <si>
    <t>10/01/1990</t>
  </si>
  <si>
    <t>02/07/1934</t>
  </si>
  <si>
    <t>04/14/1967</t>
  </si>
  <si>
    <t>06/30/1986</t>
  </si>
  <si>
    <t>12/08/1938</t>
  </si>
  <si>
    <t>05/08/1971</t>
  </si>
  <si>
    <t>07/09/1979</t>
  </si>
  <si>
    <t>05/22/1966</t>
  </si>
  <si>
    <t>07/18/1950</t>
  </si>
  <si>
    <t>09/15/1948</t>
  </si>
  <si>
    <t>06/30/1960</t>
  </si>
  <si>
    <t>08/17/1990</t>
  </si>
  <si>
    <t>12/15/1960</t>
  </si>
  <si>
    <t>06/11/1971</t>
  </si>
  <si>
    <t>01/15/1952</t>
  </si>
  <si>
    <t>10/24/1971</t>
  </si>
  <si>
    <t>03/30/1980</t>
  </si>
  <si>
    <t>01/23/1970</t>
  </si>
  <si>
    <t>11/07/1956</t>
  </si>
  <si>
    <t>01/01/1986</t>
  </si>
  <si>
    <t>05/03/1956</t>
  </si>
  <si>
    <t>05/21/1970</t>
  </si>
  <si>
    <t>11/25/1968</t>
  </si>
  <si>
    <t>05/31/1962</t>
  </si>
  <si>
    <t>07/20/1986</t>
  </si>
  <si>
    <t>09/25/1971</t>
  </si>
  <si>
    <t>05/05/1953</t>
  </si>
  <si>
    <t>03/30/1993</t>
  </si>
  <si>
    <t>06/06/1946</t>
  </si>
  <si>
    <t>12/30/1944</t>
  </si>
  <si>
    <t>07/07/1956</t>
  </si>
  <si>
    <t>01/29/1963</t>
  </si>
  <si>
    <t>06/04/1980</t>
  </si>
  <si>
    <t>02/16/1982</t>
  </si>
  <si>
    <t>10/21/1967</t>
  </si>
  <si>
    <t>08/20/1998</t>
  </si>
  <si>
    <t>03/30/1936</t>
  </si>
  <si>
    <t>03/29/1954</t>
  </si>
  <si>
    <t>03/23/1965</t>
  </si>
  <si>
    <t>12/05/1963</t>
  </si>
  <si>
    <t>12/18/1943</t>
  </si>
  <si>
    <t>11/07/1966</t>
  </si>
  <si>
    <t>01/14/1968</t>
  </si>
  <si>
    <t>05/05/1950</t>
  </si>
  <si>
    <t>02/20/1971</t>
  </si>
  <si>
    <t>03/03/1938</t>
  </si>
  <si>
    <t>03/14/1996</t>
  </si>
  <si>
    <t>09/06/1967</t>
  </si>
  <si>
    <t>06/11/1987</t>
  </si>
  <si>
    <t>08/03/1971</t>
  </si>
  <si>
    <t>01/14/1956</t>
  </si>
  <si>
    <t>02/01/1956</t>
  </si>
  <si>
    <t>01/01/1969</t>
  </si>
  <si>
    <t>07/09/1969</t>
  </si>
  <si>
    <t>11/20/1963</t>
  </si>
  <si>
    <t>03/18/1964</t>
  </si>
  <si>
    <t>07/25/1952</t>
  </si>
  <si>
    <t>12/31/1954</t>
  </si>
  <si>
    <t>09/16/1973</t>
  </si>
  <si>
    <t>03/18/1988</t>
  </si>
  <si>
    <t>08/21/1964</t>
  </si>
  <si>
    <t>06/08/1985</t>
  </si>
  <si>
    <t>09/10/1958</t>
  </si>
  <si>
    <t>07/01/1973</t>
  </si>
  <si>
    <t>04/28/1954</t>
  </si>
  <si>
    <t>03/14/1959</t>
  </si>
  <si>
    <t>10/25/1963</t>
  </si>
  <si>
    <t>10/30/1956</t>
  </si>
  <si>
    <t>07/16/1975</t>
  </si>
  <si>
    <t>08/05/1958</t>
  </si>
  <si>
    <t>04/20/1958</t>
  </si>
  <si>
    <t>04/17/1987</t>
  </si>
  <si>
    <t>11/30/1953</t>
  </si>
  <si>
    <t>11/03/1988</t>
  </si>
  <si>
    <t>01/19/1992</t>
  </si>
  <si>
    <t>02/13/1976</t>
  </si>
  <si>
    <t>01/31/1995</t>
  </si>
  <si>
    <t>10/13/1985</t>
  </si>
  <si>
    <t>06/06/1995</t>
  </si>
  <si>
    <t>11/21/1954</t>
  </si>
  <si>
    <t>07/06/1947</t>
  </si>
  <si>
    <t>02/08/1984</t>
  </si>
  <si>
    <t>12/11/1974</t>
  </si>
  <si>
    <t>01/08/1987</t>
  </si>
  <si>
    <t>04/01/1983</t>
  </si>
  <si>
    <t>09/22/1975</t>
  </si>
  <si>
    <t>09/15/1991</t>
  </si>
  <si>
    <t>06/22/1973</t>
  </si>
  <si>
    <t>01/12/1980</t>
  </si>
  <si>
    <t>04/05/1972</t>
  </si>
  <si>
    <t>06/20/1993</t>
  </si>
  <si>
    <t>12/17/1956</t>
  </si>
  <si>
    <t>10/11/1984</t>
  </si>
  <si>
    <t>10/27/1991</t>
  </si>
  <si>
    <t>03/25/1954</t>
  </si>
  <si>
    <t>04/05/1985</t>
  </si>
  <si>
    <t>08/02/1985</t>
  </si>
  <si>
    <t>12/25/1970</t>
  </si>
  <si>
    <t>07/20/1967</t>
  </si>
  <si>
    <t>01/19/1982</t>
  </si>
  <si>
    <t>02/25/1979</t>
  </si>
  <si>
    <t>04/22/1956</t>
  </si>
  <si>
    <t>12/29/1989</t>
  </si>
  <si>
    <t>10/16/1979</t>
  </si>
  <si>
    <t>09/03/1983</t>
  </si>
  <si>
    <t>09/07/1973</t>
  </si>
  <si>
    <t>03/20/1973</t>
  </si>
  <si>
    <t>11/20/1990</t>
  </si>
  <si>
    <t>08/16/1964</t>
  </si>
  <si>
    <t>09/23/1949</t>
  </si>
  <si>
    <t>03/27/1949</t>
  </si>
  <si>
    <t>10/27/1973</t>
  </si>
  <si>
    <t>07/01/1979</t>
  </si>
  <si>
    <t>08/11/1962</t>
  </si>
  <si>
    <t>10/31/1963</t>
  </si>
  <si>
    <t>11/07/1962</t>
  </si>
  <si>
    <t>11/11/1991</t>
  </si>
  <si>
    <t>05/30/1976</t>
  </si>
  <si>
    <t>02/04/1961</t>
  </si>
  <si>
    <t>08/07/1983</t>
  </si>
  <si>
    <t>02/15/1988</t>
  </si>
  <si>
    <t>04/24/1964</t>
  </si>
  <si>
    <t>07/10/1955</t>
  </si>
  <si>
    <t>08/15/1962</t>
  </si>
  <si>
    <t>12/14/1976</t>
  </si>
  <si>
    <t>12/04/1972</t>
  </si>
  <si>
    <t>11/17/1998</t>
  </si>
  <si>
    <t>12/09/1969</t>
  </si>
  <si>
    <t>03/10/1987</t>
  </si>
  <si>
    <t>08/19/1949</t>
  </si>
  <si>
    <t>07/16/1986</t>
  </si>
  <si>
    <t>04/27/1940</t>
  </si>
  <si>
    <t>07/23/1952</t>
  </si>
  <si>
    <t>04/18/1982</t>
  </si>
  <si>
    <t>01/07/1957</t>
  </si>
  <si>
    <t>03/23/1957</t>
  </si>
  <si>
    <t>05/08/1970</t>
  </si>
  <si>
    <t>06/22/1992</t>
  </si>
  <si>
    <t>03/23/1992</t>
  </si>
  <si>
    <t>01/28/1971</t>
  </si>
  <si>
    <t>12/16/1989</t>
  </si>
  <si>
    <t>11/02/1977</t>
  </si>
  <si>
    <t>11/04/1969</t>
  </si>
  <si>
    <t>12/30/1956</t>
  </si>
  <si>
    <t>05/20/1972</t>
  </si>
  <si>
    <t>01/15/1961</t>
  </si>
  <si>
    <t>06/20/1983</t>
  </si>
  <si>
    <t>08/08/1985</t>
  </si>
  <si>
    <t>02/25/1966</t>
  </si>
  <si>
    <t>11/15/1962</t>
  </si>
  <si>
    <t>12/02/1981</t>
  </si>
  <si>
    <t>05/06/1942</t>
  </si>
  <si>
    <t>07/09/1953</t>
  </si>
  <si>
    <t>12/21/1974</t>
  </si>
  <si>
    <t>08/27/1982</t>
  </si>
  <si>
    <t>01/17/1984</t>
  </si>
  <si>
    <t>10/13/1980</t>
  </si>
  <si>
    <t>12/15/1990</t>
  </si>
  <si>
    <t>05/05/1975</t>
  </si>
  <si>
    <t>02/16/1960</t>
  </si>
  <si>
    <t>02/26/1984</t>
  </si>
  <si>
    <t>08/19/1971</t>
  </si>
  <si>
    <t>03/31/1966</t>
  </si>
  <si>
    <t>11/25/1953</t>
  </si>
  <si>
    <t>01/28/1986</t>
  </si>
  <si>
    <t>01/22/1960</t>
  </si>
  <si>
    <t>08/26/1963</t>
  </si>
  <si>
    <t>03/14/1960</t>
  </si>
  <si>
    <t>11/20/1957</t>
  </si>
  <si>
    <t>11/29/1979</t>
  </si>
  <si>
    <t>07/22/1950</t>
  </si>
  <si>
    <t>03/28/1969</t>
  </si>
  <si>
    <t>04/26/1956</t>
  </si>
  <si>
    <t>02/20/1980</t>
  </si>
  <si>
    <t>05/05/1970</t>
  </si>
  <si>
    <t>02/12/1952</t>
  </si>
  <si>
    <t>10/26/1980</t>
  </si>
  <si>
    <t>06/16/1980</t>
  </si>
  <si>
    <t>06/23/1984</t>
  </si>
  <si>
    <t>12/19/1980</t>
  </si>
  <si>
    <t>06/04/1991</t>
  </si>
  <si>
    <t>01/18/1974</t>
  </si>
  <si>
    <t>10/20/1975</t>
  </si>
  <si>
    <t>11/13/1979</t>
  </si>
  <si>
    <t>05/17/1991</t>
  </si>
  <si>
    <t>06/06/1949</t>
  </si>
  <si>
    <t>08/13/1980</t>
  </si>
  <si>
    <t>01/31/1980</t>
  </si>
  <si>
    <t>02/04/1987</t>
  </si>
  <si>
    <t>07/22/1986</t>
  </si>
  <si>
    <t>09/27/1982</t>
  </si>
  <si>
    <t>12/22/1944</t>
  </si>
  <si>
    <t>02/15/1966</t>
  </si>
  <si>
    <t>01/25/1963</t>
  </si>
  <si>
    <t>01/31/1983</t>
  </si>
  <si>
    <t>04/28/1972</t>
  </si>
  <si>
    <t>10/24/1948</t>
  </si>
  <si>
    <t>05/17/1952</t>
  </si>
  <si>
    <t>08/09/1991</t>
  </si>
  <si>
    <t>01/19/1979</t>
  </si>
  <si>
    <t>03/20/1992</t>
  </si>
  <si>
    <t>06/23/1980</t>
  </si>
  <si>
    <t>08/25/1988</t>
  </si>
  <si>
    <t>07/07/1974</t>
  </si>
  <si>
    <t>02/28/1955</t>
  </si>
  <si>
    <t>11/24/1984</t>
  </si>
  <si>
    <t>11/26/1959</t>
  </si>
  <si>
    <t>06/22/1974</t>
  </si>
  <si>
    <t>07/18/1987</t>
  </si>
  <si>
    <t>03/09/1958</t>
  </si>
  <si>
    <t>08/17/1952</t>
  </si>
  <si>
    <t>10/08/1970</t>
  </si>
  <si>
    <t>04/15/1980</t>
  </si>
  <si>
    <t>03/15/1955</t>
  </si>
  <si>
    <t>09/15/1960</t>
  </si>
  <si>
    <t>04/23/1983</t>
  </si>
  <si>
    <t>10/23/1958</t>
  </si>
  <si>
    <t>10/07/1965</t>
  </si>
  <si>
    <t>01/31/1968</t>
  </si>
  <si>
    <t>03/19/1958</t>
  </si>
  <si>
    <t>11/06/1961</t>
  </si>
  <si>
    <t>10/14/1974</t>
  </si>
  <si>
    <t>08/14/1975</t>
  </si>
  <si>
    <t>10/13/1934</t>
  </si>
  <si>
    <t>07/08/1967</t>
  </si>
  <si>
    <t>12/27/1968</t>
  </si>
  <si>
    <t>04/08/1940</t>
  </si>
  <si>
    <t>12/26/1953</t>
  </si>
  <si>
    <t>01/14/1974</t>
  </si>
  <si>
    <t>05/20/1974</t>
  </si>
  <si>
    <t>03/15/1976</t>
  </si>
  <si>
    <t>09/13/1954</t>
  </si>
  <si>
    <t>03/15/1972</t>
  </si>
  <si>
    <t>06/11/1972</t>
  </si>
  <si>
    <t>06/11/1988</t>
  </si>
  <si>
    <t>08/28/1982</t>
  </si>
  <si>
    <t>07/17/1947</t>
  </si>
  <si>
    <t>08/10/1959</t>
  </si>
  <si>
    <t>05/27/1995</t>
  </si>
  <si>
    <t>04/30/1989</t>
  </si>
  <si>
    <t>12/17/1979</t>
  </si>
  <si>
    <t>12/22/1986</t>
  </si>
  <si>
    <t>05/13/1992</t>
  </si>
  <si>
    <t>11/08/1995</t>
  </si>
  <si>
    <t>02/01/1985</t>
  </si>
  <si>
    <t>04/06/1986</t>
  </si>
  <si>
    <t>10/03/1960</t>
  </si>
  <si>
    <t>04/02/1986</t>
  </si>
  <si>
    <t>11/30/1930</t>
  </si>
  <si>
    <t>06/04/1985</t>
  </si>
  <si>
    <t>08/10/1988</t>
  </si>
  <si>
    <t>08/27/1943</t>
  </si>
  <si>
    <t>05/17/1977</t>
  </si>
  <si>
    <t>04/04/1990</t>
  </si>
  <si>
    <t>02/18/1960</t>
  </si>
  <si>
    <t>01/13/1960</t>
  </si>
  <si>
    <t>06/27/1948</t>
  </si>
  <si>
    <t>05/31/1976</t>
  </si>
  <si>
    <t>10/24/1989</t>
  </si>
  <si>
    <t>12/16/1973</t>
  </si>
  <si>
    <t>02/27/1980</t>
  </si>
  <si>
    <t>10/26/1978</t>
  </si>
  <si>
    <t>04/16/1970</t>
  </si>
  <si>
    <t>12/12/1960</t>
  </si>
  <si>
    <t>11/14/1956</t>
  </si>
  <si>
    <t>09/06/1977</t>
  </si>
  <si>
    <t>04/22/1993</t>
  </si>
  <si>
    <t>04/01/1998</t>
  </si>
  <si>
    <t>01/19/1965</t>
  </si>
  <si>
    <t>12/29/1963</t>
  </si>
  <si>
    <t>06/09/1951</t>
  </si>
  <si>
    <t>12/28/1950</t>
  </si>
  <si>
    <t>02/27/1984</t>
  </si>
  <si>
    <t>07/11/1974</t>
  </si>
  <si>
    <t>06/13/1961</t>
  </si>
  <si>
    <t>03/15/1978</t>
  </si>
  <si>
    <t>07/27/1966</t>
  </si>
  <si>
    <t>11/29/1980</t>
  </si>
  <si>
    <t>05/07/1978</t>
  </si>
  <si>
    <t>12/20/1958</t>
  </si>
  <si>
    <t>01/25/1986</t>
  </si>
  <si>
    <t>04/01/1973</t>
  </si>
  <si>
    <t>03/30/1969</t>
  </si>
  <si>
    <t>11/10/1972</t>
  </si>
  <si>
    <t>02/03/1948</t>
  </si>
  <si>
    <t>01/08/1941</t>
  </si>
  <si>
    <t>07/03/1940</t>
  </si>
  <si>
    <t>06/03/1943</t>
  </si>
  <si>
    <t>12/01/1944</t>
  </si>
  <si>
    <t>12/06/1946</t>
  </si>
  <si>
    <t>06/10/1943</t>
  </si>
  <si>
    <t>09/07/1947</t>
  </si>
  <si>
    <t>09/07/1944</t>
  </si>
  <si>
    <t>11/13/1958</t>
  </si>
  <si>
    <t>03/12/1984</t>
  </si>
  <si>
    <t>05/11/1988</t>
  </si>
  <si>
    <t>06/12/1945</t>
  </si>
  <si>
    <t>02/02/1949</t>
  </si>
  <si>
    <t>10/07/1952</t>
  </si>
  <si>
    <t>07/01/1994</t>
  </si>
  <si>
    <t>01/02/1979</t>
  </si>
  <si>
    <t>03/04/1979</t>
  </si>
  <si>
    <t>03/14/1970</t>
  </si>
  <si>
    <t>03/19/1960</t>
  </si>
  <si>
    <t>09/06/1960</t>
  </si>
  <si>
    <t>07/26/1960</t>
  </si>
  <si>
    <t>03/27/1963</t>
  </si>
  <si>
    <t>05/21/1984</t>
  </si>
  <si>
    <t>03/26/2019</t>
  </si>
  <si>
    <t>07/31/1981</t>
  </si>
  <si>
    <t>04/02/1956</t>
  </si>
  <si>
    <t>10/25/1964</t>
  </si>
  <si>
    <t>05/14/1967</t>
  </si>
  <si>
    <t>05/23/1944</t>
  </si>
  <si>
    <t>10/04/1961</t>
  </si>
  <si>
    <t>12/21/1987</t>
  </si>
  <si>
    <t>11/10/1959</t>
  </si>
  <si>
    <t>04/10/1982</t>
  </si>
  <si>
    <t>12/20/1960</t>
  </si>
  <si>
    <t>04/21/1992</t>
  </si>
  <si>
    <t>08/26/1969</t>
  </si>
  <si>
    <t>03/13/1950</t>
  </si>
  <si>
    <t>08/02/1974</t>
  </si>
  <si>
    <t>02/20/1967</t>
  </si>
  <si>
    <t>07/14/1997</t>
  </si>
  <si>
    <t>12/04/1957</t>
  </si>
  <si>
    <t>06/09/1961</t>
  </si>
  <si>
    <t>08/10/1961</t>
  </si>
  <si>
    <t>10/06/1948</t>
  </si>
  <si>
    <t>02/21/1980</t>
  </si>
  <si>
    <t>07/07/1984</t>
  </si>
  <si>
    <t>07/22/1966</t>
  </si>
  <si>
    <t>03/15/1983</t>
  </si>
  <si>
    <t>09/21/1956</t>
  </si>
  <si>
    <t>08/19/1986</t>
  </si>
  <si>
    <t>01/19/1957</t>
  </si>
  <si>
    <t>07/30/1971</t>
  </si>
  <si>
    <t>05/03/1979</t>
  </si>
  <si>
    <t>08/02/1978</t>
  </si>
  <si>
    <t>01/21/1984</t>
  </si>
  <si>
    <t>05/06/1934</t>
  </si>
  <si>
    <t>02/01/1969</t>
  </si>
  <si>
    <t>11/16/1959</t>
  </si>
  <si>
    <t>05/05/1996</t>
  </si>
  <si>
    <t>02/09/1998</t>
  </si>
  <si>
    <t>10/10/1974</t>
  </si>
  <si>
    <t>03/13/1996</t>
  </si>
  <si>
    <t>04/16/1979</t>
  </si>
  <si>
    <t>07/12/1959</t>
  </si>
  <si>
    <t>05/31/1936</t>
  </si>
  <si>
    <t>05/28/1933</t>
  </si>
  <si>
    <t>11/02/1969</t>
  </si>
  <si>
    <t>01/11/1976</t>
  </si>
  <si>
    <t>04/14/1974</t>
  </si>
  <si>
    <t>09/28/1962</t>
  </si>
  <si>
    <t>01/10/1976</t>
  </si>
  <si>
    <t>04/24/1989</t>
  </si>
  <si>
    <t>06/03/1971</t>
  </si>
  <si>
    <t>08/24/1989</t>
  </si>
  <si>
    <t>12/09/1986</t>
  </si>
  <si>
    <t>05/13/1986</t>
  </si>
  <si>
    <t>08/07/1990</t>
  </si>
  <si>
    <t>09/13/1983</t>
  </si>
  <si>
    <t>12/31/1970</t>
  </si>
  <si>
    <t>03/28/1989</t>
  </si>
  <si>
    <t>07/14/1950</t>
  </si>
  <si>
    <t>04/26/1988</t>
  </si>
  <si>
    <t>02/27/1953</t>
  </si>
  <si>
    <t>09/07/1959</t>
  </si>
  <si>
    <t>10/16/1991</t>
  </si>
  <si>
    <t>10/24/1978</t>
  </si>
  <si>
    <t>10/19/1940</t>
  </si>
  <si>
    <t>07/30/1978</t>
  </si>
  <si>
    <t>02/20/1984</t>
  </si>
  <si>
    <t>12/22/1988</t>
  </si>
  <si>
    <t>12/17/1971</t>
  </si>
  <si>
    <t>08/29/1987</t>
  </si>
  <si>
    <t>02/21/1938</t>
  </si>
  <si>
    <t>02/02/1958</t>
  </si>
  <si>
    <t>07/02/1983</t>
  </si>
  <si>
    <t>11/24/1930</t>
  </si>
  <si>
    <t>11/08/1961</t>
  </si>
  <si>
    <t>09/05/1972</t>
  </si>
  <si>
    <t>02/24/1995</t>
  </si>
  <si>
    <t>12/19/1975</t>
  </si>
  <si>
    <t>09/29/1962</t>
  </si>
  <si>
    <t>09/28/1971</t>
  </si>
  <si>
    <t>10/02/1995</t>
  </si>
  <si>
    <t>03/23/1988</t>
  </si>
  <si>
    <t>03/30/1956</t>
  </si>
  <si>
    <t>06/04/1984</t>
  </si>
  <si>
    <t>02/06/1956</t>
  </si>
  <si>
    <t>04/24/1968</t>
  </si>
  <si>
    <t>05/10/1933</t>
  </si>
  <si>
    <t>02/05/1975</t>
  </si>
  <si>
    <t>04/07/1936</t>
  </si>
  <si>
    <t>01/16/1967</t>
  </si>
  <si>
    <t>10/01/1950</t>
  </si>
  <si>
    <t>10/13/1957</t>
  </si>
  <si>
    <t>03/15/1995</t>
  </si>
  <si>
    <t>07/24/1968</t>
  </si>
  <si>
    <t>03/16/1971</t>
  </si>
  <si>
    <t>12/01/1978</t>
  </si>
  <si>
    <t>07/15/1973</t>
  </si>
  <si>
    <t>01/21/1948</t>
  </si>
  <si>
    <t>08/25/1986</t>
  </si>
  <si>
    <t>02/17/1963</t>
  </si>
  <si>
    <t>03/22/1934</t>
  </si>
  <si>
    <t>07/23/1954</t>
  </si>
  <si>
    <t>10/20/1968</t>
  </si>
  <si>
    <t>03/04/1965</t>
  </si>
  <si>
    <t>07/14/1954</t>
  </si>
  <si>
    <t>01/12/1961</t>
  </si>
  <si>
    <t>04/08/1975</t>
  </si>
  <si>
    <t>09/14/1962</t>
  </si>
  <si>
    <t>04/03/1994</t>
  </si>
  <si>
    <t>03/26/1956</t>
  </si>
  <si>
    <t>12/01/1963</t>
  </si>
  <si>
    <t>11/08/1974</t>
  </si>
  <si>
    <t>10/20/1981</t>
  </si>
  <si>
    <t>10/31/1981</t>
  </si>
  <si>
    <t>07/01/1969</t>
  </si>
  <si>
    <t>12/01/1987</t>
  </si>
  <si>
    <t>10/06/1954</t>
  </si>
  <si>
    <t>08/01/1975</t>
  </si>
  <si>
    <t>07/18/1981</t>
  </si>
  <si>
    <t>01/16/1987</t>
  </si>
  <si>
    <t>02/09/1954</t>
  </si>
  <si>
    <t>03/19/1989</t>
  </si>
  <si>
    <t>02/21/1949</t>
  </si>
  <si>
    <t>05/07/1988</t>
  </si>
  <si>
    <t>01/17/1973</t>
  </si>
  <si>
    <t>06/25/1956</t>
  </si>
  <si>
    <t>09/06/1968</t>
  </si>
  <si>
    <t>03/24/1956</t>
  </si>
  <si>
    <t>08/31/1976</t>
  </si>
  <si>
    <t>05/27/1989</t>
  </si>
  <si>
    <t>02/08/1967</t>
  </si>
  <si>
    <t>05/07/1967</t>
  </si>
  <si>
    <t>07/02/1981</t>
  </si>
  <si>
    <t>01/07/1979</t>
  </si>
  <si>
    <t>04/28/1947</t>
  </si>
  <si>
    <t>12/04/1970</t>
  </si>
  <si>
    <t>12/08/1975</t>
  </si>
  <si>
    <t>12/01/1958</t>
  </si>
  <si>
    <t>03/13/1992</t>
  </si>
  <si>
    <t>02/09/1939</t>
  </si>
  <si>
    <t>11/20/1993</t>
  </si>
  <si>
    <t>04/27/1980</t>
  </si>
  <si>
    <t>02/10/1977</t>
  </si>
  <si>
    <t>06/28/1962</t>
  </si>
  <si>
    <t>08/19/1969</t>
  </si>
  <si>
    <t>07/03/1970</t>
  </si>
  <si>
    <t>06/18/1992</t>
  </si>
  <si>
    <t>11/18/1975</t>
  </si>
  <si>
    <t>10/28/1986</t>
  </si>
  <si>
    <t>03/22/1984</t>
  </si>
  <si>
    <t>01/12/1979</t>
  </si>
  <si>
    <t>07/13/1992</t>
  </si>
  <si>
    <t>03/12/1985</t>
  </si>
  <si>
    <t>10/01/1986</t>
  </si>
  <si>
    <t>02/18/1942</t>
  </si>
  <si>
    <t>11/26/1964</t>
  </si>
  <si>
    <t>02/03/1966</t>
  </si>
  <si>
    <t>01/22/1953</t>
  </si>
  <si>
    <t>05/07/1974</t>
  </si>
  <si>
    <t>08/05/1992</t>
  </si>
  <si>
    <t>11/13/1969</t>
  </si>
  <si>
    <t>05/03/1968</t>
  </si>
  <si>
    <t>05/19/1959</t>
  </si>
  <si>
    <t>01/11/1991</t>
  </si>
  <si>
    <t>07/01/1943</t>
  </si>
  <si>
    <t>08/22/1960</t>
  </si>
  <si>
    <t>03/16/1986</t>
  </si>
  <si>
    <t>03/23/1959</t>
  </si>
  <si>
    <t>02/04/1956</t>
  </si>
  <si>
    <t>08/02/1976</t>
  </si>
  <si>
    <t>12/25/1958</t>
  </si>
  <si>
    <t>04/20/1968</t>
  </si>
  <si>
    <t>02/16/1962</t>
  </si>
  <si>
    <t>09/23/1987</t>
  </si>
  <si>
    <t>01/21/1958</t>
  </si>
  <si>
    <t>02/03/1955</t>
  </si>
  <si>
    <t>01/12/1981</t>
  </si>
  <si>
    <t>05/09/1990</t>
  </si>
  <si>
    <t>03/07/1962</t>
  </si>
  <si>
    <t>12/28/1957</t>
  </si>
  <si>
    <t>07/10/1971</t>
  </si>
  <si>
    <t>11/02/1954</t>
  </si>
  <si>
    <t>09/13/1956</t>
  </si>
  <si>
    <t>08/17/1975</t>
  </si>
  <si>
    <t>11/21/1985</t>
  </si>
  <si>
    <t>12/17/1989</t>
  </si>
  <si>
    <t>12/01/1995</t>
  </si>
  <si>
    <t>02/25/1969</t>
  </si>
  <si>
    <t>07/28/1942</t>
  </si>
  <si>
    <t>07/03/1964</t>
  </si>
  <si>
    <t>04/27/1990</t>
  </si>
  <si>
    <t>06/21/1963</t>
  </si>
  <si>
    <t>08/21/1991</t>
  </si>
  <si>
    <t>01/16/1981</t>
  </si>
  <si>
    <t>10/18/1987</t>
  </si>
  <si>
    <t>10/15/1983</t>
  </si>
  <si>
    <t>09/26/1984</t>
  </si>
  <si>
    <t>06/08/1965</t>
  </si>
  <si>
    <t>01/31/1984</t>
  </si>
  <si>
    <t>06/08/1964</t>
  </si>
  <si>
    <t>09/16/1968</t>
  </si>
  <si>
    <t>02/23/1981</t>
  </si>
  <si>
    <t>04/11/1991</t>
  </si>
  <si>
    <t>10/03/1969</t>
  </si>
  <si>
    <t>06/16/1955</t>
  </si>
  <si>
    <t>11/30/1979</t>
  </si>
  <si>
    <t>12/13/1946</t>
  </si>
  <si>
    <t>07/06/1955</t>
  </si>
  <si>
    <t>08/23/1987</t>
  </si>
  <si>
    <t>06/17/1965</t>
  </si>
  <si>
    <t>01/12/1941</t>
  </si>
  <si>
    <t>07/24/1981</t>
  </si>
  <si>
    <t>05/12/1988</t>
  </si>
  <si>
    <t>01/10/1961</t>
  </si>
  <si>
    <t>04/12/1981</t>
  </si>
  <si>
    <t>07/03/1960</t>
  </si>
  <si>
    <t>05/25/1992</t>
  </si>
  <si>
    <t>09/21/1981</t>
  </si>
  <si>
    <t>10/18/1993</t>
  </si>
  <si>
    <t>06/09/1958</t>
  </si>
  <si>
    <t>09/14/1958</t>
  </si>
  <si>
    <t>03/07/1977</t>
  </si>
  <si>
    <t>05/11/1991</t>
  </si>
  <si>
    <t>01/15/1963</t>
  </si>
  <si>
    <t>01/24/1969</t>
  </si>
  <si>
    <t>03/01/1982</t>
  </si>
  <si>
    <t>07/14/1981</t>
  </si>
  <si>
    <t>10/11/1955</t>
  </si>
  <si>
    <t>01/16/1990</t>
  </si>
  <si>
    <t>07/22/1953</t>
  </si>
  <si>
    <t>08/29/1979</t>
  </si>
  <si>
    <t>10/08/1981</t>
  </si>
  <si>
    <t>05/15/1965</t>
  </si>
  <si>
    <t>07/09/1961</t>
  </si>
  <si>
    <t>03/10/1956</t>
  </si>
  <si>
    <t>01/01/1971</t>
  </si>
  <si>
    <t>01/01/1951</t>
  </si>
  <si>
    <t>09/13/1968</t>
  </si>
  <si>
    <t>07/06/1921</t>
  </si>
  <si>
    <t>02/23/1955</t>
  </si>
  <si>
    <t>09/06/1955</t>
  </si>
  <si>
    <t>01/23/1985</t>
  </si>
  <si>
    <t>04/07/1950</t>
  </si>
  <si>
    <t>05/21/1947</t>
  </si>
  <si>
    <t>11/15/1973</t>
  </si>
  <si>
    <t>03/04/1968</t>
  </si>
  <si>
    <t>09/14/1976</t>
  </si>
  <si>
    <t>10/29/1954</t>
  </si>
  <si>
    <t>12/04/1996</t>
  </si>
  <si>
    <t>01/26/1943</t>
  </si>
  <si>
    <t>06/13/1960</t>
  </si>
  <si>
    <t>10/20/1965</t>
  </si>
  <si>
    <t>10/08/1968</t>
  </si>
  <si>
    <t>05/24/1966</t>
  </si>
  <si>
    <t>10/31/1971</t>
  </si>
  <si>
    <t>05/12/1942</t>
  </si>
  <si>
    <t>05/14/1952</t>
  </si>
  <si>
    <t>03/08/1972</t>
  </si>
  <si>
    <t>07/20/1961</t>
  </si>
  <si>
    <t>08/03/1988</t>
  </si>
  <si>
    <t>06/15/1979</t>
  </si>
  <si>
    <t>10/20/1959</t>
  </si>
  <si>
    <t>09/13/1938</t>
  </si>
  <si>
    <t>01/14/1946</t>
  </si>
  <si>
    <t>05/07/1977</t>
  </si>
  <si>
    <t>08/19/1979</t>
  </si>
  <si>
    <t>01/04/1965</t>
  </si>
  <si>
    <t>05/24/1942</t>
  </si>
  <si>
    <t>05/10/1989</t>
  </si>
  <si>
    <t>08/24/1962</t>
  </si>
  <si>
    <t>12/19/1970</t>
  </si>
  <si>
    <t>06/02/1935</t>
  </si>
  <si>
    <t>07/13/1963</t>
  </si>
  <si>
    <t>02/14/1993</t>
  </si>
  <si>
    <t>05/29/1976</t>
  </si>
  <si>
    <t>05/09/1959</t>
  </si>
  <si>
    <t>12/24/1996</t>
  </si>
  <si>
    <t>11/05/1957</t>
  </si>
  <si>
    <t>01/10/1955</t>
  </si>
  <si>
    <t>03/15/1948</t>
  </si>
  <si>
    <t>03/02/1946</t>
  </si>
  <si>
    <t>09/02/1991</t>
  </si>
  <si>
    <t>01/22/1982</t>
  </si>
  <si>
    <t>04/26/1968</t>
  </si>
  <si>
    <t>04/20/1983</t>
  </si>
  <si>
    <t>01/09/1965</t>
  </si>
  <si>
    <t>08/10/1982</t>
  </si>
  <si>
    <t>03/17/1934</t>
  </si>
  <si>
    <t>08/18/1974</t>
  </si>
  <si>
    <t>11/18/1986</t>
  </si>
  <si>
    <t>07/06/1958</t>
  </si>
  <si>
    <t>05/08/1979</t>
  </si>
  <si>
    <t>01/29/1978</t>
  </si>
  <si>
    <t>10/02/1968</t>
  </si>
  <si>
    <t>06/06/1976</t>
  </si>
  <si>
    <t>11/29/1950</t>
  </si>
  <si>
    <t>07/26/1963</t>
  </si>
  <si>
    <t>10/03/1939</t>
  </si>
  <si>
    <t>09/21/1958</t>
  </si>
  <si>
    <t>05/27/1975</t>
  </si>
  <si>
    <t>06/06/1978</t>
  </si>
  <si>
    <t>08/22/1954</t>
  </si>
  <si>
    <t>07/19/1976</t>
  </si>
  <si>
    <t>12/15/1958</t>
  </si>
  <si>
    <t>05/12/2000</t>
  </si>
  <si>
    <t>05/01/1961</t>
  </si>
  <si>
    <t>05/27/1970</t>
  </si>
  <si>
    <t>01/30/1986</t>
  </si>
  <si>
    <t>02/08/1956</t>
  </si>
  <si>
    <t>03/04/1964</t>
  </si>
  <si>
    <t>08/22/1979</t>
  </si>
  <si>
    <t>10/02/1985</t>
  </si>
  <si>
    <t>05/19/1974</t>
  </si>
  <si>
    <t>07/13/1983</t>
  </si>
  <si>
    <t>09/17/1971</t>
  </si>
  <si>
    <t>02/25/1977</t>
  </si>
  <si>
    <t>07/04/1959</t>
  </si>
  <si>
    <t>05/26/1963</t>
  </si>
  <si>
    <t>06/10/1957</t>
  </si>
  <si>
    <t>11/19/1932</t>
  </si>
  <si>
    <t>06/30/1975</t>
  </si>
  <si>
    <t>11/27/1935</t>
  </si>
  <si>
    <t>05/18/1989</t>
  </si>
  <si>
    <t>04/21/1956</t>
  </si>
  <si>
    <t>03/28/1985</t>
  </si>
  <si>
    <t>07/04/1968</t>
  </si>
  <si>
    <t>01/07/1977</t>
  </si>
  <si>
    <t>08/11/1963</t>
  </si>
  <si>
    <t>02/11/1951</t>
  </si>
  <si>
    <t>03/23/1956</t>
  </si>
  <si>
    <t>01/11/1947</t>
  </si>
  <si>
    <t>08/14/2000</t>
  </si>
  <si>
    <t>03/27/1934</t>
  </si>
  <si>
    <t>10/09/1963</t>
  </si>
  <si>
    <t>10/19/1963</t>
  </si>
  <si>
    <t>03/12/1942</t>
  </si>
  <si>
    <t>12/20/1971</t>
  </si>
  <si>
    <t>08/21/1989</t>
  </si>
  <si>
    <t>10/28/1950</t>
  </si>
  <si>
    <t>02/13/1924</t>
  </si>
  <si>
    <t>11/04/1965</t>
  </si>
  <si>
    <t>10/30/1965</t>
  </si>
  <si>
    <t>06/22/1939</t>
  </si>
  <si>
    <t>08/06/1971</t>
  </si>
  <si>
    <t>07/27/1953</t>
  </si>
  <si>
    <t>01/10/1973</t>
  </si>
  <si>
    <t>02/10/1967</t>
  </si>
  <si>
    <t>03/01/1963</t>
  </si>
  <si>
    <t>05/30/1948</t>
  </si>
  <si>
    <t>03/12/1980</t>
  </si>
  <si>
    <t>12/08/1951</t>
  </si>
  <si>
    <t>07/27/1961</t>
  </si>
  <si>
    <t>02/09/1945</t>
  </si>
  <si>
    <t>04/29/1964</t>
  </si>
  <si>
    <t>06/04/1968</t>
  </si>
  <si>
    <t>01/28/1966</t>
  </si>
  <si>
    <t>02/08/1953</t>
  </si>
  <si>
    <t>05/31/1951</t>
  </si>
  <si>
    <t>11/12/1976</t>
  </si>
  <si>
    <t>08/16/1985</t>
  </si>
  <si>
    <t>09/22/1965</t>
  </si>
  <si>
    <t>01/26/1972</t>
  </si>
  <si>
    <t>03/07/1980</t>
  </si>
  <si>
    <t>12/27/1991</t>
  </si>
  <si>
    <t>06/24/1958</t>
  </si>
  <si>
    <t>07/07/1947</t>
  </si>
  <si>
    <t>11/04/1963</t>
  </si>
  <si>
    <t>02/12/1969</t>
  </si>
  <si>
    <t>05/18/1958</t>
  </si>
  <si>
    <t>10/03/1958</t>
  </si>
  <si>
    <t>02/07/1977</t>
  </si>
  <si>
    <t>05/18/1966</t>
  </si>
  <si>
    <t>03/06/1929</t>
  </si>
  <si>
    <t>07/15/1950</t>
  </si>
  <si>
    <t>09/28/1963</t>
  </si>
  <si>
    <t>12/30/1945</t>
  </si>
  <si>
    <t>07/08/1983</t>
  </si>
  <si>
    <t>11/09/1977</t>
  </si>
  <si>
    <t>03/16/1961</t>
  </si>
  <si>
    <t>09/21/1962</t>
  </si>
  <si>
    <t>05/03/1966</t>
  </si>
  <si>
    <t>05/19/1992</t>
  </si>
  <si>
    <t>09/06/1993</t>
  </si>
  <si>
    <t>05/02/1960</t>
  </si>
  <si>
    <t>08/09/1959</t>
  </si>
  <si>
    <t>02/28/1977</t>
  </si>
  <si>
    <t>10/26/1931</t>
  </si>
  <si>
    <t>12/03/1973</t>
  </si>
  <si>
    <t>03/06/1999</t>
  </si>
  <si>
    <t>02/17/1966</t>
  </si>
  <si>
    <t>05/29/1973</t>
  </si>
  <si>
    <t>11/01/1963</t>
  </si>
  <si>
    <t>09/29/1968</t>
  </si>
  <si>
    <t>05/08/1943</t>
  </si>
  <si>
    <t>01/04/1961</t>
  </si>
  <si>
    <t>05/25/1973</t>
  </si>
  <si>
    <t>10/22/1955</t>
  </si>
  <si>
    <t>10/07/1968</t>
  </si>
  <si>
    <t>05/04/1971</t>
  </si>
  <si>
    <t>03/28/1955</t>
  </si>
  <si>
    <t>11/13/1962</t>
  </si>
  <si>
    <t>05/15/1958</t>
  </si>
  <si>
    <t>09/24/1954</t>
  </si>
  <si>
    <t>12/28/1965</t>
  </si>
  <si>
    <t>11/13/1967</t>
  </si>
  <si>
    <t>01/08/1975</t>
  </si>
  <si>
    <t>10/01/1989</t>
  </si>
  <si>
    <t>04/04/1952</t>
  </si>
  <si>
    <t>06/18/1981</t>
  </si>
  <si>
    <t>12/01/1980</t>
  </si>
  <si>
    <t>07/27/1958</t>
  </si>
  <si>
    <t>05/18/1957</t>
  </si>
  <si>
    <t>05/19/1971</t>
  </si>
  <si>
    <t>04/18/1937</t>
  </si>
  <si>
    <t>06/11/1965</t>
  </si>
  <si>
    <t>03/10/1958</t>
  </si>
  <si>
    <t>07/21/1939</t>
  </si>
  <si>
    <t>03/11/1959</t>
  </si>
  <si>
    <t>03/23/1963</t>
  </si>
  <si>
    <t>07/14/1971</t>
  </si>
  <si>
    <t>12/14/1977</t>
  </si>
  <si>
    <t>10/24/1968</t>
  </si>
  <si>
    <t>06/16/1967</t>
  </si>
  <si>
    <t>08/10/1960</t>
  </si>
  <si>
    <t>06/25/1989</t>
  </si>
  <si>
    <t>07/11/1953</t>
  </si>
  <si>
    <t>08/21/1962</t>
  </si>
  <si>
    <t>07/25/1964</t>
  </si>
  <si>
    <t>08/19/1960</t>
  </si>
  <si>
    <t>04/02/1964</t>
  </si>
  <si>
    <t>02/13/1965</t>
  </si>
  <si>
    <t>12/02/1954</t>
  </si>
  <si>
    <t>05/25/1966</t>
  </si>
  <si>
    <t>03/21/1959</t>
  </si>
  <si>
    <t>04/17/1971</t>
  </si>
  <si>
    <t>07/19/1939</t>
  </si>
  <si>
    <t>04/04/1958</t>
  </si>
  <si>
    <t>09/22/1958</t>
  </si>
  <si>
    <t>05/21/1961</t>
  </si>
  <si>
    <t>10/10/1960</t>
  </si>
  <si>
    <t>10/20/1954</t>
  </si>
  <si>
    <t>10/21/1951</t>
  </si>
  <si>
    <t>12/06/1979</t>
  </si>
  <si>
    <t>06/16/1945</t>
  </si>
  <si>
    <t>03/21/1956</t>
  </si>
  <si>
    <t>06/18/1977</t>
  </si>
  <si>
    <t>06/13/1945</t>
  </si>
  <si>
    <t>01/15/1958</t>
  </si>
  <si>
    <t>01/15/1964</t>
  </si>
  <si>
    <t>08/17/1973</t>
  </si>
  <si>
    <t>04/18/1959</t>
  </si>
  <si>
    <t>04/22/1934</t>
  </si>
  <si>
    <t>08/26/1956</t>
  </si>
  <si>
    <t>03/29/1937</t>
  </si>
  <si>
    <t>07/12/1962</t>
  </si>
  <si>
    <t>08/06/1977</t>
  </si>
  <si>
    <t>06/28/1971</t>
  </si>
  <si>
    <t>10/08/1947</t>
  </si>
  <si>
    <t>01/14/1969</t>
  </si>
  <si>
    <t>02/08/1966</t>
  </si>
  <si>
    <t>06/09/1967</t>
  </si>
  <si>
    <t>07/04/1979</t>
  </si>
  <si>
    <t>01/02/1968</t>
  </si>
  <si>
    <t>11/15/1945</t>
  </si>
  <si>
    <t>05/08/1974</t>
  </si>
  <si>
    <t>08/07/1956</t>
  </si>
  <si>
    <t>01/03/1974</t>
  </si>
  <si>
    <t>03/27/1953</t>
  </si>
  <si>
    <t>10/18/1965</t>
  </si>
  <si>
    <t>04/22/1957</t>
  </si>
  <si>
    <t>08/18/1954</t>
  </si>
  <si>
    <t>11/08/1952</t>
  </si>
  <si>
    <t>09/08/1991</t>
  </si>
  <si>
    <t>04/28/1938</t>
  </si>
  <si>
    <t>11/03/1985</t>
  </si>
  <si>
    <t>02/17/1941</t>
  </si>
  <si>
    <t>11/23/1962</t>
  </si>
  <si>
    <t>05/05/1971</t>
  </si>
  <si>
    <t>11/08/1968</t>
  </si>
  <si>
    <t>11/10/1939</t>
  </si>
  <si>
    <t>10/06/1960</t>
  </si>
  <si>
    <t>12/20/1961</t>
  </si>
  <si>
    <t>09/17/1972</t>
  </si>
  <si>
    <t>03/10/1962</t>
  </si>
  <si>
    <t>05/25/1969</t>
  </si>
  <si>
    <t>04/07/1974</t>
  </si>
  <si>
    <t>05/02/1932</t>
  </si>
  <si>
    <t>09/14/1969</t>
  </si>
  <si>
    <t>06/04/1974</t>
  </si>
  <si>
    <t>09/26/1977</t>
  </si>
  <si>
    <t>10/05/1982</t>
  </si>
  <si>
    <t>06/07/1955</t>
  </si>
  <si>
    <t>10/18/1952</t>
  </si>
  <si>
    <t>07/01/1949</t>
  </si>
  <si>
    <t>05/09/1953</t>
  </si>
  <si>
    <t>02/21/1939</t>
  </si>
  <si>
    <t>03/05/1982</t>
  </si>
  <si>
    <t>04/01/1955</t>
  </si>
  <si>
    <t>03/03/1940</t>
  </si>
  <si>
    <t>04/22/1958</t>
  </si>
  <si>
    <t>02/03/1931</t>
  </si>
  <si>
    <t>05/04/1932</t>
  </si>
  <si>
    <t>10/02/1965</t>
  </si>
  <si>
    <t>10/07/1969</t>
  </si>
  <si>
    <t>06/04/1932</t>
  </si>
  <si>
    <t>02/04/1934</t>
  </si>
  <si>
    <t>03/13/1938</t>
  </si>
  <si>
    <t>07/17/1983</t>
  </si>
  <si>
    <t>12/22/1938</t>
  </si>
  <si>
    <t>11/18/1971</t>
  </si>
  <si>
    <t>05/25/1935</t>
  </si>
  <si>
    <t>09/17/1989</t>
  </si>
  <si>
    <t>05/04/1946</t>
  </si>
  <si>
    <t>01/01/1978</t>
  </si>
  <si>
    <t>05/20/1977</t>
  </si>
  <si>
    <t>10/11/1969</t>
  </si>
  <si>
    <t>02/24/1948</t>
  </si>
  <si>
    <t>10/27/1944</t>
  </si>
  <si>
    <t>10/26/1951</t>
  </si>
  <si>
    <t>05/06/1935</t>
  </si>
  <si>
    <t>06/28/1979</t>
  </si>
  <si>
    <t>01/14/1957</t>
  </si>
  <si>
    <t>02/12/1972</t>
  </si>
  <si>
    <t>11/24/1975</t>
  </si>
  <si>
    <t>09/06/1974</t>
  </si>
  <si>
    <t>03/30/1972</t>
  </si>
  <si>
    <t>06/30/1970</t>
  </si>
  <si>
    <t>09/23/1975</t>
  </si>
  <si>
    <t>05/21/1987</t>
  </si>
  <si>
    <t>04/21/1976</t>
  </si>
  <si>
    <t>09/18/1990</t>
  </si>
  <si>
    <t>12/28/1969</t>
  </si>
  <si>
    <t>12/15/1964</t>
  </si>
  <si>
    <t>07/06/1993</t>
  </si>
  <si>
    <t>07/11/1995</t>
  </si>
  <si>
    <t>05/18/1962</t>
  </si>
  <si>
    <t>01/01/1980</t>
  </si>
  <si>
    <t>01/18/1954</t>
  </si>
  <si>
    <t>09/08/1940</t>
  </si>
  <si>
    <t>10/16/1965</t>
  </si>
  <si>
    <t>12/17/1957</t>
  </si>
  <si>
    <t>09/17/1952</t>
  </si>
  <si>
    <t>01/01/1966</t>
  </si>
  <si>
    <t>07/18/1957</t>
  </si>
  <si>
    <t>01/30/1983</t>
  </si>
  <si>
    <t>03/10/1946</t>
  </si>
  <si>
    <t>07/14/1992</t>
  </si>
  <si>
    <t>12/31/1941</t>
  </si>
  <si>
    <t>08/10/1981</t>
  </si>
  <si>
    <t>10/04/1963</t>
  </si>
  <si>
    <t>07/16/1935</t>
  </si>
  <si>
    <t>08/23/1951</t>
  </si>
  <si>
    <t>12/18/1939</t>
  </si>
  <si>
    <t>12/24/1928</t>
  </si>
  <si>
    <t>03/31/1984</t>
  </si>
  <si>
    <t>01/25/1937</t>
  </si>
  <si>
    <t>03/07/1982</t>
  </si>
  <si>
    <t>05/31/1957</t>
  </si>
  <si>
    <t>05/14/1990</t>
  </si>
  <si>
    <t>06/13/1959</t>
  </si>
  <si>
    <t>09/08/1969</t>
  </si>
  <si>
    <t>12/30/1972</t>
  </si>
  <si>
    <t>12/27/1962</t>
  </si>
  <si>
    <t>01/07/1976</t>
  </si>
  <si>
    <t>10/25/1967</t>
  </si>
  <si>
    <t>09/24/1987</t>
  </si>
  <si>
    <t>01/18/1959</t>
  </si>
  <si>
    <t>01/23/1940</t>
  </si>
  <si>
    <t>07/12/1981</t>
  </si>
  <si>
    <t>11/16/1983</t>
  </si>
  <si>
    <t>10/19/1979</t>
  </si>
  <si>
    <t>10/14/1956</t>
  </si>
  <si>
    <t>06/10/1968</t>
  </si>
  <si>
    <t>03/15/1949</t>
  </si>
  <si>
    <t>01/04/1972</t>
  </si>
  <si>
    <t>07/05/1947</t>
  </si>
  <si>
    <t>01/09/1959</t>
  </si>
  <si>
    <t>07/08/1974</t>
  </si>
  <si>
    <t>03/12/1967</t>
  </si>
  <si>
    <t>02/15/1965</t>
  </si>
  <si>
    <t>08/04/1955</t>
  </si>
  <si>
    <t>11/08/1959</t>
  </si>
  <si>
    <t>02/16/1968</t>
  </si>
  <si>
    <t>06/29/1970</t>
  </si>
  <si>
    <t>08/08/1970</t>
  </si>
  <si>
    <t>06/15/1969</t>
  </si>
  <si>
    <t>11/13/1948</t>
  </si>
  <si>
    <t>011273180H</t>
  </si>
  <si>
    <t>009183291F</t>
  </si>
  <si>
    <t>005506277C</t>
  </si>
  <si>
    <t>000-00-0000</t>
  </si>
  <si>
    <t>037007181D</t>
  </si>
  <si>
    <t>Unavailable</t>
  </si>
  <si>
    <t>Will provide</t>
  </si>
  <si>
    <t>1828728E</t>
  </si>
  <si>
    <t>Will Provide</t>
  </si>
  <si>
    <t>037286479D</t>
  </si>
  <si>
    <t>00036916436D</t>
  </si>
  <si>
    <t>000886630D</t>
  </si>
  <si>
    <t>01467041l</t>
  </si>
  <si>
    <t>4791837 A</t>
  </si>
  <si>
    <t>Not available</t>
  </si>
  <si>
    <t>unknown</t>
  </si>
  <si>
    <t>011493631D</t>
  </si>
  <si>
    <t>017848753E</t>
  </si>
  <si>
    <t>4119937D</t>
  </si>
  <si>
    <t>006976669J</t>
  </si>
  <si>
    <t>00037676536I</t>
  </si>
  <si>
    <t>37748289I</t>
  </si>
  <si>
    <t>005423328D</t>
  </si>
  <si>
    <t>018690233E</t>
  </si>
  <si>
    <t>002223632H</t>
  </si>
  <si>
    <t>007277807J</t>
  </si>
  <si>
    <t>010018822G</t>
  </si>
  <si>
    <t>not available</t>
  </si>
  <si>
    <t>009022525B</t>
  </si>
  <si>
    <t>ZE69278W</t>
  </si>
  <si>
    <t>017909948G</t>
  </si>
  <si>
    <t>035554552G</t>
  </si>
  <si>
    <t>4394307-1</t>
  </si>
  <si>
    <t>016224124E</t>
  </si>
  <si>
    <t>00298543A</t>
  </si>
  <si>
    <t>004508204H</t>
  </si>
  <si>
    <t>00036824950E</t>
  </si>
  <si>
    <t>0036982304-01-02</t>
  </si>
  <si>
    <t>6004868724-87241233106</t>
  </si>
  <si>
    <t>Unknown</t>
  </si>
  <si>
    <t>035358990G</t>
  </si>
  <si>
    <t>001780982D</t>
  </si>
  <si>
    <t>037615455F</t>
  </si>
  <si>
    <t>031003426J</t>
  </si>
  <si>
    <t>012024063F</t>
  </si>
  <si>
    <t>012975213F</t>
  </si>
  <si>
    <t>unavailable</t>
  </si>
  <si>
    <t>need to fill in</t>
  </si>
  <si>
    <t>03645232E</t>
  </si>
  <si>
    <t>014709603G</t>
  </si>
  <si>
    <t>000824922J</t>
  </si>
  <si>
    <t>010750702C</t>
  </si>
  <si>
    <t>01862562E</t>
  </si>
  <si>
    <t>006891651J</t>
  </si>
  <si>
    <t>018288231G</t>
  </si>
  <si>
    <t>036862800E</t>
  </si>
  <si>
    <t>035339008B</t>
  </si>
  <si>
    <t>00033547058J</t>
  </si>
  <si>
    <t>037431412I</t>
  </si>
  <si>
    <t>015914465I</t>
  </si>
  <si>
    <t>011861834H</t>
  </si>
  <si>
    <t>037695307B</t>
  </si>
  <si>
    <t>018602407B</t>
  </si>
  <si>
    <t>09264712C</t>
  </si>
  <si>
    <t>037509704F</t>
  </si>
  <si>
    <t>0374077774B</t>
  </si>
  <si>
    <t>37596316C</t>
  </si>
  <si>
    <t>008524279A</t>
  </si>
  <si>
    <t>008592549D</t>
  </si>
  <si>
    <t>017119586A</t>
  </si>
  <si>
    <t>017915849I</t>
  </si>
  <si>
    <t>01107751H</t>
  </si>
  <si>
    <t>023267533A</t>
  </si>
  <si>
    <t>037406577J</t>
  </si>
  <si>
    <t>006427687G</t>
  </si>
  <si>
    <t>037039391A</t>
  </si>
  <si>
    <t>00012472968C</t>
  </si>
  <si>
    <t>010085519G</t>
  </si>
  <si>
    <t>036754541F</t>
  </si>
  <si>
    <t>01776794E</t>
  </si>
  <si>
    <t>016026457I</t>
  </si>
  <si>
    <t>06/30/19</t>
  </si>
  <si>
    <t>ZW14289G</t>
  </si>
  <si>
    <t>030063256J</t>
  </si>
  <si>
    <t>004212638D</t>
  </si>
  <si>
    <t>001997232C</t>
  </si>
  <si>
    <t>033996590H</t>
  </si>
  <si>
    <t>003040946A</t>
  </si>
  <si>
    <t>00018944519A</t>
  </si>
  <si>
    <t>037553977C</t>
  </si>
  <si>
    <t>00037630437E</t>
  </si>
  <si>
    <t>017613933F</t>
  </si>
  <si>
    <t>00715955B</t>
  </si>
  <si>
    <t>000-000-000</t>
  </si>
  <si>
    <t>006507428I</t>
  </si>
  <si>
    <t>00015274875C</t>
  </si>
  <si>
    <t>033616576G</t>
  </si>
  <si>
    <t>018054358J</t>
  </si>
  <si>
    <t>00037032380A</t>
  </si>
  <si>
    <t>037558794G</t>
  </si>
  <si>
    <t>37389573J</t>
  </si>
  <si>
    <t>018809496F</t>
  </si>
  <si>
    <t>009634504G</t>
  </si>
  <si>
    <t>00000339447F</t>
  </si>
  <si>
    <t>30170509B</t>
  </si>
  <si>
    <t>006563880B</t>
  </si>
  <si>
    <t>004178413D</t>
  </si>
  <si>
    <t>00037573172G</t>
  </si>
  <si>
    <t>00003560981H</t>
  </si>
  <si>
    <t>036787492C</t>
  </si>
  <si>
    <t>018543958F</t>
  </si>
  <si>
    <t>018690956A</t>
  </si>
  <si>
    <t>36737827A</t>
  </si>
  <si>
    <t>008432996A</t>
  </si>
  <si>
    <t>005767929C</t>
  </si>
  <si>
    <t>036768450D</t>
  </si>
  <si>
    <t>17165827B</t>
  </si>
  <si>
    <t>012432355B</t>
  </si>
  <si>
    <t>036496246E</t>
  </si>
  <si>
    <t>013477107A</t>
  </si>
  <si>
    <t>011203634I</t>
  </si>
  <si>
    <t>002584409D</t>
  </si>
  <si>
    <t>018228943J</t>
  </si>
  <si>
    <t>36389900G</t>
  </si>
  <si>
    <t>8371332B</t>
  </si>
  <si>
    <t>012620221H</t>
  </si>
  <si>
    <t>016237119J</t>
  </si>
  <si>
    <t>007953647A</t>
  </si>
  <si>
    <t>001909521F</t>
  </si>
  <si>
    <t>017730026G</t>
  </si>
  <si>
    <t>00006196293C</t>
  </si>
  <si>
    <t>014361959B</t>
  </si>
  <si>
    <t>012395272D</t>
  </si>
  <si>
    <t>2822854-C</t>
  </si>
  <si>
    <t>004808453G</t>
  </si>
  <si>
    <t>037545882F</t>
  </si>
  <si>
    <t>009476987E</t>
  </si>
  <si>
    <t>018135352F</t>
  </si>
  <si>
    <t>007814302B</t>
  </si>
  <si>
    <t>011750847D</t>
  </si>
  <si>
    <t>035334200J</t>
  </si>
  <si>
    <t>37439104D</t>
  </si>
  <si>
    <t>006694699H</t>
  </si>
  <si>
    <t>5413932-E</t>
  </si>
  <si>
    <t>9833470-1</t>
  </si>
  <si>
    <t>03031104 G</t>
  </si>
  <si>
    <t>37542346RJ -19</t>
  </si>
  <si>
    <t>001955280B</t>
  </si>
  <si>
    <t>012479728D</t>
  </si>
  <si>
    <t>008414814H</t>
  </si>
  <si>
    <t>WV10058W</t>
  </si>
  <si>
    <t>008560810H</t>
  </si>
  <si>
    <t>37627759G</t>
  </si>
  <si>
    <t>zk82756v</t>
  </si>
  <si>
    <t>not avail</t>
  </si>
  <si>
    <t>013632455F</t>
  </si>
  <si>
    <t>245902C</t>
  </si>
  <si>
    <t>006538139E</t>
  </si>
  <si>
    <t>2171609HCL</t>
  </si>
  <si>
    <t>037556496A</t>
  </si>
  <si>
    <t>37572302A</t>
  </si>
  <si>
    <t>035155121D</t>
  </si>
  <si>
    <t>00037582869G</t>
  </si>
  <si>
    <t>4090525J</t>
  </si>
  <si>
    <t>006652190H</t>
  </si>
  <si>
    <t>005592861I</t>
  </si>
  <si>
    <t>YDA3239E</t>
  </si>
  <si>
    <t>018380468B</t>
  </si>
  <si>
    <t>00037375805B</t>
  </si>
  <si>
    <t>012452283A</t>
  </si>
  <si>
    <t>00037678647B</t>
  </si>
  <si>
    <t>00014570871F</t>
  </si>
  <si>
    <t>5460441I</t>
  </si>
  <si>
    <t>008288738B</t>
  </si>
  <si>
    <t>004076861G</t>
  </si>
  <si>
    <t>011943221J</t>
  </si>
  <si>
    <t>8922173037900</t>
  </si>
  <si>
    <t>070-64-7917</t>
  </si>
  <si>
    <t>000-00-1174</t>
  </si>
  <si>
    <t>000-00-3581</t>
  </si>
  <si>
    <t>000-00-6034</t>
  </si>
  <si>
    <t>000-00-6242</t>
  </si>
  <si>
    <t>000-00-7912</t>
  </si>
  <si>
    <t>057-56-1547</t>
  </si>
  <si>
    <t>070-92-1042</t>
  </si>
  <si>
    <t>075-60-3931</t>
  </si>
  <si>
    <t>077-70-3219</t>
  </si>
  <si>
    <t>080-54-5004</t>
  </si>
  <si>
    <t>087-62-1545</t>
  </si>
  <si>
    <t>087-84-6755</t>
  </si>
  <si>
    <t>088-78-5106</t>
  </si>
  <si>
    <t>090-70-3732</t>
  </si>
  <si>
    <t>094-52-5487</t>
  </si>
  <si>
    <t>094-76-7225</t>
  </si>
  <si>
    <t>098-80-7771</t>
  </si>
  <si>
    <t>099-88-6051</t>
  </si>
  <si>
    <t>105-66-8557</t>
  </si>
  <si>
    <t>110-70-1220</t>
  </si>
  <si>
    <t>112-76-5042</t>
  </si>
  <si>
    <t>122-86-6587</t>
  </si>
  <si>
    <t>123-50-3271</t>
  </si>
  <si>
    <t>123-64-0410</t>
  </si>
  <si>
    <t>125-44-6827</t>
  </si>
  <si>
    <t>127-66-4955</t>
  </si>
  <si>
    <t>128-76-6956</t>
  </si>
  <si>
    <t>131-84-2875</t>
  </si>
  <si>
    <t>133-94-2927</t>
  </si>
  <si>
    <t>134-52-5190</t>
  </si>
  <si>
    <t>194-65-4864</t>
  </si>
  <si>
    <t>502-34-9084</t>
  </si>
  <si>
    <t>547-86-4334</t>
  </si>
  <si>
    <t>581-15-4631</t>
  </si>
  <si>
    <t>879-89-3635</t>
  </si>
  <si>
    <t>900-98-3710</t>
  </si>
  <si>
    <t>021-96-2319</t>
  </si>
  <si>
    <t>760-54-7947</t>
  </si>
  <si>
    <t>000-00-1055</t>
  </si>
  <si>
    <t>000-00-3866</t>
  </si>
  <si>
    <t>000-00-5978</t>
  </si>
  <si>
    <t>000-00-6807</t>
  </si>
  <si>
    <t>040-02-6182</t>
  </si>
  <si>
    <t>050-78-9963</t>
  </si>
  <si>
    <t>053-62-6486</t>
  </si>
  <si>
    <t>072-56-4001</t>
  </si>
  <si>
    <t>080-76-4542</t>
  </si>
  <si>
    <t>087-34-7253</t>
  </si>
  <si>
    <t>088-86-6119</t>
  </si>
  <si>
    <t>089-32-1335</t>
  </si>
  <si>
    <t>097-66-2653</t>
  </si>
  <si>
    <t>098-76-5308</t>
  </si>
  <si>
    <t>102-58-1125</t>
  </si>
  <si>
    <t>104-68-9183</t>
  </si>
  <si>
    <t>109-72-5610</t>
  </si>
  <si>
    <t>115-62-1133</t>
  </si>
  <si>
    <t>117-56-3604</t>
  </si>
  <si>
    <t>117-56-4322</t>
  </si>
  <si>
    <t>124-40-4422</t>
  </si>
  <si>
    <t>124-74-3260</t>
  </si>
  <si>
    <t>131-58-5854</t>
  </si>
  <si>
    <t>153-54-9198</t>
  </si>
  <si>
    <t>242-35-7287</t>
  </si>
  <si>
    <t>578-64-6755</t>
  </si>
  <si>
    <t>580-70-4951</t>
  </si>
  <si>
    <t>583-26-0138</t>
  </si>
  <si>
    <t>617-96-6713</t>
  </si>
  <si>
    <t>672-12-1596</t>
  </si>
  <si>
    <t>851-25-2077</t>
  </si>
  <si>
    <t>086-90-5870</t>
  </si>
  <si>
    <t>000-00-1185</t>
  </si>
  <si>
    <t>000-00-2689</t>
  </si>
  <si>
    <t>051-94-0414</t>
  </si>
  <si>
    <t>054-76-7260</t>
  </si>
  <si>
    <t>062-56-4992</t>
  </si>
  <si>
    <t>074-58-4288</t>
  </si>
  <si>
    <t>075-92-4099</t>
  </si>
  <si>
    <t>079-54-8720</t>
  </si>
  <si>
    <t>080-62-1437</t>
  </si>
  <si>
    <t>084-66-0268</t>
  </si>
  <si>
    <t>097-56-8499</t>
  </si>
  <si>
    <t>097-84-4415</t>
  </si>
  <si>
    <t>109-82-8688</t>
  </si>
  <si>
    <t>120-74-2691</t>
  </si>
  <si>
    <t>126-86-3127</t>
  </si>
  <si>
    <t>131-48-1262</t>
  </si>
  <si>
    <t>247-82-2991</t>
  </si>
  <si>
    <t>486-78-1679</t>
  </si>
  <si>
    <t>567-85-2359</t>
  </si>
  <si>
    <t>580-21-5253</t>
  </si>
  <si>
    <t>581-76-9215</t>
  </si>
  <si>
    <t>584-92-3882</t>
  </si>
  <si>
    <t>933-62-9150</t>
  </si>
  <si>
    <t>099-58-8326</t>
  </si>
  <si>
    <t>153-78-9628</t>
  </si>
  <si>
    <t>050-28-0673</t>
  </si>
  <si>
    <t>100-68-0083</t>
  </si>
  <si>
    <t>505-99-3087</t>
  </si>
  <si>
    <t>000-00-0231</t>
  </si>
  <si>
    <t>000-00-0759</t>
  </si>
  <si>
    <t>000-00-2249</t>
  </si>
  <si>
    <t>000-00-2278</t>
  </si>
  <si>
    <t>000-00-2483</t>
  </si>
  <si>
    <t>000-00-3012</t>
  </si>
  <si>
    <t>000-00-4361</t>
  </si>
  <si>
    <t>000-00-4631</t>
  </si>
  <si>
    <t>000-00-4820</t>
  </si>
  <si>
    <t>000-00-6928</t>
  </si>
  <si>
    <t>000-00-7232</t>
  </si>
  <si>
    <t>000-00-9026</t>
  </si>
  <si>
    <t>000-00-9183</t>
  </si>
  <si>
    <t>000-00-9899</t>
  </si>
  <si>
    <t>029-60-2606</t>
  </si>
  <si>
    <t>054-36-0782</t>
  </si>
  <si>
    <t>056-62-2617</t>
  </si>
  <si>
    <t>064-78-2546</t>
  </si>
  <si>
    <t>066-60-6411</t>
  </si>
  <si>
    <t>069-58-8183</t>
  </si>
  <si>
    <t>069-76-5893</t>
  </si>
  <si>
    <t>071-54-2757</t>
  </si>
  <si>
    <t>072-58-2133</t>
  </si>
  <si>
    <t>072-92-4470</t>
  </si>
  <si>
    <t>078-62-5135</t>
  </si>
  <si>
    <t>083-74-1913</t>
  </si>
  <si>
    <t>085-64-7245</t>
  </si>
  <si>
    <t>087-49-3358</t>
  </si>
  <si>
    <t>093-88-0134</t>
  </si>
  <si>
    <t>095-52-6859</t>
  </si>
  <si>
    <t>098-68-2467</t>
  </si>
  <si>
    <t>101-62-6440</t>
  </si>
  <si>
    <t>101-66-8423</t>
  </si>
  <si>
    <t>104-78-6078</t>
  </si>
  <si>
    <t>108-72-1242</t>
  </si>
  <si>
    <t>116-36-4468</t>
  </si>
  <si>
    <t>116-60-7370</t>
  </si>
  <si>
    <t>120-68-8894</t>
  </si>
  <si>
    <t>123-56-6792</t>
  </si>
  <si>
    <t>126-42-9584</t>
  </si>
  <si>
    <t>126-52-0843</t>
  </si>
  <si>
    <t>126-98-0485</t>
  </si>
  <si>
    <t>128-54-2173</t>
  </si>
  <si>
    <t>133-62-9631</t>
  </si>
  <si>
    <t>139-58-8976</t>
  </si>
  <si>
    <t>244-96-7301</t>
  </si>
  <si>
    <t>581-87-0988</t>
  </si>
  <si>
    <t>582-52-0120</t>
  </si>
  <si>
    <t>582-80-3041</t>
  </si>
  <si>
    <t>870-77-9501</t>
  </si>
  <si>
    <t>056-42-0978</t>
  </si>
  <si>
    <t>059-66-4834</t>
  </si>
  <si>
    <t>000-00-4420</t>
  </si>
  <si>
    <t>107-40-3246</t>
  </si>
  <si>
    <t>000-00-2976</t>
  </si>
  <si>
    <t>109-58-4820</t>
  </si>
  <si>
    <t>052-74-3194</t>
  </si>
  <si>
    <t>053-88-9229</t>
  </si>
  <si>
    <t>056-64-3544</t>
  </si>
  <si>
    <t>130-50-6472</t>
  </si>
  <si>
    <t>000-00-4781</t>
  </si>
  <si>
    <t>000-00-8193</t>
  </si>
  <si>
    <t>095-36-7151</t>
  </si>
  <si>
    <t>133-66-3050</t>
  </si>
  <si>
    <t>632-88-4977</t>
  </si>
  <si>
    <t>000-00-8961</t>
  </si>
  <si>
    <t>111-46-8974</t>
  </si>
  <si>
    <t>000-00-2543</t>
  </si>
  <si>
    <t>000-00-3827</t>
  </si>
  <si>
    <t>000-00-9131</t>
  </si>
  <si>
    <t>000-00-9718</t>
  </si>
  <si>
    <t>054-90-8728</t>
  </si>
  <si>
    <t>072-76-4928</t>
  </si>
  <si>
    <t>082-50-9197</t>
  </si>
  <si>
    <t>096-72-8754</t>
  </si>
  <si>
    <t>115-92-9940</t>
  </si>
  <si>
    <t>146-44-7249</t>
  </si>
  <si>
    <t>134-70-7159</t>
  </si>
  <si>
    <t>000-00-0694</t>
  </si>
  <si>
    <t>052-64-5399</t>
  </si>
  <si>
    <t>055-84-3086</t>
  </si>
  <si>
    <t>064-42-3767</t>
  </si>
  <si>
    <t>091-72-3665</t>
  </si>
  <si>
    <t>098-48-9591</t>
  </si>
  <si>
    <t>088-73-8085</t>
  </si>
  <si>
    <t>051-80-1930</t>
  </si>
  <si>
    <t>084-58-5161</t>
  </si>
  <si>
    <t>099-42-8739</t>
  </si>
  <si>
    <t>127-68-3568</t>
  </si>
  <si>
    <t>279-52-0987</t>
  </si>
  <si>
    <t>371-60-6217</t>
  </si>
  <si>
    <t>580-27-5785</t>
  </si>
  <si>
    <t>678-08-5578</t>
  </si>
  <si>
    <t>092-94-8969</t>
  </si>
  <si>
    <t>096-84-0085</t>
  </si>
  <si>
    <t>124-80-6682</t>
  </si>
  <si>
    <t>138-72-5399</t>
  </si>
  <si>
    <t>566-83-8254</t>
  </si>
  <si>
    <t>073-62-5959</t>
  </si>
  <si>
    <t>000-00-5188</t>
  </si>
  <si>
    <t>000-00-0697</t>
  </si>
  <si>
    <t>000-00-2097</t>
  </si>
  <si>
    <t>000-00-2119</t>
  </si>
  <si>
    <t>000-00-2246</t>
  </si>
  <si>
    <t>000-00-3364</t>
  </si>
  <si>
    <t>000-00-3681</t>
  </si>
  <si>
    <t>000-00-4748</t>
  </si>
  <si>
    <t>000-00-5449</t>
  </si>
  <si>
    <t>000-00-6518</t>
  </si>
  <si>
    <t>000-00-6889</t>
  </si>
  <si>
    <t>029-60-6308</t>
  </si>
  <si>
    <t>050-30-9129</t>
  </si>
  <si>
    <t>054-72-8319</t>
  </si>
  <si>
    <t>056-80-3920</t>
  </si>
  <si>
    <t>069-76-5077</t>
  </si>
  <si>
    <t>071-64-3342</t>
  </si>
  <si>
    <t>077-74-3465</t>
  </si>
  <si>
    <t>080-48-3612</t>
  </si>
  <si>
    <t>080-76-2473</t>
  </si>
  <si>
    <t>081-46-5846</t>
  </si>
  <si>
    <t>081-58-4317</t>
  </si>
  <si>
    <t>082-88-9654</t>
  </si>
  <si>
    <t>083-54-8071</t>
  </si>
  <si>
    <t>084-64-8258</t>
  </si>
  <si>
    <t>085-68-6086</t>
  </si>
  <si>
    <t>085-76-8716</t>
  </si>
  <si>
    <t>090-84-9013</t>
  </si>
  <si>
    <t>102-54-7135</t>
  </si>
  <si>
    <t>103-54-7389</t>
  </si>
  <si>
    <t>103-54-9791</t>
  </si>
  <si>
    <t>104-60-3979</t>
  </si>
  <si>
    <t>107-40-4098</t>
  </si>
  <si>
    <t>108-60-7088</t>
  </si>
  <si>
    <t>119-40-5961</t>
  </si>
  <si>
    <t>119-48-4754</t>
  </si>
  <si>
    <t>119-50-5955</t>
  </si>
  <si>
    <t>119-80-2472</t>
  </si>
  <si>
    <t>120-48-1420</t>
  </si>
  <si>
    <t>124-36-9377</t>
  </si>
  <si>
    <t>124-60-2806</t>
  </si>
  <si>
    <t>124-68-3958</t>
  </si>
  <si>
    <t>124-78-4393</t>
  </si>
  <si>
    <t>125-84-9517</t>
  </si>
  <si>
    <t>126-66-3201</t>
  </si>
  <si>
    <t>127-84-6201</t>
  </si>
  <si>
    <t>129-68-1949</t>
  </si>
  <si>
    <t>130-98-3248</t>
  </si>
  <si>
    <t>131-42-4356</t>
  </si>
  <si>
    <t>133-80-0913</t>
  </si>
  <si>
    <t>133-92-1728</t>
  </si>
  <si>
    <t>145-90-8237</t>
  </si>
  <si>
    <t>160-64-2778</t>
  </si>
  <si>
    <t>247-60-2935</t>
  </si>
  <si>
    <t>463-77-9755</t>
  </si>
  <si>
    <t>552-93-5302</t>
  </si>
  <si>
    <t>729-10-2942</t>
  </si>
  <si>
    <t>829-68-2431</t>
  </si>
  <si>
    <t>105-76-4929</t>
  </si>
  <si>
    <t>112-84-7702</t>
  </si>
  <si>
    <t>120-50-9650</t>
  </si>
  <si>
    <t>137-52-5945</t>
  </si>
  <si>
    <t>581-88-8112</t>
  </si>
  <si>
    <t>309-50-4692</t>
  </si>
  <si>
    <t>063-90-2485</t>
  </si>
  <si>
    <t>067-72-0783</t>
  </si>
  <si>
    <t>119-32-4803</t>
  </si>
  <si>
    <t>099-52-7433</t>
  </si>
  <si>
    <t>071-54-3950</t>
  </si>
  <si>
    <t>098-44-6974</t>
  </si>
  <si>
    <t>098-70-7106</t>
  </si>
  <si>
    <t>581-72-1296</t>
  </si>
  <si>
    <t>073-44-7317</t>
  </si>
  <si>
    <t>100-54-1483</t>
  </si>
  <si>
    <t>075-74-8890</t>
  </si>
  <si>
    <t>062-84-1749</t>
  </si>
  <si>
    <t>127-84-5060</t>
  </si>
  <si>
    <t>000-00-5245</t>
  </si>
  <si>
    <t>000-00-6437</t>
  </si>
  <si>
    <t>096-56-8488</t>
  </si>
  <si>
    <t>104-40-2638</t>
  </si>
  <si>
    <t>104-70-9076</t>
  </si>
  <si>
    <t>124-46-0637</t>
  </si>
  <si>
    <t>131-44-2145</t>
  </si>
  <si>
    <t>500-96-6308</t>
  </si>
  <si>
    <t>113-90-0071</t>
  </si>
  <si>
    <t>113-70-8725</t>
  </si>
  <si>
    <t>000-00-0653</t>
  </si>
  <si>
    <t>173-68-9393</t>
  </si>
  <si>
    <t>105-64-2176</t>
  </si>
  <si>
    <t>000-00-2015</t>
  </si>
  <si>
    <t>000-00-2645</t>
  </si>
  <si>
    <t>000-00-6184</t>
  </si>
  <si>
    <t>000-00-6544</t>
  </si>
  <si>
    <t>000-00-8843</t>
  </si>
  <si>
    <t>057-30-7838</t>
  </si>
  <si>
    <t>058-86-4313</t>
  </si>
  <si>
    <t>071-62-9602</t>
  </si>
  <si>
    <t>079-44-9754</t>
  </si>
  <si>
    <t>083-50-4748</t>
  </si>
  <si>
    <t>100-82-8264</t>
  </si>
  <si>
    <t>103-34-1874</t>
  </si>
  <si>
    <t>103-66-1271</t>
  </si>
  <si>
    <t>115-64-4801</t>
  </si>
  <si>
    <t>129-90-9565</t>
  </si>
  <si>
    <t>583-54-9930</t>
  </si>
  <si>
    <t>064-74-2725</t>
  </si>
  <si>
    <t>000-00-7051</t>
  </si>
  <si>
    <t>032-62-3357</t>
  </si>
  <si>
    <t>102-60-8808</t>
  </si>
  <si>
    <t>072-62-1705</t>
  </si>
  <si>
    <t>059-70-1586</t>
  </si>
  <si>
    <t>121-36-0930</t>
  </si>
  <si>
    <t>000-00-2984</t>
  </si>
  <si>
    <t>092-74-0966</t>
  </si>
  <si>
    <t>092-66-9756</t>
  </si>
  <si>
    <t>093-62-2465</t>
  </si>
  <si>
    <t>073-66-0048</t>
  </si>
  <si>
    <t>323-68-2704</t>
  </si>
  <si>
    <t>000-00-0382</t>
  </si>
  <si>
    <t>000-00-9902</t>
  </si>
  <si>
    <t>398-88-4174</t>
  </si>
  <si>
    <t>000-00-8466</t>
  </si>
  <si>
    <t>488-06-6413</t>
  </si>
  <si>
    <t>091-42-0419</t>
  </si>
  <si>
    <t>069-64-1453</t>
  </si>
  <si>
    <t>082-58-9493</t>
  </si>
  <si>
    <t>129-90-2688</t>
  </si>
  <si>
    <t>126-62-8996</t>
  </si>
  <si>
    <t>000-00-1885</t>
  </si>
  <si>
    <t>000-00-3476</t>
  </si>
  <si>
    <t>053-74-9337</t>
  </si>
  <si>
    <t>085-46-3066</t>
  </si>
  <si>
    <t>125-90-7759</t>
  </si>
  <si>
    <t>103-41-3073</t>
  </si>
  <si>
    <t>000-00-0655</t>
  </si>
  <si>
    <t>000-00-2374</t>
  </si>
  <si>
    <t>000-00-2794</t>
  </si>
  <si>
    <t>000-00-5621</t>
  </si>
  <si>
    <t>000-00-6367</t>
  </si>
  <si>
    <t>000-00-6774</t>
  </si>
  <si>
    <t>000-00-8022</t>
  </si>
  <si>
    <t>051-76-5947</t>
  </si>
  <si>
    <t>053-68-6319</t>
  </si>
  <si>
    <t>061-92-3561</t>
  </si>
  <si>
    <t>062-66-0246</t>
  </si>
  <si>
    <t>064-48-1054</t>
  </si>
  <si>
    <t>064-70-0299</t>
  </si>
  <si>
    <t>065-26-1368</t>
  </si>
  <si>
    <t>066-62-7537</t>
  </si>
  <si>
    <t>066-64-1544</t>
  </si>
  <si>
    <t>069-68-2918</t>
  </si>
  <si>
    <t>070-56-7397</t>
  </si>
  <si>
    <t>072-48-3478</t>
  </si>
  <si>
    <t>075-82-2160</t>
  </si>
  <si>
    <t>082-02-4808</t>
  </si>
  <si>
    <t>083-72-8238</t>
  </si>
  <si>
    <t>084-78-6422</t>
  </si>
  <si>
    <t>086-84-1753</t>
  </si>
  <si>
    <t>087-44-5703</t>
  </si>
  <si>
    <t>088-76-2458</t>
  </si>
  <si>
    <t>095-70-8672</t>
  </si>
  <si>
    <t>098-58-4620</t>
  </si>
  <si>
    <t>098-70-2745</t>
  </si>
  <si>
    <t>105-48-7823</t>
  </si>
  <si>
    <t>106-88-3060</t>
  </si>
  <si>
    <t>107-68-2228</t>
  </si>
  <si>
    <t>107-76-4249</t>
  </si>
  <si>
    <t>113-48-9063</t>
  </si>
  <si>
    <t>115-76-4926</t>
  </si>
  <si>
    <t>125-96-7291</t>
  </si>
  <si>
    <t>126-66-3897</t>
  </si>
  <si>
    <t>126-76-4099</t>
  </si>
  <si>
    <t>128-72-3784</t>
  </si>
  <si>
    <t>130-68-2575</t>
  </si>
  <si>
    <t>131-74-4229</t>
  </si>
  <si>
    <t>582-05-4419</t>
  </si>
  <si>
    <t>582-47-0525</t>
  </si>
  <si>
    <t>582-85-6599</t>
  </si>
  <si>
    <t>625-71-9125</t>
  </si>
  <si>
    <t>769-12-3085</t>
  </si>
  <si>
    <t>057-50-8883</t>
  </si>
  <si>
    <t>000-00-7480</t>
  </si>
  <si>
    <t>055-82-2415</t>
  </si>
  <si>
    <t>091-90-2313</t>
  </si>
  <si>
    <t>083-48-4360</t>
  </si>
  <si>
    <t>158-46-8859</t>
  </si>
  <si>
    <t>000-00-5198</t>
  </si>
  <si>
    <t>000-00-6005</t>
  </si>
  <si>
    <t>025-46-5047</t>
  </si>
  <si>
    <t>040-52-9531</t>
  </si>
  <si>
    <t>049-02-4133</t>
  </si>
  <si>
    <t>050-72-7805</t>
  </si>
  <si>
    <t>052-48-2836</t>
  </si>
  <si>
    <t>055-86-2062</t>
  </si>
  <si>
    <t>058-66-2147</t>
  </si>
  <si>
    <t>059-82-5918</t>
  </si>
  <si>
    <t>069-90-7973</t>
  </si>
  <si>
    <t>071-60-3392</t>
  </si>
  <si>
    <t>076-58-3492</t>
  </si>
  <si>
    <t>080-92-8624</t>
  </si>
  <si>
    <t>082-46-7060</t>
  </si>
  <si>
    <t>091-42-2449</t>
  </si>
  <si>
    <t>093-78-9601</t>
  </si>
  <si>
    <t>101-50-3331</t>
  </si>
  <si>
    <t>104-62-2860</t>
  </si>
  <si>
    <t>107-70-7424</t>
  </si>
  <si>
    <t>112-68-4040</t>
  </si>
  <si>
    <t>119-68-0941</t>
  </si>
  <si>
    <t>126-86-4462</t>
  </si>
  <si>
    <t>131-92-8460</t>
  </si>
  <si>
    <t>206-65-6382</t>
  </si>
  <si>
    <t>247-33-5645</t>
  </si>
  <si>
    <t>262-70-2556</t>
  </si>
  <si>
    <t>583-67-3798</t>
  </si>
  <si>
    <t>584-45-2195</t>
  </si>
  <si>
    <t>804-89-3875</t>
  </si>
  <si>
    <t>865-86-7838</t>
  </si>
  <si>
    <t>090-86-1182</t>
  </si>
  <si>
    <t>000-00-2203</t>
  </si>
  <si>
    <t>000-00-4443</t>
  </si>
  <si>
    <t>000-00-6844</t>
  </si>
  <si>
    <t>050-44-2751</t>
  </si>
  <si>
    <t>051-60-6297</t>
  </si>
  <si>
    <t>055-72-0260</t>
  </si>
  <si>
    <t>058-78-1774</t>
  </si>
  <si>
    <t>063-50-2805</t>
  </si>
  <si>
    <t>064-78-7430</t>
  </si>
  <si>
    <t>073-62-7535</t>
  </si>
  <si>
    <t>074-68-4365</t>
  </si>
  <si>
    <t>076-88-6150</t>
  </si>
  <si>
    <t>078-86-5842</t>
  </si>
  <si>
    <t>082-58-4962</t>
  </si>
  <si>
    <t>082-86-8099</t>
  </si>
  <si>
    <t>083-56-9583</t>
  </si>
  <si>
    <t>085-50-3133</t>
  </si>
  <si>
    <t>086-76-2933</t>
  </si>
  <si>
    <t>088-74-8465</t>
  </si>
  <si>
    <t>098-56-3020</t>
  </si>
  <si>
    <t>100-64-8971</t>
  </si>
  <si>
    <t>103-60-0804</t>
  </si>
  <si>
    <t>106-90-6324</t>
  </si>
  <si>
    <t>110-92-8258</t>
  </si>
  <si>
    <t>111-64-7008</t>
  </si>
  <si>
    <t>118-90-9089</t>
  </si>
  <si>
    <t>122-66-7284</t>
  </si>
  <si>
    <t>134-76-5607</t>
  </si>
  <si>
    <t>170-65-5423</t>
  </si>
  <si>
    <t>200-56-1207</t>
  </si>
  <si>
    <t>245-78-2056</t>
  </si>
  <si>
    <t>323-64-9402</t>
  </si>
  <si>
    <t>562-71-5766</t>
  </si>
  <si>
    <t>582-13-7594</t>
  </si>
  <si>
    <t>584-26-5149</t>
  </si>
  <si>
    <t>584-85-7908</t>
  </si>
  <si>
    <t>592-03-6507</t>
  </si>
  <si>
    <t>598-18-4717</t>
  </si>
  <si>
    <t>777-33-0164</t>
  </si>
  <si>
    <t>073-02-1406</t>
  </si>
  <si>
    <t>065-58-3683</t>
  </si>
  <si>
    <t>114-78-5084</t>
  </si>
  <si>
    <t>130-98-8445</t>
  </si>
  <si>
    <t>000-00-0425</t>
  </si>
  <si>
    <t>000-00-1480</t>
  </si>
  <si>
    <t>000-00-1883</t>
  </si>
  <si>
    <t>000-00-3051</t>
  </si>
  <si>
    <t>000-00-4035</t>
  </si>
  <si>
    <t>000-00-4588</t>
  </si>
  <si>
    <t>000-00-7021</t>
  </si>
  <si>
    <t>000-00-7539</t>
  </si>
  <si>
    <t>000-00-7923</t>
  </si>
  <si>
    <t>000-00-8137</t>
  </si>
  <si>
    <t>000-00-8534</t>
  </si>
  <si>
    <t>060-58-2925</t>
  </si>
  <si>
    <t>066-68-3825</t>
  </si>
  <si>
    <t>071-48-9003</t>
  </si>
  <si>
    <t>071-50-3473</t>
  </si>
  <si>
    <t>072-50-3844</t>
  </si>
  <si>
    <t>072-62-0352</t>
  </si>
  <si>
    <t>073-34-8758</t>
  </si>
  <si>
    <t>076-66-6650</t>
  </si>
  <si>
    <t>078-86-9083</t>
  </si>
  <si>
    <t>082-60-9853</t>
  </si>
  <si>
    <t>082-98-9902</t>
  </si>
  <si>
    <t>083-40-9234</t>
  </si>
  <si>
    <t>084-84-8419</t>
  </si>
  <si>
    <t>087-54-5688</t>
  </si>
  <si>
    <t>088-40-4774</t>
  </si>
  <si>
    <t>088-64-3139</t>
  </si>
  <si>
    <t>091-58-7974</t>
  </si>
  <si>
    <t>091-74-7965</t>
  </si>
  <si>
    <t>092-46-6940</t>
  </si>
  <si>
    <t>093-72-6874</t>
  </si>
  <si>
    <t>094-42-6399</t>
  </si>
  <si>
    <t>096-56-7923</t>
  </si>
  <si>
    <t>096-58-1670</t>
  </si>
  <si>
    <t>103-18-1422</t>
  </si>
  <si>
    <t>103-44-7537</t>
  </si>
  <si>
    <t>106-76-4351</t>
  </si>
  <si>
    <t>108-58-0521</t>
  </si>
  <si>
    <t>111-86-8786</t>
  </si>
  <si>
    <t>116-44-8410</t>
  </si>
  <si>
    <t>121-46-2698</t>
  </si>
  <si>
    <t>124-24-3080</t>
  </si>
  <si>
    <t>124-92-1988</t>
  </si>
  <si>
    <t>132-68-3499</t>
  </si>
  <si>
    <t>145-74-6242</t>
  </si>
  <si>
    <t>193-05-3264</t>
  </si>
  <si>
    <t>213-29-2210</t>
  </si>
  <si>
    <t>273-42-3360</t>
  </si>
  <si>
    <t>431-54-1838</t>
  </si>
  <si>
    <t>453-33-0757</t>
  </si>
  <si>
    <t>491-59-3860</t>
  </si>
  <si>
    <t>731-01-6741</t>
  </si>
  <si>
    <t>000-00-1191</t>
  </si>
  <si>
    <t>119-64-5538</t>
  </si>
  <si>
    <t>123-72-3552</t>
  </si>
  <si>
    <t>099-58-7158</t>
  </si>
  <si>
    <t>121-48-6594</t>
  </si>
  <si>
    <t>576-31-9499</t>
  </si>
  <si>
    <t>581-31-8733</t>
  </si>
  <si>
    <t>729-03-3536</t>
  </si>
  <si>
    <t>105-60-5069</t>
  </si>
  <si>
    <t>000-00-9632</t>
  </si>
  <si>
    <t>041-84-6055</t>
  </si>
  <si>
    <t>051-32-3199</t>
  </si>
  <si>
    <t>061-72-7792</t>
  </si>
  <si>
    <t>062-90-2887</t>
  </si>
  <si>
    <t>072-74-4734</t>
  </si>
  <si>
    <t>076-70-0064</t>
  </si>
  <si>
    <t>084-78-2051</t>
  </si>
  <si>
    <t>098-68-5946</t>
  </si>
  <si>
    <t>100-56-0117</t>
  </si>
  <si>
    <t>105-30-4113</t>
  </si>
  <si>
    <t>122-36-5723</t>
  </si>
  <si>
    <t>350-82-2531</t>
  </si>
  <si>
    <t>000-00-0578</t>
  </si>
  <si>
    <t>057-86-3392</t>
  </si>
  <si>
    <t>133-58-6816</t>
  </si>
  <si>
    <t>582-78-5395</t>
  </si>
  <si>
    <t>106-72-0405</t>
  </si>
  <si>
    <t>108-50-6251</t>
  </si>
  <si>
    <t>126-56-4294</t>
  </si>
  <si>
    <t>000-00-1190</t>
  </si>
  <si>
    <t>109-88-3339</t>
  </si>
  <si>
    <t>118-66-9945</t>
  </si>
  <si>
    <t>000-00-3242</t>
  </si>
  <si>
    <t>000-00-4634</t>
  </si>
  <si>
    <t>000-00-4655</t>
  </si>
  <si>
    <t>000-00-4825</t>
  </si>
  <si>
    <t>000-00-7246</t>
  </si>
  <si>
    <t>000-00-7472</t>
  </si>
  <si>
    <t>052-54-5396</t>
  </si>
  <si>
    <t>075-82-1116</t>
  </si>
  <si>
    <t>085-50-2719</t>
  </si>
  <si>
    <t>100-76-6561</t>
  </si>
  <si>
    <t>101-02-7535</t>
  </si>
  <si>
    <t>111-54-8688</t>
  </si>
  <si>
    <t>119-62-5498</t>
  </si>
  <si>
    <t>579-62-8541</t>
  </si>
  <si>
    <t>045-76-5501</t>
  </si>
  <si>
    <t>227-72-1230</t>
  </si>
  <si>
    <t>000-00-0346</t>
  </si>
  <si>
    <t>000-00-1159</t>
  </si>
  <si>
    <t>000-00-1647</t>
  </si>
  <si>
    <t>000-00-2145</t>
  </si>
  <si>
    <t>000-00-3466</t>
  </si>
  <si>
    <t>000-00-3830</t>
  </si>
  <si>
    <t>000-00-4856</t>
  </si>
  <si>
    <t>000-00-6553</t>
  </si>
  <si>
    <t>000-00-7942</t>
  </si>
  <si>
    <t>000-00-8408</t>
  </si>
  <si>
    <t>000-00-8810</t>
  </si>
  <si>
    <t>000-00-8902</t>
  </si>
  <si>
    <t>000-00-9526</t>
  </si>
  <si>
    <t>053-96-0411</t>
  </si>
  <si>
    <t>053-96-7708</t>
  </si>
  <si>
    <t>056-46-1551</t>
  </si>
  <si>
    <t>056-48-6794</t>
  </si>
  <si>
    <t>057-74-7037</t>
  </si>
  <si>
    <t>060-60-7023</t>
  </si>
  <si>
    <t>060-74-5338</t>
  </si>
  <si>
    <t>064-66-9586</t>
  </si>
  <si>
    <t>064-82-0630</t>
  </si>
  <si>
    <t>072-58-6750</t>
  </si>
  <si>
    <t>072-82-3301</t>
  </si>
  <si>
    <t>073-58-9956</t>
  </si>
  <si>
    <t>074-36-6882</t>
  </si>
  <si>
    <t>074-46-1890</t>
  </si>
  <si>
    <t>077-49-1096</t>
  </si>
  <si>
    <t>078-74-7343</t>
  </si>
  <si>
    <t>079-62-1176</t>
  </si>
  <si>
    <t>080-80-7239</t>
  </si>
  <si>
    <t>082-56-4010</t>
  </si>
  <si>
    <t>083-56-7340</t>
  </si>
  <si>
    <t>083-60-3258</t>
  </si>
  <si>
    <t>091-70-5239</t>
  </si>
  <si>
    <t>093-60-3499</t>
  </si>
  <si>
    <t>096-74-5721</t>
  </si>
  <si>
    <t>097-56-3079</t>
  </si>
  <si>
    <t>098-46-1764</t>
  </si>
  <si>
    <t>104-78-4029</t>
  </si>
  <si>
    <t>104-92-3063</t>
  </si>
  <si>
    <t>106-74-4135</t>
  </si>
  <si>
    <t>108-76-5513</t>
  </si>
  <si>
    <t>111-64-6730</t>
  </si>
  <si>
    <t>112-40-0065</t>
  </si>
  <si>
    <t>114-32-8563</t>
  </si>
  <si>
    <t>116-74-0383</t>
  </si>
  <si>
    <t>117-82-4105</t>
  </si>
  <si>
    <t>119-56-0859</t>
  </si>
  <si>
    <t>121-86-3718</t>
  </si>
  <si>
    <t>122-28-2336</t>
  </si>
  <si>
    <t>123-78-7042</t>
  </si>
  <si>
    <t>124-96-8146</t>
  </si>
  <si>
    <t>126-80-9687</t>
  </si>
  <si>
    <t>157-56-1823</t>
  </si>
  <si>
    <t>174-95-0848</t>
  </si>
  <si>
    <t>324-82-6040</t>
  </si>
  <si>
    <t>359-56-0690</t>
  </si>
  <si>
    <t>377-04-0695</t>
  </si>
  <si>
    <t>477-79-9379</t>
  </si>
  <si>
    <t>582-37-3310</t>
  </si>
  <si>
    <t>586-16-1097</t>
  </si>
  <si>
    <t>593-64-9081</t>
  </si>
  <si>
    <t>660-67-4776</t>
  </si>
  <si>
    <t>670-51-1002</t>
  </si>
  <si>
    <t>731-09-6662</t>
  </si>
  <si>
    <t>735-38-5204</t>
  </si>
  <si>
    <t>758-37-0163</t>
  </si>
  <si>
    <t>823-33-0468</t>
  </si>
  <si>
    <t>885-96-0715</t>
  </si>
  <si>
    <t>069-76-7824</t>
  </si>
  <si>
    <t>071-50-3108</t>
  </si>
  <si>
    <t>126-62-9928</t>
  </si>
  <si>
    <t>132-78-1745</t>
  </si>
  <si>
    <t>492-11-8787</t>
  </si>
  <si>
    <t>582-66-5931</t>
  </si>
  <si>
    <t>583-54-9823</t>
  </si>
  <si>
    <t>132-66-4544</t>
  </si>
  <si>
    <t>000-00-7429</t>
  </si>
  <si>
    <t>001-11-4658</t>
  </si>
  <si>
    <t>065-64-2473</t>
  </si>
  <si>
    <t>066-02-3306</t>
  </si>
  <si>
    <t>073-50-1898</t>
  </si>
  <si>
    <t>081-54-2469</t>
  </si>
  <si>
    <t>101-50-5332</t>
  </si>
  <si>
    <t>105-58-2739</t>
  </si>
  <si>
    <t>106-82-9822</t>
  </si>
  <si>
    <t>110-62-4831</t>
  </si>
  <si>
    <t>126-50-9074</t>
  </si>
  <si>
    <t>132-68-7359</t>
  </si>
  <si>
    <t>409-67-7353</t>
  </si>
  <si>
    <t>417-54-4910</t>
  </si>
  <si>
    <t>584-73-2683</t>
  </si>
  <si>
    <t>000-00-0224</t>
  </si>
  <si>
    <t>000-00-0381</t>
  </si>
  <si>
    <t>000-00-0738</t>
  </si>
  <si>
    <t>000-00-1399</t>
  </si>
  <si>
    <t>000-00-1501</t>
  </si>
  <si>
    <t>000-00-2247</t>
  </si>
  <si>
    <t>000-00-3048</t>
  </si>
  <si>
    <t>000-00-3050</t>
  </si>
  <si>
    <t>000-00-5206</t>
  </si>
  <si>
    <t>000-00-5364</t>
  </si>
  <si>
    <t>000-00-5671</t>
  </si>
  <si>
    <t>000-00-6212</t>
  </si>
  <si>
    <t>000-00-6654</t>
  </si>
  <si>
    <t>000-00-7019</t>
  </si>
  <si>
    <t>000-00-7068</t>
  </si>
  <si>
    <t>000-00-7069</t>
  </si>
  <si>
    <t>000-00-7985</t>
  </si>
  <si>
    <t>000-00-9627</t>
  </si>
  <si>
    <t>009-82-8545</t>
  </si>
  <si>
    <t>040-25-1370</t>
  </si>
  <si>
    <t>050-48-6037</t>
  </si>
  <si>
    <t>052-54-2038</t>
  </si>
  <si>
    <t>054-56-4131</t>
  </si>
  <si>
    <t>054-58-9276</t>
  </si>
  <si>
    <t>054-58-9288</t>
  </si>
  <si>
    <t>054-80-9269</t>
  </si>
  <si>
    <t>055-50-8675</t>
  </si>
  <si>
    <t>055-60-1207</t>
  </si>
  <si>
    <t>055-62-6665</t>
  </si>
  <si>
    <t>059-76-4912</t>
  </si>
  <si>
    <t>059-90-7583</t>
  </si>
  <si>
    <t>063-82-7448</t>
  </si>
  <si>
    <t>066-86-3005</t>
  </si>
  <si>
    <t>068-82-0629</t>
  </si>
  <si>
    <t>068-84-4361</t>
  </si>
  <si>
    <t>072-60-5007</t>
  </si>
  <si>
    <t>073-58-6151</t>
  </si>
  <si>
    <t>076-68-7905</t>
  </si>
  <si>
    <t>079-66-0530</t>
  </si>
  <si>
    <t>079-70-2682</t>
  </si>
  <si>
    <t>080-60-7926</t>
  </si>
  <si>
    <t>080-80-8322</t>
  </si>
  <si>
    <t>081-80-2608</t>
  </si>
  <si>
    <t>084-80-8099</t>
  </si>
  <si>
    <t>088-46-7644</t>
  </si>
  <si>
    <t>088-86-3932</t>
  </si>
  <si>
    <t>089-58-8648</t>
  </si>
  <si>
    <t>091-56-4547</t>
  </si>
  <si>
    <t>092-58-6633</t>
  </si>
  <si>
    <t>095-54-9265</t>
  </si>
  <si>
    <t>095-84-5453</t>
  </si>
  <si>
    <t>096-56-9898</t>
  </si>
  <si>
    <t>097-64-5387</t>
  </si>
  <si>
    <t>100-74-9662</t>
  </si>
  <si>
    <t>102-58-7089</t>
  </si>
  <si>
    <t>102-62-2887</t>
  </si>
  <si>
    <t>102-74-3278</t>
  </si>
  <si>
    <t>102-98-2065</t>
  </si>
  <si>
    <t>103-72-4430</t>
  </si>
  <si>
    <t>106-80-1752</t>
  </si>
  <si>
    <t>107-36-1741</t>
  </si>
  <si>
    <t>109-30-3196</t>
  </si>
  <si>
    <t>109-54-5104</t>
  </si>
  <si>
    <t>109-84-6043</t>
  </si>
  <si>
    <t>111-86-9254</t>
  </si>
  <si>
    <t>112-36-5156</t>
  </si>
  <si>
    <t>112-40-3796</t>
  </si>
  <si>
    <t>114-50-6813</t>
  </si>
  <si>
    <t>114-84-6814</t>
  </si>
  <si>
    <t>115-90-5785</t>
  </si>
  <si>
    <t>117-56-1571</t>
  </si>
  <si>
    <t>117-56-7284</t>
  </si>
  <si>
    <t>117-72-2566</t>
  </si>
  <si>
    <t>119-42-9950</t>
  </si>
  <si>
    <t>122-84-2277</t>
  </si>
  <si>
    <t>127-66-1523</t>
  </si>
  <si>
    <t>127-88-0878</t>
  </si>
  <si>
    <t>128-82-2553</t>
  </si>
  <si>
    <t>130-58-8477</t>
  </si>
  <si>
    <t>134-54-6262</t>
  </si>
  <si>
    <t>134-56-6932</t>
  </si>
  <si>
    <t>134-96-3516</t>
  </si>
  <si>
    <t>141-64-7345</t>
  </si>
  <si>
    <t>141-68-6532</t>
  </si>
  <si>
    <t>156-76-3476</t>
  </si>
  <si>
    <t>159-64-1282</t>
  </si>
  <si>
    <t>180-35-6195</t>
  </si>
  <si>
    <t>181-72-5360</t>
  </si>
  <si>
    <t>194-17-9869</t>
  </si>
  <si>
    <t>240-41-9763</t>
  </si>
  <si>
    <t>244-58-8583</t>
  </si>
  <si>
    <t>245-19-0937</t>
  </si>
  <si>
    <t>245-85-6701</t>
  </si>
  <si>
    <t>255-21-1421</t>
  </si>
  <si>
    <t>270-21-5660</t>
  </si>
  <si>
    <t>371-02-0875</t>
  </si>
  <si>
    <t>407-90-0955</t>
  </si>
  <si>
    <t>459-48-7955</t>
  </si>
  <si>
    <t>575-72-1120</t>
  </si>
  <si>
    <t>597-22-4835</t>
  </si>
  <si>
    <t>730-09-1091</t>
  </si>
  <si>
    <t>823-82-6918</t>
  </si>
  <si>
    <t>109-46-0133</t>
  </si>
  <si>
    <t>051-30-6077</t>
  </si>
  <si>
    <t>130-70-8097</t>
  </si>
  <si>
    <t>000-00-6896</t>
  </si>
  <si>
    <t>058-50-5191</t>
  </si>
  <si>
    <t>070-88-7611</t>
  </si>
  <si>
    <t>088-98-0666</t>
  </si>
  <si>
    <t>126-70-9635</t>
  </si>
  <si>
    <t>127-42-5246</t>
  </si>
  <si>
    <t>000-00-1312</t>
  </si>
  <si>
    <t>000-00-2160</t>
  </si>
  <si>
    <t>000-00-3147</t>
  </si>
  <si>
    <t>000-00-3449</t>
  </si>
  <si>
    <t>000-00-3682</t>
  </si>
  <si>
    <t>000-00-6817</t>
  </si>
  <si>
    <t>000-00-7344</t>
  </si>
  <si>
    <t>000-00-7635</t>
  </si>
  <si>
    <t>000-00-8775</t>
  </si>
  <si>
    <t>000-00-8825</t>
  </si>
  <si>
    <t>029-64-3712</t>
  </si>
  <si>
    <t>038-62-6383</t>
  </si>
  <si>
    <t>052-78-6062</t>
  </si>
  <si>
    <t>054-58-9514</t>
  </si>
  <si>
    <t>064-68-6086</t>
  </si>
  <si>
    <t>065-40-7700</t>
  </si>
  <si>
    <t>067-54-3316</t>
  </si>
  <si>
    <t>069-50-6905</t>
  </si>
  <si>
    <t>070-58-3410</t>
  </si>
  <si>
    <t>071-82-9771</t>
  </si>
  <si>
    <t>072-50-3108</t>
  </si>
  <si>
    <t>072-84-4808</t>
  </si>
  <si>
    <t>072-86-8950</t>
  </si>
  <si>
    <t>075-20-4844</t>
  </si>
  <si>
    <t>075-60-2689</t>
  </si>
  <si>
    <t>078-66-4956</t>
  </si>
  <si>
    <t>079-50-0331</t>
  </si>
  <si>
    <t>080-36-5998</t>
  </si>
  <si>
    <t>081-56-5874</t>
  </si>
  <si>
    <t>082-54-7209</t>
  </si>
  <si>
    <t>082-56-6937</t>
  </si>
  <si>
    <t>090-38-7157</t>
  </si>
  <si>
    <t>091-60-4689</t>
  </si>
  <si>
    <t>093-68-5111</t>
  </si>
  <si>
    <t>094-64-8931</t>
  </si>
  <si>
    <t>096-70-0906</t>
  </si>
  <si>
    <t>097-70-5274</t>
  </si>
  <si>
    <t>100-52-4171</t>
  </si>
  <si>
    <t>102-52-7374</t>
  </si>
  <si>
    <t>102-76-5245</t>
  </si>
  <si>
    <t>104-65-5659</t>
  </si>
  <si>
    <t>110-72-7707</t>
  </si>
  <si>
    <t>112-60-2411</t>
  </si>
  <si>
    <t>112-92-4236</t>
  </si>
  <si>
    <t>113-74-1464</t>
  </si>
  <si>
    <t>115-75-7937</t>
  </si>
  <si>
    <t>117-66-0153</t>
  </si>
  <si>
    <t>118-60-5075</t>
  </si>
  <si>
    <t>121-46-4394</t>
  </si>
  <si>
    <t>124-82-2769</t>
  </si>
  <si>
    <t>127-58-6921</t>
  </si>
  <si>
    <t>129-46-7944</t>
  </si>
  <si>
    <t>129-54-9177</t>
  </si>
  <si>
    <t>131-50-5631</t>
  </si>
  <si>
    <t>143-97-7751</t>
  </si>
  <si>
    <t>150-60-7211</t>
  </si>
  <si>
    <t>192-59-0527</t>
  </si>
  <si>
    <t>208-58-9688</t>
  </si>
  <si>
    <t>249-46-4509</t>
  </si>
  <si>
    <t>255-83-0669</t>
  </si>
  <si>
    <t>425-58-5811</t>
  </si>
  <si>
    <t>582-82-7443</t>
  </si>
  <si>
    <t>599-36-0724</t>
  </si>
  <si>
    <t>729-05-1108</t>
  </si>
  <si>
    <t>058-50-8864</t>
  </si>
  <si>
    <t>084-62-0665</t>
  </si>
  <si>
    <t>140-48-8902</t>
  </si>
  <si>
    <t>623-08-2052</t>
  </si>
  <si>
    <t>000-00-2434</t>
  </si>
  <si>
    <t>115-60-4516</t>
  </si>
  <si>
    <t>070-60-1058</t>
  </si>
  <si>
    <t>059-54-9523</t>
  </si>
  <si>
    <t>103-35-1525</t>
  </si>
  <si>
    <t>119-74-5966</t>
  </si>
  <si>
    <t>583-20-9056</t>
  </si>
  <si>
    <t>000-00-7163</t>
  </si>
  <si>
    <t>055-58-7881</t>
  </si>
  <si>
    <t>064-58-7548</t>
  </si>
  <si>
    <t>066-66-3687</t>
  </si>
  <si>
    <t>581-48-1962</t>
  </si>
  <si>
    <t>590-05-2406</t>
  </si>
  <si>
    <t>000-00-4565</t>
  </si>
  <si>
    <t>025-64-6550</t>
  </si>
  <si>
    <t>032-93-4571</t>
  </si>
  <si>
    <t>040-04-2795</t>
  </si>
  <si>
    <t>052-70-0892</t>
  </si>
  <si>
    <t>076-86-9957</t>
  </si>
  <si>
    <t>085-86-8623</t>
  </si>
  <si>
    <t>093-36-9641</t>
  </si>
  <si>
    <t>096-68-0205</t>
  </si>
  <si>
    <t>106-48-9252</t>
  </si>
  <si>
    <t>107-76-5984</t>
  </si>
  <si>
    <t>134-60-8164</t>
  </si>
  <si>
    <t>209-40-2166</t>
  </si>
  <si>
    <t>578-72-1205</t>
  </si>
  <si>
    <t>584-47-4471</t>
  </si>
  <si>
    <t>101-66-9806</t>
  </si>
  <si>
    <t>112-72-4156</t>
  </si>
  <si>
    <t>078-72-5432</t>
  </si>
  <si>
    <t>584-46-9617</t>
  </si>
  <si>
    <t>125-66-9555</t>
  </si>
  <si>
    <t>130-80-8230</t>
  </si>
  <si>
    <t>073-62-7777</t>
  </si>
  <si>
    <t>118-46-0303</t>
  </si>
  <si>
    <t>249-81-5160</t>
  </si>
  <si>
    <t>591-01-4055</t>
  </si>
  <si>
    <t>592-33-4514</t>
  </si>
  <si>
    <t>071-52-7857</t>
  </si>
  <si>
    <t>080-52-3365</t>
  </si>
  <si>
    <t>000-00-6885</t>
  </si>
  <si>
    <t>121-62-9499</t>
  </si>
  <si>
    <t>108-84-4713</t>
  </si>
  <si>
    <t>054-56-1075</t>
  </si>
  <si>
    <t>077-58-9468</t>
  </si>
  <si>
    <t>097-64-0950</t>
  </si>
  <si>
    <t>051-82-3570</t>
  </si>
  <si>
    <t>000-00-5760</t>
  </si>
  <si>
    <t>125-52-6597</t>
  </si>
  <si>
    <t>000-00-1181</t>
  </si>
  <si>
    <t>000-00-1216</t>
  </si>
  <si>
    <t>000-00-1288</t>
  </si>
  <si>
    <t>000-00-1406</t>
  </si>
  <si>
    <t>000-00-2327</t>
  </si>
  <si>
    <t>000-00-4225</t>
  </si>
  <si>
    <t>000-00-4867</t>
  </si>
  <si>
    <t>000-00-4891</t>
  </si>
  <si>
    <t>000-00-6118</t>
  </si>
  <si>
    <t>000-00-7938</t>
  </si>
  <si>
    <t>000-00-7984</t>
  </si>
  <si>
    <t>000-00-8756</t>
  </si>
  <si>
    <t>000-00-8939</t>
  </si>
  <si>
    <t>000-00-9379</t>
  </si>
  <si>
    <t>029-78-5176</t>
  </si>
  <si>
    <t>050-36-8673</t>
  </si>
  <si>
    <t>053-72-0375</t>
  </si>
  <si>
    <t>054-74-4360</t>
  </si>
  <si>
    <t>055-42-7593</t>
  </si>
  <si>
    <t>055-44-1869</t>
  </si>
  <si>
    <t>055-82-5789</t>
  </si>
  <si>
    <t>058-58-7487</t>
  </si>
  <si>
    <t>061-44-5382</t>
  </si>
  <si>
    <t>064-68-5945</t>
  </si>
  <si>
    <t>064-68-6033</t>
  </si>
  <si>
    <t>065-62-0359</t>
  </si>
  <si>
    <t>065-76-3514</t>
  </si>
  <si>
    <t>069-58-0202</t>
  </si>
  <si>
    <t>070-64-0613</t>
  </si>
  <si>
    <t>071-38-8067</t>
  </si>
  <si>
    <t>071-96-3808</t>
  </si>
  <si>
    <t>075-46-6790</t>
  </si>
  <si>
    <t>077-50-8493</t>
  </si>
  <si>
    <t>078-72-4853</t>
  </si>
  <si>
    <t>079-46-9798</t>
  </si>
  <si>
    <t>080-60-0471</t>
  </si>
  <si>
    <t>084-58-2964</t>
  </si>
  <si>
    <t>084-70-9257</t>
  </si>
  <si>
    <t>085-64-7147</t>
  </si>
  <si>
    <t>087-72-3847</t>
  </si>
  <si>
    <t>088-84-2679</t>
  </si>
  <si>
    <t>092-74-4128</t>
  </si>
  <si>
    <t>092-84-3486</t>
  </si>
  <si>
    <t>093-60-9056</t>
  </si>
  <si>
    <t>093-70-5767</t>
  </si>
  <si>
    <t>095-02-7209</t>
  </si>
  <si>
    <t>095-84-4694</t>
  </si>
  <si>
    <t>096-50-1500</t>
  </si>
  <si>
    <t>096-58-6839</t>
  </si>
  <si>
    <t>096-86-3654</t>
  </si>
  <si>
    <t>098-32-9243</t>
  </si>
  <si>
    <t>099-72-6148</t>
  </si>
  <si>
    <t>099-84-9502</t>
  </si>
  <si>
    <t>102-48-6868</t>
  </si>
  <si>
    <t>102-76-2817</t>
  </si>
  <si>
    <t>103-42-3471</t>
  </si>
  <si>
    <t>109-82-9461</t>
  </si>
  <si>
    <t>113-54-4869</t>
  </si>
  <si>
    <t>114-86-9149</t>
  </si>
  <si>
    <t>115-30-9394</t>
  </si>
  <si>
    <t>115-54-5886</t>
  </si>
  <si>
    <t>118-76-8724</t>
  </si>
  <si>
    <t>120-68-7173</t>
  </si>
  <si>
    <t>125-46-3667</t>
  </si>
  <si>
    <t>126-56-3883</t>
  </si>
  <si>
    <t>129-50-5338</t>
  </si>
  <si>
    <t>130-90-5496</t>
  </si>
  <si>
    <t>134-60-9442</t>
  </si>
  <si>
    <t>134-74-0399</t>
  </si>
  <si>
    <t>151-91-7817</t>
  </si>
  <si>
    <t>215-17-3070</t>
  </si>
  <si>
    <t>233-02-0051</t>
  </si>
  <si>
    <t>245-99-6379</t>
  </si>
  <si>
    <t>263-57-8247</t>
  </si>
  <si>
    <t>312-96-1071</t>
  </si>
  <si>
    <t>317-35-8147</t>
  </si>
  <si>
    <t>384-11-9733</t>
  </si>
  <si>
    <t>416-04-7561</t>
  </si>
  <si>
    <t>435-04-6545</t>
  </si>
  <si>
    <t>478-21-9172</t>
  </si>
  <si>
    <t>584-17-7165</t>
  </si>
  <si>
    <t>658-29-4649</t>
  </si>
  <si>
    <t>687-54-4349</t>
  </si>
  <si>
    <t>842-95-9969</t>
  </si>
  <si>
    <t>057-68-3215</t>
  </si>
  <si>
    <t>065-64-9016</t>
  </si>
  <si>
    <t>068-74-5867</t>
  </si>
  <si>
    <t>082-40-1736</t>
  </si>
  <si>
    <t>082-40-2954</t>
  </si>
  <si>
    <t>083-54-2573</t>
  </si>
  <si>
    <t>083-78-9685</t>
  </si>
  <si>
    <t>091-90-2357</t>
  </si>
  <si>
    <t>092-40-7625</t>
  </si>
  <si>
    <t>096-96-8484</t>
  </si>
  <si>
    <t>103-42-8843</t>
  </si>
  <si>
    <t>104-58-3346</t>
  </si>
  <si>
    <t>104-64-5899</t>
  </si>
  <si>
    <t>111-58-7508</t>
  </si>
  <si>
    <t>116-72-8003</t>
  </si>
  <si>
    <t>126-13-7947</t>
  </si>
  <si>
    <t>128-50-3227</t>
  </si>
  <si>
    <t>132-80-0224</t>
  </si>
  <si>
    <t>132-88-0017</t>
  </si>
  <si>
    <t>133-76-2262</t>
  </si>
  <si>
    <t>421-41-5472</t>
  </si>
  <si>
    <t>063-82-1024</t>
  </si>
  <si>
    <t>582-96-2063</t>
  </si>
  <si>
    <t>096-34-1891</t>
  </si>
  <si>
    <t>050-48-4635</t>
  </si>
  <si>
    <t>071-58-4459</t>
  </si>
  <si>
    <t>081-64-7758</t>
  </si>
  <si>
    <t>000-00-7147</t>
  </si>
  <si>
    <t>115-70-6169</t>
  </si>
  <si>
    <t>122-56-9620</t>
  </si>
  <si>
    <t>000-00-4251</t>
  </si>
  <si>
    <t>528-88-6951</t>
  </si>
  <si>
    <t>705-43-4033</t>
  </si>
  <si>
    <t>000-00-0396</t>
  </si>
  <si>
    <t>000-00-0865</t>
  </si>
  <si>
    <t>000-00-1000</t>
  </si>
  <si>
    <t>000-00-1034</t>
  </si>
  <si>
    <t>000-00-1258</t>
  </si>
  <si>
    <t>000-00-2158</t>
  </si>
  <si>
    <t>000-00-2308</t>
  </si>
  <si>
    <t>000-00-2763</t>
  </si>
  <si>
    <t>000-00-3625</t>
  </si>
  <si>
    <t>000-00-4196</t>
  </si>
  <si>
    <t>000-00-4236</t>
  </si>
  <si>
    <t>000-00-4770</t>
  </si>
  <si>
    <t>000-00-4997</t>
  </si>
  <si>
    <t>000-00-5228</t>
  </si>
  <si>
    <t>000-00-5623</t>
  </si>
  <si>
    <t>000-00-5682</t>
  </si>
  <si>
    <t>000-00-5716</t>
  </si>
  <si>
    <t>000-00-5738</t>
  </si>
  <si>
    <t>000-00-5859</t>
  </si>
  <si>
    <t>000-00-6001</t>
  </si>
  <si>
    <t>000-00-6028</t>
  </si>
  <si>
    <t>000-00-6043</t>
  </si>
  <si>
    <t>000-00-6215</t>
  </si>
  <si>
    <t>000-00-6221</t>
  </si>
  <si>
    <t>000-00-6430</t>
  </si>
  <si>
    <t>000-00-6969</t>
  </si>
  <si>
    <t>000-00-7285</t>
  </si>
  <si>
    <t>000-00-7531</t>
  </si>
  <si>
    <t>000-00-7719</t>
  </si>
  <si>
    <t>000-00-7757</t>
  </si>
  <si>
    <t>000-00-7845</t>
  </si>
  <si>
    <t>000-00-7872</t>
  </si>
  <si>
    <t>000-00-8158</t>
  </si>
  <si>
    <t>000-00-8807</t>
  </si>
  <si>
    <t>000-00-8950</t>
  </si>
  <si>
    <t>000-00-9126</t>
  </si>
  <si>
    <t>000-00-9794</t>
  </si>
  <si>
    <t>014-55-9067</t>
  </si>
  <si>
    <t>024-89-0404</t>
  </si>
  <si>
    <t>025-66-0751</t>
  </si>
  <si>
    <t>030-78-7768</t>
  </si>
  <si>
    <t>039-38-5770</t>
  </si>
  <si>
    <t>050-38-5481</t>
  </si>
  <si>
    <t>050-84-5305</t>
  </si>
  <si>
    <t>051-60-5777</t>
  </si>
  <si>
    <t>053-72-6848</t>
  </si>
  <si>
    <t>055-48-0967</t>
  </si>
  <si>
    <t>055-68-9240</t>
  </si>
  <si>
    <t>055-78-9634</t>
  </si>
  <si>
    <t>055-82-4760</t>
  </si>
  <si>
    <t>056-60-2573</t>
  </si>
  <si>
    <t>057-74-5284</t>
  </si>
  <si>
    <t>058-60-7220</t>
  </si>
  <si>
    <t>059-58-8647</t>
  </si>
  <si>
    <t>059-82-2851</t>
  </si>
  <si>
    <t>061-44-7463</t>
  </si>
  <si>
    <t>061-74-3568</t>
  </si>
  <si>
    <t>061-80-0568</t>
  </si>
  <si>
    <t>063-60-7925</t>
  </si>
  <si>
    <t>063-70-5899</t>
  </si>
  <si>
    <t>063-70-7055</t>
  </si>
  <si>
    <t>064-58-4390</t>
  </si>
  <si>
    <t>064-72-8032</t>
  </si>
  <si>
    <t>065-66-8813</t>
  </si>
  <si>
    <t>065-68-0584</t>
  </si>
  <si>
    <t>065-74-7550</t>
  </si>
  <si>
    <t>067-50-3055</t>
  </si>
  <si>
    <t>068-80-4361</t>
  </si>
  <si>
    <t>069-64-3494</t>
  </si>
  <si>
    <t>069-68-4613</t>
  </si>
  <si>
    <t>071-58-4324</t>
  </si>
  <si>
    <t>071-60-6615</t>
  </si>
  <si>
    <t>071-78-2731</t>
  </si>
  <si>
    <t>072-54-7402</t>
  </si>
  <si>
    <t>073-42-1573</t>
  </si>
  <si>
    <t>073-44-9924</t>
  </si>
  <si>
    <t>073-58-3004</t>
  </si>
  <si>
    <t>073-64-0580</t>
  </si>
  <si>
    <t>074-60-0612</t>
  </si>
  <si>
    <t>075-52-3445</t>
  </si>
  <si>
    <t>075-56-7462</t>
  </si>
  <si>
    <t>075-80-2033</t>
  </si>
  <si>
    <t>076-60-1894</t>
  </si>
  <si>
    <t>076-80-7904</t>
  </si>
  <si>
    <t>077-68-5171</t>
  </si>
  <si>
    <t>077-74-4992</t>
  </si>
  <si>
    <t>078-98-6891</t>
  </si>
  <si>
    <t>079-48-5620</t>
  </si>
  <si>
    <t>080-58-8389</t>
  </si>
  <si>
    <t>080-60-2956</t>
  </si>
  <si>
    <t>080-72-9082</t>
  </si>
  <si>
    <t>080-88-7887</t>
  </si>
  <si>
    <t>081-68-8799</t>
  </si>
  <si>
    <t>081-72-8126</t>
  </si>
  <si>
    <t>081-80-6178</t>
  </si>
  <si>
    <t>082-86-8022</t>
  </si>
  <si>
    <t>083-30-0620</t>
  </si>
  <si>
    <t>084-42-6059</t>
  </si>
  <si>
    <t>084-66-1173</t>
  </si>
  <si>
    <t>085-48-7962</t>
  </si>
  <si>
    <t>085-58-9145</t>
  </si>
  <si>
    <t>086-50-8168</t>
  </si>
  <si>
    <t>086-76-5772</t>
  </si>
  <si>
    <t>086-80-3130</t>
  </si>
  <si>
    <t>086-90-7663</t>
  </si>
  <si>
    <t>087-70-8364</t>
  </si>
  <si>
    <t>087-88-3565</t>
  </si>
  <si>
    <t>087-92-3998</t>
  </si>
  <si>
    <t>087-92-8800</t>
  </si>
  <si>
    <t>088-52-8890</t>
  </si>
  <si>
    <t>089-64-1488</t>
  </si>
  <si>
    <t>089-78-3839</t>
  </si>
  <si>
    <t>090-58-0881</t>
  </si>
  <si>
    <t>090-88-2906</t>
  </si>
  <si>
    <t>091-90-6224</t>
  </si>
  <si>
    <t>092-52-2746</t>
  </si>
  <si>
    <t>092-52-4713</t>
  </si>
  <si>
    <t>093-68-5332</t>
  </si>
  <si>
    <t>093-70-1386</t>
  </si>
  <si>
    <t>094-44-4993</t>
  </si>
  <si>
    <t>094-62-0956</t>
  </si>
  <si>
    <t>095-66-5143</t>
  </si>
  <si>
    <t>095-68-3768</t>
  </si>
  <si>
    <t>096-64-6767</t>
  </si>
  <si>
    <t>096-78-0475</t>
  </si>
  <si>
    <t>097-02-4879</t>
  </si>
  <si>
    <t>097-52-7399</t>
  </si>
  <si>
    <t>097-70-6306</t>
  </si>
  <si>
    <t>098-56-0527</t>
  </si>
  <si>
    <t>098-66-4408</t>
  </si>
  <si>
    <t>099-46-0329</t>
  </si>
  <si>
    <t>099-70-4819</t>
  </si>
  <si>
    <t>099-88-0713</t>
  </si>
  <si>
    <t>100-54-2439</t>
  </si>
  <si>
    <t>100-58-2434</t>
  </si>
  <si>
    <t>100-58-8528</t>
  </si>
  <si>
    <t>100-78-2236</t>
  </si>
  <si>
    <t>101-36-6798</t>
  </si>
  <si>
    <t>101-54-0211</t>
  </si>
  <si>
    <t>101-64-5796</t>
  </si>
  <si>
    <t>101-84-4161</t>
  </si>
  <si>
    <t>103-58-3320</t>
  </si>
  <si>
    <t>103-84-9482</t>
  </si>
  <si>
    <t>103-86-4946</t>
  </si>
  <si>
    <t>104-60-5948</t>
  </si>
  <si>
    <t>105-72-2989</t>
  </si>
  <si>
    <t>106-64-9181</t>
  </si>
  <si>
    <t>107-66-1652</t>
  </si>
  <si>
    <t>107-68-4705</t>
  </si>
  <si>
    <t>107-70-9992</t>
  </si>
  <si>
    <t>108-96-7840</t>
  </si>
  <si>
    <t>109-60-0671</t>
  </si>
  <si>
    <t>110-60-9790</t>
  </si>
  <si>
    <t>110-66-4764</t>
  </si>
  <si>
    <t>110-78-9657</t>
  </si>
  <si>
    <t>111-38-8728</t>
  </si>
  <si>
    <t>111-64-1597</t>
  </si>
  <si>
    <t>112-64-2523</t>
  </si>
  <si>
    <t>113-74-9158</t>
  </si>
  <si>
    <t>114-72-3265</t>
  </si>
  <si>
    <t>115-98-4810</t>
  </si>
  <si>
    <t>117-34-3243</t>
  </si>
  <si>
    <t>117-56-0206</t>
  </si>
  <si>
    <t>117-56-5788</t>
  </si>
  <si>
    <t>117-68-4511</t>
  </si>
  <si>
    <t>118-62-0428</t>
  </si>
  <si>
    <t>119-44-9027</t>
  </si>
  <si>
    <t>119-50-9701</t>
  </si>
  <si>
    <t>119-78-0480</t>
  </si>
  <si>
    <t>120-62-3859</t>
  </si>
  <si>
    <t>120-86-1122</t>
  </si>
  <si>
    <t>121-74-6469</t>
  </si>
  <si>
    <t>121-80-2464</t>
  </si>
  <si>
    <t>121-92-5284</t>
  </si>
  <si>
    <t>122-48-5672</t>
  </si>
  <si>
    <t>122-68-0446</t>
  </si>
  <si>
    <t>122-70-8852</t>
  </si>
  <si>
    <t>123-70-6600</t>
  </si>
  <si>
    <t>123-90-7418</t>
  </si>
  <si>
    <t>124-48-1213</t>
  </si>
  <si>
    <t>124-66-2464</t>
  </si>
  <si>
    <t>126-44-9991</t>
  </si>
  <si>
    <t>126-78-4296</t>
  </si>
  <si>
    <t>127-80-3728</t>
  </si>
  <si>
    <t>127-86-7212</t>
  </si>
  <si>
    <t>128-48-3275</t>
  </si>
  <si>
    <t>128-54-3729</t>
  </si>
  <si>
    <t>128-66-9299</t>
  </si>
  <si>
    <t>129-50-1474</t>
  </si>
  <si>
    <t>129-66-0522</t>
  </si>
  <si>
    <t>129-78-7129</t>
  </si>
  <si>
    <t>130-66-6880</t>
  </si>
  <si>
    <t>131-70-9663</t>
  </si>
  <si>
    <t>132-48-7895</t>
  </si>
  <si>
    <t>132-56-2258</t>
  </si>
  <si>
    <t>133-46-6454</t>
  </si>
  <si>
    <t>134-50-5200</t>
  </si>
  <si>
    <t>135-17-7891</t>
  </si>
  <si>
    <t>148-40-0566</t>
  </si>
  <si>
    <t>156-49-6673</t>
  </si>
  <si>
    <t>172-56-5379</t>
  </si>
  <si>
    <t>190-52-1625</t>
  </si>
  <si>
    <t>193-62-1814</t>
  </si>
  <si>
    <t>219-57-1660</t>
  </si>
  <si>
    <t>230-48-1487</t>
  </si>
  <si>
    <t>230-74-6181</t>
  </si>
  <si>
    <t>277-50-4973</t>
  </si>
  <si>
    <t>401-95-8741</t>
  </si>
  <si>
    <t>580-13-4649</t>
  </si>
  <si>
    <t>581-39-2641</t>
  </si>
  <si>
    <t>581-49-3554</t>
  </si>
  <si>
    <t>582-99-6147</t>
  </si>
  <si>
    <t>584-15-5600</t>
  </si>
  <si>
    <t>584-67-3186</t>
  </si>
  <si>
    <t>584-81-2185</t>
  </si>
  <si>
    <t>593-84-1799</t>
  </si>
  <si>
    <t>595-18-2903</t>
  </si>
  <si>
    <t>596-01-4288</t>
  </si>
  <si>
    <t>598-52-6327</t>
  </si>
  <si>
    <t>598-84-4152</t>
  </si>
  <si>
    <t>599-20-9601</t>
  </si>
  <si>
    <t>724-30-4399</t>
  </si>
  <si>
    <t>830-35-2656</t>
  </si>
  <si>
    <t>891-17-6430</t>
  </si>
  <si>
    <t>896-62-9819</t>
  </si>
  <si>
    <t>106-90-2668</t>
  </si>
  <si>
    <t>099-56-8292</t>
  </si>
  <si>
    <t>120-56-0808</t>
  </si>
  <si>
    <t>000-00-5216</t>
  </si>
  <si>
    <t>007-60-8523</t>
  </si>
  <si>
    <t>050-66-6016</t>
  </si>
  <si>
    <t>051-84-2610</t>
  </si>
  <si>
    <t>052-88-6592</t>
  </si>
  <si>
    <t>053-68-3090</t>
  </si>
  <si>
    <t>058-58-7195</t>
  </si>
  <si>
    <t>063-70-2565</t>
  </si>
  <si>
    <t>079-66-0182</t>
  </si>
  <si>
    <t>083-62-5171</t>
  </si>
  <si>
    <t>083-84-6488</t>
  </si>
  <si>
    <t>085-84-3708</t>
  </si>
  <si>
    <t>096-58-5203</t>
  </si>
  <si>
    <t>102-62-1978</t>
  </si>
  <si>
    <t>149-86-5224</t>
  </si>
  <si>
    <t>220-19-2909</t>
  </si>
  <si>
    <t>372-84-5289</t>
  </si>
  <si>
    <t>583-92-2307</t>
  </si>
  <si>
    <t>774-41-5901</t>
  </si>
  <si>
    <t>810-91-1246</t>
  </si>
  <si>
    <t>093-68-2777</t>
  </si>
  <si>
    <t>050-40-3168</t>
  </si>
  <si>
    <t>055-34-4046</t>
  </si>
  <si>
    <t>061-32-8680</t>
  </si>
  <si>
    <t>061-34-8157</t>
  </si>
  <si>
    <t>066-34-0320</t>
  </si>
  <si>
    <t>084-36-8017</t>
  </si>
  <si>
    <t>093-34-8982</t>
  </si>
  <si>
    <t>101-38-3154</t>
  </si>
  <si>
    <t>125-34-3188</t>
  </si>
  <si>
    <t>035-74-9104</t>
  </si>
  <si>
    <t>000-00-4461</t>
  </si>
  <si>
    <t>000-00-7323</t>
  </si>
  <si>
    <t>000-00-9009</t>
  </si>
  <si>
    <t>000-00-9100</t>
  </si>
  <si>
    <t>026-70-3356</t>
  </si>
  <si>
    <t>050-36-5867</t>
  </si>
  <si>
    <t>050-44-0271</t>
  </si>
  <si>
    <t>050-44-4556</t>
  </si>
  <si>
    <t>050-84-9419</t>
  </si>
  <si>
    <t>051-74-6689</t>
  </si>
  <si>
    <t>052-64-6599</t>
  </si>
  <si>
    <t>055-58-9736</t>
  </si>
  <si>
    <t>057-56-7231</t>
  </si>
  <si>
    <t>057-58-2207</t>
  </si>
  <si>
    <t>059-56-3634</t>
  </si>
  <si>
    <t>064-58-1518</t>
  </si>
  <si>
    <t>065-70-5629</t>
  </si>
  <si>
    <t>068-76-5145</t>
  </si>
  <si>
    <t>069-66-6395</t>
  </si>
  <si>
    <t>070-42-5556</t>
  </si>
  <si>
    <t>073-58-8666</t>
  </si>
  <si>
    <t>076-84-4781</t>
  </si>
  <si>
    <t>078-36-1539</t>
  </si>
  <si>
    <t>081-44-2168</t>
  </si>
  <si>
    <t>081-78-9984</t>
  </si>
  <si>
    <t>083-58-4038</t>
  </si>
  <si>
    <t>083-66-5169</t>
  </si>
  <si>
    <t>083-76-7025</t>
  </si>
  <si>
    <t>087-94-3819</t>
  </si>
  <si>
    <t>091-56-1402</t>
  </si>
  <si>
    <t>094-42-6133</t>
  </si>
  <si>
    <t>096-90-9578</t>
  </si>
  <si>
    <t>102-80-1013</t>
  </si>
  <si>
    <t>104-86-8904</t>
  </si>
  <si>
    <t>105-50-1547</t>
  </si>
  <si>
    <t>105-56-7048</t>
  </si>
  <si>
    <t>107-58-6758</t>
  </si>
  <si>
    <t>110-40-3500</t>
  </si>
  <si>
    <t>110-46-8522</t>
  </si>
  <si>
    <t>110-64-5103</t>
  </si>
  <si>
    <t>117-68-7939</t>
  </si>
  <si>
    <t>119-60-1764</t>
  </si>
  <si>
    <t>119-66-8939</t>
  </si>
  <si>
    <t>119-68-3414</t>
  </si>
  <si>
    <t>120-74-5250</t>
  </si>
  <si>
    <t>121-48-5817</t>
  </si>
  <si>
    <t>121-52-7354</t>
  </si>
  <si>
    <t>124-68-9282</t>
  </si>
  <si>
    <t>126-84-2839</t>
  </si>
  <si>
    <t>127-96-7620</t>
  </si>
  <si>
    <t>129-88-3969</t>
  </si>
  <si>
    <t>130-26-4153</t>
  </si>
  <si>
    <t>130-64-1210</t>
  </si>
  <si>
    <t>131-70-0586</t>
  </si>
  <si>
    <t>132-84-1470</t>
  </si>
  <si>
    <t>133-86-3880</t>
  </si>
  <si>
    <t>134-58-9602</t>
  </si>
  <si>
    <t>134-84-9838</t>
  </si>
  <si>
    <t>237-31-9241</t>
  </si>
  <si>
    <t>300-56-3275</t>
  </si>
  <si>
    <t>573-39-5291</t>
  </si>
  <si>
    <t>580-15-1377</t>
  </si>
  <si>
    <t>580-52-8286</t>
  </si>
  <si>
    <t>581-46-3019</t>
  </si>
  <si>
    <t>581-67-1674</t>
  </si>
  <si>
    <t>582-37-0992</t>
  </si>
  <si>
    <t>582-55-5869</t>
  </si>
  <si>
    <t>589-11-0670</t>
  </si>
  <si>
    <t>733-01-4254</t>
  </si>
  <si>
    <t>999-99-9999</t>
  </si>
  <si>
    <t>000-00-9649</t>
  </si>
  <si>
    <t>052-86-1152</t>
  </si>
  <si>
    <t>103-42-8095</t>
  </si>
  <si>
    <t>131-68-2755</t>
  </si>
  <si>
    <t>597-18-2963</t>
  </si>
  <si>
    <t>000-00-0990</t>
  </si>
  <si>
    <t>000-00-2391</t>
  </si>
  <si>
    <t>000-00-2744</t>
  </si>
  <si>
    <t>000-00-3976</t>
  </si>
  <si>
    <t>000-00-4738</t>
  </si>
  <si>
    <t>000-00-5927</t>
  </si>
  <si>
    <t>000-00-6890</t>
  </si>
  <si>
    <t>000-00-7113</t>
  </si>
  <si>
    <t>000-00-8990</t>
  </si>
  <si>
    <t>057-60-4094</t>
  </si>
  <si>
    <t>060-02-4024</t>
  </si>
  <si>
    <t>061-50-8985</t>
  </si>
  <si>
    <t>067-56-3582</t>
  </si>
  <si>
    <t>067-68-4291</t>
  </si>
  <si>
    <t>069-30-4627</t>
  </si>
  <si>
    <t>070-44-2822</t>
  </si>
  <si>
    <t>080-54-5136</t>
  </si>
  <si>
    <t>088-94-2041</t>
  </si>
  <si>
    <t>092-84-3259</t>
  </si>
  <si>
    <t>093-58-8081</t>
  </si>
  <si>
    <t>094-56-5789</t>
  </si>
  <si>
    <t>097-80-2092</t>
  </si>
  <si>
    <t>110-84-2407</t>
  </si>
  <si>
    <t>124-74-0657</t>
  </si>
  <si>
    <t>126-48-0476</t>
  </si>
  <si>
    <t>129-78-0632</t>
  </si>
  <si>
    <t>134-96-8852</t>
  </si>
  <si>
    <t>145-74-4388</t>
  </si>
  <si>
    <t>228-15-3714</t>
  </si>
  <si>
    <t>230-56-7661</t>
  </si>
  <si>
    <t>231-41-9492</t>
  </si>
  <si>
    <t>247-56-6723</t>
  </si>
  <si>
    <t>583-31-8067</t>
  </si>
  <si>
    <t>584-22-5295</t>
  </si>
  <si>
    <t>590-21-0129</t>
  </si>
  <si>
    <t>768-58-8462</t>
  </si>
  <si>
    <t>000-00-1257</t>
  </si>
  <si>
    <t>000-00-1987</t>
  </si>
  <si>
    <t>000-00-3111</t>
  </si>
  <si>
    <t>000-00-3766</t>
  </si>
  <si>
    <t>000-00-5087</t>
  </si>
  <si>
    <t>000-00-6483</t>
  </si>
  <si>
    <t>000-00-7228</t>
  </si>
  <si>
    <t>000-00-9697</t>
  </si>
  <si>
    <t>053-90-4428</t>
  </si>
  <si>
    <t>055-54-2888</t>
  </si>
  <si>
    <t>055-86-4252</t>
  </si>
  <si>
    <t>056-68-4317</t>
  </si>
  <si>
    <t>057-50-7484</t>
  </si>
  <si>
    <t>057-56-1449</t>
  </si>
  <si>
    <t>060-58-0998</t>
  </si>
  <si>
    <t>060-70-8432</t>
  </si>
  <si>
    <t>061-66-5765</t>
  </si>
  <si>
    <t>061-76-1669</t>
  </si>
  <si>
    <t>061-76-8326</t>
  </si>
  <si>
    <t>062-48-5347</t>
  </si>
  <si>
    <t>063-64-9253</t>
  </si>
  <si>
    <t>066-68-3070</t>
  </si>
  <si>
    <t>066-72-2542</t>
  </si>
  <si>
    <t>066-76-3782</t>
  </si>
  <si>
    <t>066-76-5444</t>
  </si>
  <si>
    <t>068-62-8316</t>
  </si>
  <si>
    <t>068-84-0742</t>
  </si>
  <si>
    <t>069-02-9158</t>
  </si>
  <si>
    <t>069-60-8106</t>
  </si>
  <si>
    <t>071-60-6177</t>
  </si>
  <si>
    <t>071-86-3667</t>
  </si>
  <si>
    <t>072-60-5573</t>
  </si>
  <si>
    <t>072-64-1343</t>
  </si>
  <si>
    <t>073-76-0735</t>
  </si>
  <si>
    <t>076-58-8477</t>
  </si>
  <si>
    <t>076-64-1570</t>
  </si>
  <si>
    <t>076-66-1094</t>
  </si>
  <si>
    <t>076-72-1367</t>
  </si>
  <si>
    <t>078-36-0732</t>
  </si>
  <si>
    <t>079-66-9930</t>
  </si>
  <si>
    <t>080-82-9202</t>
  </si>
  <si>
    <t>080-86-0776</t>
  </si>
  <si>
    <t>081-80-3225</t>
  </si>
  <si>
    <t>082-40-5764</t>
  </si>
  <si>
    <t>082-82-2767</t>
  </si>
  <si>
    <t>083-64-7130</t>
  </si>
  <si>
    <t>083-66-1349</t>
  </si>
  <si>
    <t>084-80-5013</t>
  </si>
  <si>
    <t>085-52-2717</t>
  </si>
  <si>
    <t>085-55-2555</t>
  </si>
  <si>
    <t>087-48-3066</t>
  </si>
  <si>
    <t>087-62-8117</t>
  </si>
  <si>
    <t>087-80-9706</t>
  </si>
  <si>
    <t>088-60-7430</t>
  </si>
  <si>
    <t>089-72-3016</t>
  </si>
  <si>
    <t>090-68-1966</t>
  </si>
  <si>
    <t>091-70-4358</t>
  </si>
  <si>
    <t>091-80-0499</t>
  </si>
  <si>
    <t>093-70-4591</t>
  </si>
  <si>
    <t>093-82-9730</t>
  </si>
  <si>
    <t>095-32-7059</t>
  </si>
  <si>
    <t>095-56-9243</t>
  </si>
  <si>
    <t>095-86-0753</t>
  </si>
  <si>
    <t>096-40-3493</t>
  </si>
  <si>
    <t>096-68-1376</t>
  </si>
  <si>
    <t>098-76-1064</t>
  </si>
  <si>
    <t>098-80-7759</t>
  </si>
  <si>
    <t>099-56-5718</t>
  </si>
  <si>
    <t>099-72-5450</t>
  </si>
  <si>
    <t>101-40-9652</t>
  </si>
  <si>
    <t>101-50-7809</t>
  </si>
  <si>
    <t>101-78-8377</t>
  </si>
  <si>
    <t>103-44-8486</t>
  </si>
  <si>
    <t>103-54-2957</t>
  </si>
  <si>
    <t>103-70-6335</t>
  </si>
  <si>
    <t>104-53-2317</t>
  </si>
  <si>
    <t>104-56-2006</t>
  </si>
  <si>
    <t>104-62-5480</t>
  </si>
  <si>
    <t>105-50-3098</t>
  </si>
  <si>
    <t>105-50-3913</t>
  </si>
  <si>
    <t>105-82-9933</t>
  </si>
  <si>
    <t>106-72-1625</t>
  </si>
  <si>
    <t>107-48-3104</t>
  </si>
  <si>
    <t>107-88-5728</t>
  </si>
  <si>
    <t>110-64-2921</t>
  </si>
  <si>
    <t>110-78-3969</t>
  </si>
  <si>
    <t>111-56-7396</t>
  </si>
  <si>
    <t>112-50-3585</t>
  </si>
  <si>
    <t>112-86-9975</t>
  </si>
  <si>
    <t>116-46-2830</t>
  </si>
  <si>
    <t>116-46-4869</t>
  </si>
  <si>
    <t>116-56-1852</t>
  </si>
  <si>
    <t>118-70-4731</t>
  </si>
  <si>
    <t>119-76-1545</t>
  </si>
  <si>
    <t>119-84-8882</t>
  </si>
  <si>
    <t>121-70-1390</t>
  </si>
  <si>
    <t>124-32-5515</t>
  </si>
  <si>
    <t>124-56-9596</t>
  </si>
  <si>
    <t>126-76-6025</t>
  </si>
  <si>
    <t>127-70-5713</t>
  </si>
  <si>
    <t>128-78-1259</t>
  </si>
  <si>
    <t>128-84-5148</t>
  </si>
  <si>
    <t>129-72-2639</t>
  </si>
  <si>
    <t>130-76-9259</t>
  </si>
  <si>
    <t>132-70-5221</t>
  </si>
  <si>
    <t>134-16-5687</t>
  </si>
  <si>
    <t>134-54-1177</t>
  </si>
  <si>
    <t>137-08-6530</t>
  </si>
  <si>
    <t>148-60-1760</t>
  </si>
  <si>
    <t>164-78-6578</t>
  </si>
  <si>
    <t>193-23-6699</t>
  </si>
  <si>
    <t>219-51-3612</t>
  </si>
  <si>
    <t>238-47-0292</t>
  </si>
  <si>
    <t>254-29-1947</t>
  </si>
  <si>
    <t>255-13-9166</t>
  </si>
  <si>
    <t>259-39-2579</t>
  </si>
  <si>
    <t>262-93-0699</t>
  </si>
  <si>
    <t>298-46-7618</t>
  </si>
  <si>
    <t>318-52-7710</t>
  </si>
  <si>
    <t>425-59-3364</t>
  </si>
  <si>
    <t>581-15-0678</t>
  </si>
  <si>
    <t>582-57-9260</t>
  </si>
  <si>
    <t>582-68-5015</t>
  </si>
  <si>
    <t>582-83-5451</t>
  </si>
  <si>
    <t>590-26-6788</t>
  </si>
  <si>
    <t>599-13-4161</t>
  </si>
  <si>
    <t>930-72-6024</t>
  </si>
  <si>
    <t>114-46-2516</t>
  </si>
  <si>
    <t>111-76-6302</t>
  </si>
  <si>
    <t>112-44-5303</t>
  </si>
  <si>
    <t>122-64-3956</t>
  </si>
  <si>
    <t>000-00-7874</t>
  </si>
  <si>
    <t>097-56-2596</t>
  </si>
  <si>
    <t>000-00-2688</t>
  </si>
  <si>
    <t>000-00-6189</t>
  </si>
  <si>
    <t>000-00-0101</t>
  </si>
  <si>
    <t>000-00-0528</t>
  </si>
  <si>
    <t>000-00-0677</t>
  </si>
  <si>
    <t>000-00-0821</t>
  </si>
  <si>
    <t>000-00-0871</t>
  </si>
  <si>
    <t>000-00-1123</t>
  </si>
  <si>
    <t>000-00-2166</t>
  </si>
  <si>
    <t>000-00-2182</t>
  </si>
  <si>
    <t>000-00-2328</t>
  </si>
  <si>
    <t>000-00-2610</t>
  </si>
  <si>
    <t>000-00-3117</t>
  </si>
  <si>
    <t>000-00-3181</t>
  </si>
  <si>
    <t>000-00-3323</t>
  </si>
  <si>
    <t>000-00-3480</t>
  </si>
  <si>
    <t>000-00-3606</t>
  </si>
  <si>
    <t>000-00-3706</t>
  </si>
  <si>
    <t>000-00-3763</t>
  </si>
  <si>
    <t>000-00-3794</t>
  </si>
  <si>
    <t>000-00-4193</t>
  </si>
  <si>
    <t>000-00-4473</t>
  </si>
  <si>
    <t>000-00-4505</t>
  </si>
  <si>
    <t>000-00-4766</t>
  </si>
  <si>
    <t>000-00-5200</t>
  </si>
  <si>
    <t>000-00-5241</t>
  </si>
  <si>
    <t>000-00-5375</t>
  </si>
  <si>
    <t>000-00-5376</t>
  </si>
  <si>
    <t>000-00-5932</t>
  </si>
  <si>
    <t>000-00-6025</t>
  </si>
  <si>
    <t>000-00-6297</t>
  </si>
  <si>
    <t>000-00-6313</t>
  </si>
  <si>
    <t>000-00-6566</t>
  </si>
  <si>
    <t>000-00-6661</t>
  </si>
  <si>
    <t>000-00-6845</t>
  </si>
  <si>
    <t>000-00-6892</t>
  </si>
  <si>
    <t>000-00-7047</t>
  </si>
  <si>
    <t>000-00-7199</t>
  </si>
  <si>
    <t>000-00-7231</t>
  </si>
  <si>
    <t>000-00-7259</t>
  </si>
  <si>
    <t>000-00-7425</t>
  </si>
  <si>
    <t>000-00-7728</t>
  </si>
  <si>
    <t>000-00-7949</t>
  </si>
  <si>
    <t>000-00-8169</t>
  </si>
  <si>
    <t>000-00-8784</t>
  </si>
  <si>
    <t>000-00-9127</t>
  </si>
  <si>
    <t>000-00-9279</t>
  </si>
  <si>
    <t>000-00-9479</t>
  </si>
  <si>
    <t>000-00-9556</t>
  </si>
  <si>
    <t>000-00-9795</t>
  </si>
  <si>
    <t>031-72-7361</t>
  </si>
  <si>
    <t>037-93-4546</t>
  </si>
  <si>
    <t>040-84-2654</t>
  </si>
  <si>
    <t>040-94-2249</t>
  </si>
  <si>
    <t>041-68-7473</t>
  </si>
  <si>
    <t>049-74-5433</t>
  </si>
  <si>
    <t>050-60-3235</t>
  </si>
  <si>
    <t>050-74-5056</t>
  </si>
  <si>
    <t>051-28-2958</t>
  </si>
  <si>
    <t>051-60-5371</t>
  </si>
  <si>
    <t>051-86-1630</t>
  </si>
  <si>
    <t>052-72-7398</t>
  </si>
  <si>
    <t>053-76-2540</t>
  </si>
  <si>
    <t>053-80-5615</t>
  </si>
  <si>
    <t>053-84-9260</t>
  </si>
  <si>
    <t>054-60-9386</t>
  </si>
  <si>
    <t>054-66-5617</t>
  </si>
  <si>
    <t>054-90-7670</t>
  </si>
  <si>
    <t>055-60-2260</t>
  </si>
  <si>
    <t>056-48-4978</t>
  </si>
  <si>
    <t>056-50-0032</t>
  </si>
  <si>
    <t>056-50-1161</t>
  </si>
  <si>
    <t>056-58-7131</t>
  </si>
  <si>
    <t>056-68-5649</t>
  </si>
  <si>
    <t>057-48-0082</t>
  </si>
  <si>
    <t>058-44-3364</t>
  </si>
  <si>
    <t>058-68-2539</t>
  </si>
  <si>
    <t>058-72-5464</t>
  </si>
  <si>
    <t>058-90-6025</t>
  </si>
  <si>
    <t>058-90-9959</t>
  </si>
  <si>
    <t>059-56-0040</t>
  </si>
  <si>
    <t>059-78-3793</t>
  </si>
  <si>
    <t>059-84-4964</t>
  </si>
  <si>
    <t>060-48-9228</t>
  </si>
  <si>
    <t>060-62-9537</t>
  </si>
  <si>
    <t>060-86-8615</t>
  </si>
  <si>
    <t>061-74-6945</t>
  </si>
  <si>
    <t>061-82-7503</t>
  </si>
  <si>
    <t>061-98-9525</t>
  </si>
  <si>
    <t>062-72-2184</t>
  </si>
  <si>
    <t>062-96-0051</t>
  </si>
  <si>
    <t>063-54-3575</t>
  </si>
  <si>
    <t>064-72-2891</t>
  </si>
  <si>
    <t>064-80-0225</t>
  </si>
  <si>
    <t>065-36-8859</t>
  </si>
  <si>
    <t>065-58-5665</t>
  </si>
  <si>
    <t>066-26-7712</t>
  </si>
  <si>
    <t>066-76-3425</t>
  </si>
  <si>
    <t>067-82-4347</t>
  </si>
  <si>
    <t>068-70-6426</t>
  </si>
  <si>
    <t>068-82-9204</t>
  </si>
  <si>
    <t>068-86-7618</t>
  </si>
  <si>
    <t>069-72-5393</t>
  </si>
  <si>
    <t>069-78-2943</t>
  </si>
  <si>
    <t>070-46-7621</t>
  </si>
  <si>
    <t>070-48-4747</t>
  </si>
  <si>
    <t>070-58-7407</t>
  </si>
  <si>
    <t>070-90-4131</t>
  </si>
  <si>
    <t>071-34-7587</t>
  </si>
  <si>
    <t>071-56-7916</t>
  </si>
  <si>
    <t>071-58-3935</t>
  </si>
  <si>
    <t>071-62-5087</t>
  </si>
  <si>
    <t>071-62-5967</t>
  </si>
  <si>
    <t>071-70-6463</t>
  </si>
  <si>
    <t>071-76-5087</t>
  </si>
  <si>
    <t>071-82-1159</t>
  </si>
  <si>
    <t>072-32-1865</t>
  </si>
  <si>
    <t>072-62-1844</t>
  </si>
  <si>
    <t>072-62-5447</t>
  </si>
  <si>
    <t>073-50-5135</t>
  </si>
  <si>
    <t>074-62-6620</t>
  </si>
  <si>
    <t>074-72-6620</t>
  </si>
  <si>
    <t>075-44-3102</t>
  </si>
  <si>
    <t>075-60-2268</t>
  </si>
  <si>
    <t>075-68-5098</t>
  </si>
  <si>
    <t>076-56-8273</t>
  </si>
  <si>
    <t>077-40-9012</t>
  </si>
  <si>
    <t>077-64-0866</t>
  </si>
  <si>
    <t>077-72-0730</t>
  </si>
  <si>
    <t>078-44-7005</t>
  </si>
  <si>
    <t>078-58-3968</t>
  </si>
  <si>
    <t>079-36-7037</t>
  </si>
  <si>
    <t>079-60-5383</t>
  </si>
  <si>
    <t>079-82-1733</t>
  </si>
  <si>
    <t>080-52-9201</t>
  </si>
  <si>
    <t>080-60-1222</t>
  </si>
  <si>
    <t>080-64-9638</t>
  </si>
  <si>
    <t>081-42-9034</t>
  </si>
  <si>
    <t>081-62-0987</t>
  </si>
  <si>
    <t>081-64-0882</t>
  </si>
  <si>
    <t>081-70-7600</t>
  </si>
  <si>
    <t>081-74-3618</t>
  </si>
  <si>
    <t>082-58-9442</t>
  </si>
  <si>
    <t>082-66-2651</t>
  </si>
  <si>
    <t>082-66-3015</t>
  </si>
  <si>
    <t>082-80-6042</t>
  </si>
  <si>
    <t>082-84-7569</t>
  </si>
  <si>
    <t>083-40-8580</t>
  </si>
  <si>
    <t>084-74-0688</t>
  </si>
  <si>
    <t>084-90-9843</t>
  </si>
  <si>
    <t>085-50-5508</t>
  </si>
  <si>
    <t>085-66-8961</t>
  </si>
  <si>
    <t>086-50-1769</t>
  </si>
  <si>
    <t>087-64-3635</t>
  </si>
  <si>
    <t>087-80-6585</t>
  </si>
  <si>
    <t>088-24-0313</t>
  </si>
  <si>
    <t>088-42-6703</t>
  </si>
  <si>
    <t>088-82-2368</t>
  </si>
  <si>
    <t>089-64-5802</t>
  </si>
  <si>
    <t>089-68-1455</t>
  </si>
  <si>
    <t>089-70-4744</t>
  </si>
  <si>
    <t>089-78-8240</t>
  </si>
  <si>
    <t>090-58-5130</t>
  </si>
  <si>
    <t>090-62-0404</t>
  </si>
  <si>
    <t>090-68-2715</t>
  </si>
  <si>
    <t>090-80-2728</t>
  </si>
  <si>
    <t>090-82-4511</t>
  </si>
  <si>
    <t>091-48-3127</t>
  </si>
  <si>
    <t>091-58-7984</t>
  </si>
  <si>
    <t>091-64-2028</t>
  </si>
  <si>
    <t>092-32-0882</t>
  </si>
  <si>
    <t>092-80-3077</t>
  </si>
  <si>
    <t>092-88-4371</t>
  </si>
  <si>
    <t>092-94-4396</t>
  </si>
  <si>
    <t>093-60-8335</t>
  </si>
  <si>
    <t>093-62-2748</t>
  </si>
  <si>
    <t>093-78-0139</t>
  </si>
  <si>
    <t>093-86-7134</t>
  </si>
  <si>
    <t>094-44-3000</t>
  </si>
  <si>
    <t>094-52-7762</t>
  </si>
  <si>
    <t>095-80-3213</t>
  </si>
  <si>
    <t>095-90-3365</t>
  </si>
  <si>
    <t>096-56-2284</t>
  </si>
  <si>
    <t>096-56-6388</t>
  </si>
  <si>
    <t>097-46-1478</t>
  </si>
  <si>
    <t>098-46-3370</t>
  </si>
  <si>
    <t>098-56-0283</t>
  </si>
  <si>
    <t>099-54-7654</t>
  </si>
  <si>
    <t>099-64-6506</t>
  </si>
  <si>
    <t>099-80-3208</t>
  </si>
  <si>
    <t>100-58-3142</t>
  </si>
  <si>
    <t>100-58-3423</t>
  </si>
  <si>
    <t>100-76-5378</t>
  </si>
  <si>
    <t>100-80-7462</t>
  </si>
  <si>
    <t>101-66-8004</t>
  </si>
  <si>
    <t>102-62-4141</t>
  </si>
  <si>
    <t>103-64-6001</t>
  </si>
  <si>
    <t>103-70-9144</t>
  </si>
  <si>
    <t>104-48-2052</t>
  </si>
  <si>
    <t>104-56-3580</t>
  </si>
  <si>
    <t>106-26-1676</t>
  </si>
  <si>
    <t>106-60-2386</t>
  </si>
  <si>
    <t>106-92-2331</t>
  </si>
  <si>
    <t>107-48-7407</t>
  </si>
  <si>
    <t>107-52-5828</t>
  </si>
  <si>
    <t>107-72-1570</t>
  </si>
  <si>
    <t>107-90-0888</t>
  </si>
  <si>
    <t>108-86-2948</t>
  </si>
  <si>
    <t>108-90-4037</t>
  </si>
  <si>
    <t>109-84-5331</t>
  </si>
  <si>
    <t>110-58-5332</t>
  </si>
  <si>
    <t>110-70-8949</t>
  </si>
  <si>
    <t>111-46-1724</t>
  </si>
  <si>
    <t>111-56-7753</t>
  </si>
  <si>
    <t>111-60-7505</t>
  </si>
  <si>
    <t>112-54-7743</t>
  </si>
  <si>
    <t>112-56-4472</t>
  </si>
  <si>
    <t>112-60-9144</t>
  </si>
  <si>
    <t>113-48-7657</t>
  </si>
  <si>
    <t>113-56-1694</t>
  </si>
  <si>
    <t>113-60-4320</t>
  </si>
  <si>
    <t>113-88-0438</t>
  </si>
  <si>
    <t>114-30-8355</t>
  </si>
  <si>
    <t>114-32-9942</t>
  </si>
  <si>
    <t>114-48-7299</t>
  </si>
  <si>
    <t>114-52-9888</t>
  </si>
  <si>
    <t>114-56-0504</t>
  </si>
  <si>
    <t>114-70-2091</t>
  </si>
  <si>
    <t>115-44-9167</t>
  </si>
  <si>
    <t>115-50-0435</t>
  </si>
  <si>
    <t>115-64-3529</t>
  </si>
  <si>
    <t>115-82-3724</t>
  </si>
  <si>
    <t>116-46-8659</t>
  </si>
  <si>
    <t>117-56-1090</t>
  </si>
  <si>
    <t>117-84-4123</t>
  </si>
  <si>
    <t>118-46-2076</t>
  </si>
  <si>
    <t>118-58-0924</t>
  </si>
  <si>
    <t>118-74-5545</t>
  </si>
  <si>
    <t>118-78-0689</t>
  </si>
  <si>
    <t>118-94-4541</t>
  </si>
  <si>
    <t>119-46-8946</t>
  </si>
  <si>
    <t>119-48-1761</t>
  </si>
  <si>
    <t>119-48-1961</t>
  </si>
  <si>
    <t>120-28-4327</t>
  </si>
  <si>
    <t>120-60-2556</t>
  </si>
  <si>
    <t>121-92-1444</t>
  </si>
  <si>
    <t>122-82-4174</t>
  </si>
  <si>
    <t>123-42-4147</t>
  </si>
  <si>
    <t>123-92-2766</t>
  </si>
  <si>
    <t>123-94-5631</t>
  </si>
  <si>
    <t>124-40-1666</t>
  </si>
  <si>
    <t>124-64-8715</t>
  </si>
  <si>
    <t>124-88-9115</t>
  </si>
  <si>
    <t>125-08-6151</t>
  </si>
  <si>
    <t>125-52-6641</t>
  </si>
  <si>
    <t>125-82-5829</t>
  </si>
  <si>
    <t>126-54-2941</t>
  </si>
  <si>
    <t>126-80-6065</t>
  </si>
  <si>
    <t>127-48-1759</t>
  </si>
  <si>
    <t>127-56-1271</t>
  </si>
  <si>
    <t>127-74-7406</t>
  </si>
  <si>
    <t>127-80-0890</t>
  </si>
  <si>
    <t>128-48-1110</t>
  </si>
  <si>
    <t>128-48-4088</t>
  </si>
  <si>
    <t>129-42-4683</t>
  </si>
  <si>
    <t>129-78-2722</t>
  </si>
  <si>
    <t>130-56-4812</t>
  </si>
  <si>
    <t>130-70-1193</t>
  </si>
  <si>
    <t>131-42-7455</t>
  </si>
  <si>
    <t>131-60-7580</t>
  </si>
  <si>
    <t>132-44-7581</t>
  </si>
  <si>
    <t>132-58-3435</t>
  </si>
  <si>
    <t>132-62-9154</t>
  </si>
  <si>
    <t>134-30-6863</t>
  </si>
  <si>
    <t>134-54-0410</t>
  </si>
  <si>
    <t>134-56-0342</t>
  </si>
  <si>
    <t>134-68-0408</t>
  </si>
  <si>
    <t>138-64-7853</t>
  </si>
  <si>
    <t>140-64-5528</t>
  </si>
  <si>
    <t>140-80-8318</t>
  </si>
  <si>
    <t>142-62-2612</t>
  </si>
  <si>
    <t>150-26-8277</t>
  </si>
  <si>
    <t>152-68-4308</t>
  </si>
  <si>
    <t>153-60-5091</t>
  </si>
  <si>
    <t>154-66-0553</t>
  </si>
  <si>
    <t>157-84-2750</t>
  </si>
  <si>
    <t>160-48-9304</t>
  </si>
  <si>
    <t>188-42-9361</t>
  </si>
  <si>
    <t>194-70-6175</t>
  </si>
  <si>
    <t>202-82-8882</t>
  </si>
  <si>
    <t>214-96-8628</t>
  </si>
  <si>
    <t>219-26-6921</t>
  </si>
  <si>
    <t>220-98-5830</t>
  </si>
  <si>
    <t>225-77-7271</t>
  </si>
  <si>
    <t>229-50-8343</t>
  </si>
  <si>
    <t>238-98-1731</t>
  </si>
  <si>
    <t>239-44-1394</t>
  </si>
  <si>
    <t>240-44-4411</t>
  </si>
  <si>
    <t>244-19-9854</t>
  </si>
  <si>
    <t>247-47-3908</t>
  </si>
  <si>
    <t>247-97-1257</t>
  </si>
  <si>
    <t>248-54-7387</t>
  </si>
  <si>
    <t>261-54-0073</t>
  </si>
  <si>
    <t>262-50-5340</t>
  </si>
  <si>
    <t>319-78-6815</t>
  </si>
  <si>
    <t>328-30-9792</t>
  </si>
  <si>
    <t>338-29-8729</t>
  </si>
  <si>
    <t>356-26-8109</t>
  </si>
  <si>
    <t>421-33-7942</t>
  </si>
  <si>
    <t>424-64-3672</t>
  </si>
  <si>
    <t>456-59-9103</t>
  </si>
  <si>
    <t>542-90-0425</t>
  </si>
  <si>
    <t>561-24-1642</t>
  </si>
  <si>
    <t>567-71-7821</t>
  </si>
  <si>
    <t>580-07-0279</t>
  </si>
  <si>
    <t>580-07-8249</t>
  </si>
  <si>
    <t>580-17-1399</t>
  </si>
  <si>
    <t>581-61-4231</t>
  </si>
  <si>
    <t>581-70-3977</t>
  </si>
  <si>
    <t>581-93-5393</t>
  </si>
  <si>
    <t>582-73-4462</t>
  </si>
  <si>
    <t>583-08-3987</t>
  </si>
  <si>
    <t>583-29-2082</t>
  </si>
  <si>
    <t>584-31-2432</t>
  </si>
  <si>
    <t>584-43-7573</t>
  </si>
  <si>
    <t>584-63-8482</t>
  </si>
  <si>
    <t>596-01-4026</t>
  </si>
  <si>
    <t>596-46-7441</t>
  </si>
  <si>
    <t>620-56-9078</t>
  </si>
  <si>
    <t>659-90-6349</t>
  </si>
  <si>
    <t>732-58-8729</t>
  </si>
  <si>
    <t>819-91-3691</t>
  </si>
  <si>
    <t>859-21-5813</t>
  </si>
  <si>
    <t>899-34-6921</t>
  </si>
  <si>
    <t>901-84-9764</t>
  </si>
  <si>
    <t>927-82-1309</t>
  </si>
  <si>
    <t>Rent Stabilized</t>
  </si>
  <si>
    <t>Unregulated</t>
  </si>
  <si>
    <t>Public Housing/NYCHA</t>
  </si>
  <si>
    <t>Supportive Housing</t>
  </si>
  <si>
    <t>Unregulated – Co-Op</t>
  </si>
  <si>
    <t>Project-based Sec. 8</t>
  </si>
  <si>
    <t>Mitchell-Lama</t>
  </si>
  <si>
    <t>Rent Controlled</t>
  </si>
  <si>
    <t>Low Income Tax Credit</t>
  </si>
  <si>
    <t>HDFC</t>
  </si>
  <si>
    <t>Unregulated – Other</t>
  </si>
  <si>
    <t>Public Housing</t>
  </si>
  <si>
    <t>Other Subsidized Housing</t>
  </si>
  <si>
    <t>Unregulated – Sublet</t>
  </si>
  <si>
    <t>HUD VASH</t>
  </si>
  <si>
    <t>Section 8</t>
  </si>
  <si>
    <t>DRIE/SCRIE</t>
  </si>
  <si>
    <t>FEPS</t>
  </si>
  <si>
    <t>SEPS</t>
  </si>
  <si>
    <t>HASA</t>
  </si>
  <si>
    <t>City FEPS</t>
  </si>
  <si>
    <t>LINC</t>
  </si>
  <si>
    <t>Pathways Home</t>
  </si>
  <si>
    <t>HOMETBRA</t>
  </si>
  <si>
    <t>06/24/2019</t>
  </si>
  <si>
    <t>05/17/2019</t>
  </si>
  <si>
    <t>11/28/2016</t>
  </si>
  <si>
    <t>04/29/2019</t>
  </si>
  <si>
    <t>05/16/2019</t>
  </si>
  <si>
    <t>05/24/2019</t>
  </si>
  <si>
    <t>05/03/2019</t>
  </si>
  <si>
    <t>04/01/2019</t>
  </si>
  <si>
    <t>04/26/2019</t>
  </si>
  <si>
    <t>04/05/2019</t>
  </si>
  <si>
    <t>Income Waiver</t>
  </si>
  <si>
    <t>FJC Waiver</t>
  </si>
  <si>
    <t>Zip Code Waiver</t>
  </si>
  <si>
    <t>English</t>
  </si>
  <si>
    <t>Spanish</t>
  </si>
  <si>
    <t>Mandarin</t>
  </si>
  <si>
    <t>Russian</t>
  </si>
  <si>
    <t>Amer. Sign Lang.</t>
  </si>
  <si>
    <t>Chinese/Mandarin</t>
  </si>
  <si>
    <t>Arabic</t>
  </si>
  <si>
    <t xml:space="preserve">Chinese </t>
  </si>
  <si>
    <t>Creole</t>
  </si>
  <si>
    <t>Panjabi</t>
  </si>
  <si>
    <t>Sign Language</t>
  </si>
  <si>
    <t>Albanian</t>
  </si>
  <si>
    <t>French</t>
  </si>
  <si>
    <t>Cantonese</t>
  </si>
  <si>
    <t>French Creole</t>
  </si>
  <si>
    <t>Bengali</t>
  </si>
  <si>
    <t>Korean</t>
  </si>
  <si>
    <t>Urdu</t>
  </si>
  <si>
    <t>Polish</t>
  </si>
  <si>
    <t>Serbocroatian</t>
  </si>
  <si>
    <t>Slovak</t>
  </si>
  <si>
    <t>Japanese</t>
  </si>
  <si>
    <t>Greek</t>
  </si>
  <si>
    <t>Italian</t>
  </si>
  <si>
    <t>Ukrainian</t>
  </si>
  <si>
    <t>Vietnamese</t>
  </si>
  <si>
    <t>Dutch</t>
  </si>
  <si>
    <t>hotline advice only</t>
  </si>
  <si>
    <t>6.28.19: Advice call back assigned</t>
  </si>
  <si>
    <t>no forms so couldn't bill as TRC, changed to 2157</t>
  </si>
  <si>
    <t>NOT TO REPORT TO HRA - over income advice case</t>
  </si>
  <si>
    <t>DHCI form needed</t>
  </si>
  <si>
    <t>advice call-back</t>
  </si>
  <si>
    <t>Telephone advice; no forms</t>
  </si>
  <si>
    <t>Client refused to sign consent form, transferred to 3020</t>
  </si>
  <si>
    <t>Never met with client as we declined rep on the phone. No docs obtained in this matter.</t>
  </si>
  <si>
    <t>does not provide consent to release info to HRA, cannot bill to TRC</t>
  </si>
  <si>
    <t>5/10 - need DHCI uploaded; if none, can't report under HPLP</t>
  </si>
  <si>
    <t>&gt;200% advice, court referral</t>
  </si>
  <si>
    <t>Never met with client as matter was in process of being resolved when she 1st contacted and client did resolve on her own.</t>
  </si>
  <si>
    <t>late to report</t>
  </si>
  <si>
    <t>if full rep needs waiver &gt;200%</t>
  </si>
  <si>
    <t>6.7.19: Advice call back assigned</t>
  </si>
  <si>
    <t>Doesn't consent to completing HRA paperwork - works for HRA and doesn't want to release info to them</t>
  </si>
  <si>
    <t>&gt; 200% 5/16 - need to pull index # from OCA computer</t>
  </si>
  <si>
    <t>5/13 - DHCI?</t>
  </si>
  <si>
    <t>6/18.19.: Advice call back assigned - NOT TO REPORT TO HRA (NO DHCI FORM)</t>
  </si>
  <si>
    <t>NOT TO REPORT TO HRA - Over-income advice case</t>
  </si>
  <si>
    <t>5.29.19: Advice call back case assigned</t>
  </si>
  <si>
    <t>client not met in person, hotline only, no forms signed</t>
  </si>
  <si>
    <t>Not to report to HRA. Over-income HPLP Advice call backk case assigned on 6.7.19.</t>
  </si>
  <si>
    <t>hotline advice</t>
  </si>
  <si>
    <t>Never met with client. Advice given over the phone.</t>
  </si>
  <si>
    <t>Can't report as 3018 because CL never signed forms</t>
  </si>
  <si>
    <t>UA zip, advice only</t>
  </si>
  <si>
    <t>no DHCI/consent 6/20 - CL refused so can't bill as TRC</t>
  </si>
  <si>
    <t>Advice call back case - NOT TO REPORT TO HRA. Over-income</t>
  </si>
  <si>
    <t>Attestation located in Intake Pkg</t>
  </si>
  <si>
    <t>Client did not sign HRA consent, cannot bill to TRC</t>
  </si>
  <si>
    <t>CL refused to sign forms so recoded as OCA</t>
  </si>
  <si>
    <t>Advice call back assigned on 6.4.19.</t>
  </si>
  <si>
    <t>6.21.19: Advice call back assigned</t>
  </si>
  <si>
    <t>5/9 - need call-back advice notes</t>
  </si>
  <si>
    <t>Advice call back assigned on 6.5.19.</t>
  </si>
  <si>
    <t>advice callback</t>
  </si>
  <si>
    <t>no contact as of 6/27/2019 advice call back case</t>
  </si>
  <si>
    <t>verbal consent needed</t>
  </si>
  <si>
    <t>CL refused to sign forms so recoded as 3020</t>
  </si>
  <si>
    <t>&gt;200% advice only</t>
  </si>
  <si>
    <t>5.31.19: Advice call back assigned</t>
  </si>
  <si>
    <t>Advice call back case - assigned on 5.28.19.</t>
  </si>
  <si>
    <t>5/10 - need advice notes</t>
  </si>
  <si>
    <t>advice call back case</t>
  </si>
  <si>
    <t>4/23 - need call-back advice notes</t>
  </si>
  <si>
    <t>5/13 - confirm case status; cannot report under HRA grant  if advice only, but could maybe report under TRC?</t>
  </si>
  <si>
    <t>HRA referral advice call-back</t>
  </si>
  <si>
    <t>6.25.19: Advice call back assigned.</t>
  </si>
  <si>
    <t>6.28.19.: Advice call back assigned</t>
  </si>
  <si>
    <t>6.7.19: Advice only case assigned - NOT TO REPORT TO HRA (clt didn't call us back)</t>
  </si>
  <si>
    <t>client did not sign billing consent 6/20 ND</t>
  </si>
  <si>
    <t>Advice call back assigned on 6.3.19.</t>
  </si>
  <si>
    <t>need advice notes</t>
  </si>
  <si>
    <t>Not to report to HRA - Over-income HPLP advice only case. Advice call back assigned on 6.7.19.</t>
  </si>
  <si>
    <t>Changed to HPLP b/c this is a NYCHA reasonable accommodation case</t>
  </si>
  <si>
    <t>Compliance docs located in parent file 19-1896646 - Need income waiver</t>
  </si>
  <si>
    <t>need income waiver for participant in building wide initiative</t>
  </si>
  <si>
    <t>Didn't get consent and DHCI so can't report to HRA, changed to OCA</t>
  </si>
  <si>
    <t>Compliance forms are in LS 19-1905076.  Needs income waiver</t>
  </si>
  <si>
    <t>Provided full rep in same case, this case should be closed as ZZ</t>
  </si>
  <si>
    <t>6.14.19: Not to report to HRA - T repped by Bx Defenders.</t>
  </si>
  <si>
    <t>overincome but will be part of group loft law case once bill is passed</t>
  </si>
  <si>
    <t>5/10 - need consent uploaded; case status?</t>
  </si>
  <si>
    <t>income waiver needed if FULL REP; Change to HPLP if full rep</t>
  </si>
  <si>
    <t>Compliance forms are in 19-1896778</t>
  </si>
  <si>
    <t>4/23 - need consent + DHCI or active CA/SNAP # entered</t>
  </si>
  <si>
    <t>all compliance forms are uploaded</t>
  </si>
  <si>
    <t>5/10 - need consent uploaded + DHCI or PA/SNAP # entered</t>
  </si>
  <si>
    <t>5/10 - index #, case type, forms?</t>
  </si>
  <si>
    <t>7/11/2019 advice callback need index #</t>
  </si>
  <si>
    <t>needs income waiver</t>
  </si>
  <si>
    <t>5/13 - need billing consent uploaded + signed DHCI or active CA/SNAP # entered</t>
  </si>
  <si>
    <t>5/10 - case type &amp; status? need consent &amp; DHCI or CA/SNAP</t>
  </si>
  <si>
    <t>needs waiver if full rep</t>
  </si>
  <si>
    <t>intake scheduled 5/29</t>
  </si>
  <si>
    <t>5/9 - need DHCI uploaded or active PA/SNAP # entered</t>
  </si>
  <si>
    <t>5/10 - need billing consent</t>
  </si>
  <si>
    <t>5/13 -  no notes, confirm rep</t>
  </si>
  <si>
    <t>needs waiver</t>
  </si>
  <si>
    <t>Advice call  back assigned on 6.5.19.</t>
  </si>
  <si>
    <t>5/10 - case status?</t>
  </si>
  <si>
    <t>Need income waiver for client who is part of a building wide initiative</t>
  </si>
  <si>
    <t>5/10 - no show to reschedule intake; close?</t>
  </si>
  <si>
    <t>need waiver if full rep &gt;200%</t>
  </si>
  <si>
    <t>refused to sign billing consent</t>
  </si>
  <si>
    <t>Conducted Evidentiary Hearing</t>
  </si>
  <si>
    <t>Filed/Argued/Supplemented Dispositive or other Substantive Motion</t>
  </si>
  <si>
    <t>Counsel Assisted in Filing or Refiling of Answer</t>
  </si>
  <si>
    <t>Filed for an Emergency Order to Show Cause</t>
  </si>
  <si>
    <t>Commenced Trial, Counsel Assisted in Filing or Refiling of Answer, Filed for an Emergency Order to Show Cause</t>
  </si>
  <si>
    <t>Counsel Assisted in Filing or Refiling of Answer, Filed/Argued/Supplemented Dispositive or other Substantive Motion</t>
  </si>
  <si>
    <t>Filed/Argued/Supplemented Dispositive or other Substantive Motion, Filed for an Emergency Order to Show Cause</t>
  </si>
  <si>
    <t>Case Discontinued/Dismissed/Landlord Fails to Prosecute, Case Resolved without Judgment of Eviction Against Client</t>
  </si>
  <si>
    <t>Case Discontinued/Dismissed/Landlord Fails to Prosecute, Case Resolved without Judgment of Eviction Against Client, Obtained Succession Rights to Residence</t>
  </si>
  <si>
    <t>Case Discontinued/Dismissed/Landlord Fails to Prosecute, Case Resolved without Judgment of Eviction Against Client, Secured Order or Agreement for Repairs in Apartment/Building</t>
  </si>
  <si>
    <t>Case Discontinued/Dismissed/Landlord Fails to Prosecute</t>
  </si>
  <si>
    <t>Case Resolved without Judgment of Eviction Against Client</t>
  </si>
  <si>
    <t>Case Discontinued/Dismissed/Landlord Fails to Prosecute, Other</t>
  </si>
  <si>
    <t>Case Discontinued/Dismissed/Landlord Fails to Prosecute, Case Resolved without Judgment of Eviction Against Client, Other</t>
  </si>
  <si>
    <t>Obtain Ongoing Rent Subsidy</t>
  </si>
  <si>
    <t>Case Discontinued/Dismissed/Landlord Fails to Prosecute, Secured Order or Agreement for Repairs in Apartment/Building</t>
  </si>
  <si>
    <t>Case Discontinued/Dismissed/Landlord Fails to Prosecute, Case Resolved without Judgment of Eviction Against Client, Obtain Ongoing Rent Subsidy</t>
  </si>
  <si>
    <t>Client Required to be Displaced from Residence</t>
  </si>
  <si>
    <t>Client Allowed to Remain in Residence</t>
  </si>
  <si>
    <t>2019-06-03</t>
  </si>
  <si>
    <t>2019-07-17</t>
  </si>
  <si>
    <t>2019-05-23</t>
  </si>
  <si>
    <t>2019-07-19</t>
  </si>
  <si>
    <t>2019-07-26</t>
  </si>
  <si>
    <t>2019-06-18</t>
  </si>
  <si>
    <t>2019-07-16</t>
  </si>
  <si>
    <t>2019-07-12</t>
  </si>
  <si>
    <t>2019-07-08</t>
  </si>
  <si>
    <t>2019-05-13</t>
  </si>
  <si>
    <t>2019-06-30</t>
  </si>
  <si>
    <t>2019-06-17</t>
  </si>
  <si>
    <t>2019-07-02</t>
  </si>
  <si>
    <t>2019-07-01</t>
  </si>
  <si>
    <t>2019-07-09</t>
  </si>
  <si>
    <t>2019-06-26</t>
  </si>
  <si>
    <t>2019-05-10</t>
  </si>
  <si>
    <t>06/17/2019</t>
  </si>
  <si>
    <t>06/14/2019</t>
  </si>
  <si>
    <t>03/05/2019</t>
  </si>
  <si>
    <t>04/02/2019</t>
  </si>
  <si>
    <t>05/29/2019</t>
  </si>
  <si>
    <t>04/16/2019</t>
  </si>
  <si>
    <t>04/11/2019</t>
  </si>
  <si>
    <t>05/01/2019</t>
  </si>
  <si>
    <t>06/05/2019</t>
  </si>
  <si>
    <t>04/24/2019</t>
  </si>
  <si>
    <t>05/08/2019</t>
  </si>
  <si>
    <t>05/20/2019</t>
  </si>
  <si>
    <t>05/13/2019</t>
  </si>
  <si>
    <t>04/23/2019</t>
  </si>
  <si>
    <t>04/15/2019</t>
  </si>
  <si>
    <t>06/20/2019</t>
  </si>
  <si>
    <t>05/15/2019</t>
  </si>
  <si>
    <t>06/19/2019</t>
  </si>
  <si>
    <t>05/07/2019</t>
  </si>
  <si>
    <t>06/04/2019</t>
  </si>
  <si>
    <t>06/26/2019</t>
  </si>
  <si>
    <t>06/18/2019</t>
  </si>
  <si>
    <t>06/21/2019</t>
  </si>
  <si>
    <t>06/25/2019</t>
  </si>
  <si>
    <t>06/13/2019</t>
  </si>
  <si>
    <t>04/30/2019</t>
  </si>
  <si>
    <t>04/25/2019</t>
  </si>
  <si>
    <t>05/30/2019</t>
  </si>
  <si>
    <t>06/28/2019</t>
  </si>
  <si>
    <t>04/18/2019</t>
  </si>
  <si>
    <t>05/14/2019</t>
  </si>
  <si>
    <t>06/27/2019</t>
  </si>
  <si>
    <t>06/03/2019</t>
  </si>
  <si>
    <t>06/06/2019</t>
  </si>
  <si>
    <t>06/07/2019</t>
  </si>
  <si>
    <t>04/17/2019</t>
  </si>
  <si>
    <t>05/02/2019</t>
  </si>
  <si>
    <t>04/03/2019</t>
  </si>
  <si>
    <t>04/10/2019</t>
  </si>
  <si>
    <t>05/21/2019</t>
  </si>
  <si>
    <t>05/06/2019</t>
  </si>
  <si>
    <t>05/28/2019</t>
  </si>
  <si>
    <t>05/10/2019</t>
  </si>
  <si>
    <t>04/22/2019</t>
  </si>
  <si>
    <t>05/22/2019</t>
  </si>
  <si>
    <t>06/10/2019</t>
  </si>
  <si>
    <t>05/31/2019</t>
  </si>
  <si>
    <t>06/12/2019</t>
  </si>
  <si>
    <t>04/09/2019</t>
  </si>
  <si>
    <t>04/19/2019</t>
  </si>
  <si>
    <t>05/19/2016</t>
  </si>
  <si>
    <t>04/08/2019</t>
  </si>
  <si>
    <t>08/01/2019</t>
  </si>
  <si>
    <t>05/09/2019</t>
  </si>
  <si>
    <t>04/04/2019</t>
  </si>
  <si>
    <t>07/21/2019</t>
  </si>
  <si>
    <t>06/11/2019</t>
  </si>
  <si>
    <t>07/27/2019</t>
  </si>
  <si>
    <t>07/14/2019</t>
  </si>
  <si>
    <t>06/15/2019</t>
  </si>
  <si>
    <t>Prado, Steven</t>
  </si>
  <si>
    <t>Martinez, Renee</t>
  </si>
  <si>
    <t>Wilson-Wieland, Cherille</t>
  </si>
  <si>
    <t>Then, Laura</t>
  </si>
  <si>
    <t>Djourab, Atteib</t>
  </si>
  <si>
    <t>Ortega, Luis</t>
  </si>
  <si>
    <t>Bernardez, Florencita</t>
  </si>
  <si>
    <t>Guzman Velazquez, Leida</t>
  </si>
  <si>
    <t>Pujols, Isabel</t>
  </si>
  <si>
    <t>Khanam, Aysha</t>
  </si>
  <si>
    <t>Baldova, Maria</t>
  </si>
  <si>
    <t>Acevedo, Tiffany</t>
  </si>
  <si>
    <t>Amponsah, Oheneba</t>
  </si>
  <si>
    <t>Morales-Robinson, Ana</t>
  </si>
  <si>
    <t>Lane, Diane</t>
  </si>
  <si>
    <t>Reid, Jude</t>
  </si>
  <si>
    <t>Dong, Sean</t>
  </si>
  <si>
    <t>Hernandez, Marisol</t>
  </si>
  <si>
    <t>Benitez, Vicenta</t>
  </si>
  <si>
    <t>Wong, Angela</t>
  </si>
  <si>
    <t>Castillo, Angel</t>
  </si>
  <si>
    <t>Frias De Sosa, Yajaira</t>
  </si>
  <si>
    <t>Escobar, Sarah</t>
  </si>
  <si>
    <t>Acosta, Rosa</t>
  </si>
  <si>
    <t>Castellanos, Rachel</t>
  </si>
  <si>
    <t>Garcia, Keiannis</t>
  </si>
  <si>
    <t>Stadler, Danielle</t>
  </si>
  <si>
    <t>Pierre, Haenley</t>
  </si>
  <si>
    <t>Schwartz, Ester</t>
  </si>
  <si>
    <t>Bowman, Cathy</t>
  </si>
  <si>
    <t>Haynes, Tralane</t>
  </si>
  <si>
    <t>Escalera, Antonette</t>
  </si>
  <si>
    <t>Alexis, Jennifer</t>
  </si>
  <si>
    <t>Dagg, Christopher</t>
  </si>
  <si>
    <t>Villanueva, Anthony</t>
  </si>
  <si>
    <t>Sampert, Monica</t>
  </si>
  <si>
    <t>Nataneli, Rachel</t>
  </si>
  <si>
    <t>Rodriguez, Ana</t>
  </si>
  <si>
    <t>Castillo, Evette</t>
  </si>
  <si>
    <t>Arboleda, Paula</t>
  </si>
  <si>
    <t>Bateman, Steven</t>
  </si>
  <si>
    <t>Mendez-Acosta, Maria</t>
  </si>
  <si>
    <t>Santiago, Denya</t>
  </si>
  <si>
    <t>Vergeli, Evelyn</t>
  </si>
  <si>
    <t>Hoffman, Julienne</t>
  </si>
  <si>
    <t>Salk, Nicole</t>
  </si>
  <si>
    <t>Medina, Marta</t>
  </si>
  <si>
    <t>Fuentes, Maria</t>
  </si>
  <si>
    <t>Jackson, Chavette</t>
  </si>
  <si>
    <t>Torres, Elizabeth</t>
  </si>
  <si>
    <t>Ding, Yun</t>
  </si>
  <si>
    <t>Garcia, Delci</t>
  </si>
  <si>
    <t>DHCI Form</t>
  </si>
  <si>
    <t>Active CA/SNAP</t>
  </si>
  <si>
    <t>Closed</t>
  </si>
  <si>
    <t>Open</t>
  </si>
  <si>
    <t>04/12/2019</t>
  </si>
  <si>
    <t>06/09/2019</t>
  </si>
  <si>
    <t>05/27/2019</t>
  </si>
  <si>
    <t>06/30/2019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</si>
</sst>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41"/>
  <sheetViews>
    <sheetView tabSelected="1" workbookViewId="0"/>
  </sheetViews>
  <sheetFormatPr defaultRowHeight="15"/>
  <cols>
    <col min="1" max="1" width="20.7109375" style="1" customWidth="1"/>
  </cols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 s="1">
        <f>HYPERLINK("https://lsnyc.legalserver.org/matter/dynamic-profile/view/1905412","19-1905412")</f>
        <v>0</v>
      </c>
      <c r="B2" t="s">
        <v>50</v>
      </c>
      <c r="C2" t="s">
        <v>306</v>
      </c>
      <c r="D2" t="s">
        <v>1640</v>
      </c>
      <c r="E2" t="s">
        <v>3075</v>
      </c>
      <c r="F2" t="s">
        <v>5093</v>
      </c>
      <c r="G2" t="s">
        <v>5635</v>
      </c>
      <c r="H2">
        <v>10457</v>
      </c>
      <c r="I2" t="s">
        <v>5695</v>
      </c>
      <c r="J2" t="s">
        <v>5696</v>
      </c>
      <c r="L2" t="s">
        <v>6711</v>
      </c>
      <c r="M2" t="s">
        <v>6732</v>
      </c>
      <c r="N2" t="s">
        <v>6739</v>
      </c>
      <c r="O2" t="s">
        <v>6745</v>
      </c>
      <c r="P2" t="s">
        <v>5697</v>
      </c>
      <c r="R2" t="s">
        <v>6793</v>
      </c>
      <c r="U2">
        <v>885.9299999999999</v>
      </c>
      <c r="V2" t="s">
        <v>6833</v>
      </c>
      <c r="W2" t="s">
        <v>6838</v>
      </c>
      <c r="X2" t="s">
        <v>6857</v>
      </c>
      <c r="Y2" t="s">
        <v>6871</v>
      </c>
      <c r="AB2">
        <v>73</v>
      </c>
      <c r="AC2" t="s">
        <v>10929</v>
      </c>
      <c r="AD2" t="s">
        <v>5741</v>
      </c>
      <c r="AE2">
        <v>43</v>
      </c>
      <c r="AF2">
        <v>1</v>
      </c>
      <c r="AG2">
        <v>0</v>
      </c>
      <c r="AH2">
        <v>480.38</v>
      </c>
      <c r="AK2" t="s">
        <v>10966</v>
      </c>
      <c r="AL2">
        <v>60000</v>
      </c>
      <c r="AR2">
        <v>1.25</v>
      </c>
      <c r="AS2" t="s">
        <v>6823</v>
      </c>
      <c r="AT2" t="s">
        <v>11176</v>
      </c>
      <c r="AU2" t="s">
        <v>11228</v>
      </c>
      <c r="AV2" t="s">
        <v>11230</v>
      </c>
      <c r="AW2" t="s">
        <v>6822</v>
      </c>
      <c r="AX2" t="s">
        <v>6823</v>
      </c>
    </row>
    <row r="3" spans="1:50">
      <c r="A3" s="1">
        <f>HYPERLINK("https://lsnyc.legalserver.org/matter/dynamic-profile/view/1897698","19-1897698")</f>
        <v>0</v>
      </c>
      <c r="B3" t="s">
        <v>51</v>
      </c>
      <c r="C3" t="s">
        <v>307</v>
      </c>
      <c r="D3" t="s">
        <v>1641</v>
      </c>
      <c r="E3" t="s">
        <v>3076</v>
      </c>
      <c r="G3" t="s">
        <v>5636</v>
      </c>
      <c r="H3">
        <v>10305</v>
      </c>
      <c r="I3" t="s">
        <v>5695</v>
      </c>
      <c r="J3" t="s">
        <v>5696</v>
      </c>
      <c r="K3" t="s">
        <v>5698</v>
      </c>
      <c r="L3" t="s">
        <v>6712</v>
      </c>
      <c r="M3" t="s">
        <v>6732</v>
      </c>
      <c r="N3" t="s">
        <v>6739</v>
      </c>
      <c r="O3" t="s">
        <v>6745</v>
      </c>
      <c r="P3" t="s">
        <v>5697</v>
      </c>
      <c r="R3" t="s">
        <v>6793</v>
      </c>
      <c r="S3" t="s">
        <v>6801</v>
      </c>
      <c r="U3">
        <v>0</v>
      </c>
      <c r="V3" t="s">
        <v>6834</v>
      </c>
      <c r="W3" t="s">
        <v>6839</v>
      </c>
      <c r="X3" t="s">
        <v>6857</v>
      </c>
      <c r="Y3" t="s">
        <v>6872</v>
      </c>
      <c r="AA3" t="s">
        <v>9091</v>
      </c>
      <c r="AB3">
        <v>3</v>
      </c>
      <c r="AC3" t="s">
        <v>10930</v>
      </c>
      <c r="AD3" t="s">
        <v>5741</v>
      </c>
      <c r="AE3">
        <v>1</v>
      </c>
      <c r="AF3">
        <v>2</v>
      </c>
      <c r="AG3">
        <v>0</v>
      </c>
      <c r="AH3">
        <v>42.58</v>
      </c>
      <c r="AK3" t="s">
        <v>10966</v>
      </c>
      <c r="AL3">
        <v>7200</v>
      </c>
      <c r="AO3" t="s">
        <v>6841</v>
      </c>
      <c r="AP3" t="s">
        <v>11097</v>
      </c>
      <c r="AR3">
        <v>3</v>
      </c>
      <c r="AS3" t="s">
        <v>6819</v>
      </c>
      <c r="AT3" t="s">
        <v>11177</v>
      </c>
      <c r="AU3" t="s">
        <v>11228</v>
      </c>
      <c r="AV3" t="s">
        <v>11230</v>
      </c>
      <c r="AW3" t="s">
        <v>10961</v>
      </c>
      <c r="AX3" t="s">
        <v>6819</v>
      </c>
    </row>
    <row r="4" spans="1:50">
      <c r="A4" s="1">
        <f>HYPERLINK("https://lsnyc.legalserver.org/matter/dynamic-profile/view/1905360","19-1905360")</f>
        <v>0</v>
      </c>
      <c r="B4" t="s">
        <v>52</v>
      </c>
      <c r="C4" t="s">
        <v>308</v>
      </c>
      <c r="D4" t="s">
        <v>1642</v>
      </c>
      <c r="E4" t="s">
        <v>3077</v>
      </c>
      <c r="F4" t="s">
        <v>5094</v>
      </c>
      <c r="G4" t="s">
        <v>5637</v>
      </c>
      <c r="H4">
        <v>11203</v>
      </c>
      <c r="I4" t="s">
        <v>5695</v>
      </c>
      <c r="J4" t="s">
        <v>5696</v>
      </c>
      <c r="K4" t="s">
        <v>5699</v>
      </c>
      <c r="L4" t="s">
        <v>6712</v>
      </c>
      <c r="M4" t="s">
        <v>6732</v>
      </c>
      <c r="N4" t="s">
        <v>6739</v>
      </c>
      <c r="O4" t="s">
        <v>6746</v>
      </c>
      <c r="R4" t="s">
        <v>6793</v>
      </c>
      <c r="U4">
        <v>1000</v>
      </c>
      <c r="V4" t="s">
        <v>6835</v>
      </c>
      <c r="W4" t="s">
        <v>6840</v>
      </c>
      <c r="X4" t="s">
        <v>6857</v>
      </c>
      <c r="Y4" t="s">
        <v>6873</v>
      </c>
      <c r="AA4" t="s">
        <v>9092</v>
      </c>
      <c r="AB4">
        <v>0</v>
      </c>
      <c r="AD4" t="s">
        <v>5741</v>
      </c>
      <c r="AE4">
        <v>23</v>
      </c>
      <c r="AF4">
        <v>3</v>
      </c>
      <c r="AG4">
        <v>0</v>
      </c>
      <c r="AH4">
        <v>168.78</v>
      </c>
      <c r="AK4" t="s">
        <v>10966</v>
      </c>
      <c r="AL4">
        <v>36000</v>
      </c>
      <c r="AR4">
        <v>1.4</v>
      </c>
      <c r="AS4" t="s">
        <v>6828</v>
      </c>
      <c r="AT4" t="s">
        <v>11178</v>
      </c>
      <c r="AU4" t="s">
        <v>11228</v>
      </c>
      <c r="AV4" t="s">
        <v>11230</v>
      </c>
      <c r="AW4" t="s">
        <v>6828</v>
      </c>
      <c r="AX4" t="s">
        <v>6828</v>
      </c>
    </row>
    <row r="5" spans="1:50">
      <c r="A5" s="1">
        <f>HYPERLINK("https://lsnyc.legalserver.org/matter/dynamic-profile/view/1902946","19-1902946")</f>
        <v>0</v>
      </c>
      <c r="B5" t="s">
        <v>53</v>
      </c>
      <c r="C5" t="s">
        <v>309</v>
      </c>
      <c r="D5" t="s">
        <v>1643</v>
      </c>
      <c r="E5" t="s">
        <v>3078</v>
      </c>
      <c r="F5">
        <v>3</v>
      </c>
      <c r="G5" t="s">
        <v>5635</v>
      </c>
      <c r="H5">
        <v>10459</v>
      </c>
      <c r="I5" t="s">
        <v>5695</v>
      </c>
      <c r="J5" t="s">
        <v>5696</v>
      </c>
      <c r="K5" t="s">
        <v>5700</v>
      </c>
      <c r="L5" t="s">
        <v>6712</v>
      </c>
      <c r="M5" t="s">
        <v>6732</v>
      </c>
      <c r="N5" t="s">
        <v>6739</v>
      </c>
      <c r="O5" t="s">
        <v>6747</v>
      </c>
      <c r="P5" t="s">
        <v>5697</v>
      </c>
      <c r="R5" t="s">
        <v>6793</v>
      </c>
      <c r="S5" t="s">
        <v>6801</v>
      </c>
      <c r="U5">
        <v>0</v>
      </c>
      <c r="V5" t="s">
        <v>6833</v>
      </c>
      <c r="W5" t="s">
        <v>6839</v>
      </c>
      <c r="X5" t="s">
        <v>6857</v>
      </c>
      <c r="Y5" t="s">
        <v>6874</v>
      </c>
      <c r="AA5" t="s">
        <v>9093</v>
      </c>
      <c r="AB5">
        <v>4</v>
      </c>
      <c r="AC5" t="s">
        <v>10930</v>
      </c>
      <c r="AE5">
        <v>4</v>
      </c>
      <c r="AF5">
        <v>1</v>
      </c>
      <c r="AG5">
        <v>4</v>
      </c>
      <c r="AH5">
        <v>19.99</v>
      </c>
      <c r="AL5">
        <v>6032</v>
      </c>
      <c r="AR5">
        <v>1.45</v>
      </c>
      <c r="AS5" t="s">
        <v>6808</v>
      </c>
      <c r="AT5" t="s">
        <v>288</v>
      </c>
      <c r="AU5" t="s">
        <v>11228</v>
      </c>
      <c r="AV5" t="s">
        <v>11230</v>
      </c>
      <c r="AW5" t="s">
        <v>11131</v>
      </c>
      <c r="AX5" t="s">
        <v>6808</v>
      </c>
    </row>
    <row r="6" spans="1:50">
      <c r="A6" s="1">
        <f>HYPERLINK("https://lsnyc.legalserver.org/matter/dynamic-profile/view/1903941","19-1903941")</f>
        <v>0</v>
      </c>
      <c r="B6" t="s">
        <v>53</v>
      </c>
      <c r="C6" t="s">
        <v>310</v>
      </c>
      <c r="D6" t="s">
        <v>1644</v>
      </c>
      <c r="E6" t="s">
        <v>3079</v>
      </c>
      <c r="F6">
        <v>19</v>
      </c>
      <c r="G6" t="s">
        <v>5635</v>
      </c>
      <c r="H6">
        <v>10459</v>
      </c>
      <c r="I6" t="s">
        <v>5695</v>
      </c>
      <c r="J6" t="s">
        <v>5696</v>
      </c>
      <c r="K6" t="s">
        <v>5701</v>
      </c>
      <c r="L6" t="s">
        <v>6712</v>
      </c>
      <c r="M6" t="s">
        <v>6732</v>
      </c>
      <c r="N6" t="s">
        <v>6739</v>
      </c>
      <c r="O6" t="s">
        <v>6747</v>
      </c>
      <c r="R6" t="s">
        <v>6793</v>
      </c>
      <c r="S6" t="s">
        <v>6801</v>
      </c>
      <c r="T6" t="s">
        <v>6807</v>
      </c>
      <c r="U6">
        <v>383</v>
      </c>
      <c r="V6" t="s">
        <v>6833</v>
      </c>
      <c r="W6" t="s">
        <v>6839</v>
      </c>
      <c r="X6" t="s">
        <v>6857</v>
      </c>
      <c r="Y6" t="s">
        <v>6875</v>
      </c>
      <c r="AA6" t="s">
        <v>9094</v>
      </c>
      <c r="AB6">
        <v>20</v>
      </c>
      <c r="AC6" t="s">
        <v>8953</v>
      </c>
      <c r="AD6" t="s">
        <v>5741</v>
      </c>
      <c r="AE6">
        <v>33</v>
      </c>
      <c r="AF6">
        <v>4</v>
      </c>
      <c r="AG6">
        <v>0</v>
      </c>
      <c r="AH6">
        <v>71.77</v>
      </c>
      <c r="AK6" t="s">
        <v>10966</v>
      </c>
      <c r="AL6">
        <v>18480</v>
      </c>
      <c r="AR6">
        <v>4.05</v>
      </c>
      <c r="AS6" t="s">
        <v>6814</v>
      </c>
      <c r="AT6" t="s">
        <v>11179</v>
      </c>
      <c r="AU6" t="s">
        <v>11228</v>
      </c>
      <c r="AV6" t="s">
        <v>11230</v>
      </c>
      <c r="AW6" t="s">
        <v>6807</v>
      </c>
      <c r="AX6" t="s">
        <v>6814</v>
      </c>
    </row>
    <row r="7" spans="1:50">
      <c r="A7" s="1">
        <f>HYPERLINK("https://lsnyc.legalserver.org/matter/dynamic-profile/view/1902937","19-1902937")</f>
        <v>0</v>
      </c>
      <c r="B7" t="s">
        <v>53</v>
      </c>
      <c r="C7" t="s">
        <v>311</v>
      </c>
      <c r="D7" t="s">
        <v>1645</v>
      </c>
      <c r="E7" t="s">
        <v>3078</v>
      </c>
      <c r="F7">
        <v>2</v>
      </c>
      <c r="G7" t="s">
        <v>5635</v>
      </c>
      <c r="H7">
        <v>10459</v>
      </c>
      <c r="I7" t="s">
        <v>5695</v>
      </c>
      <c r="J7" t="s">
        <v>5696</v>
      </c>
      <c r="K7" t="s">
        <v>5702</v>
      </c>
      <c r="L7" t="s">
        <v>6712</v>
      </c>
      <c r="M7" t="s">
        <v>6732</v>
      </c>
      <c r="N7" t="s">
        <v>6739</v>
      </c>
      <c r="O7" t="s">
        <v>6747</v>
      </c>
      <c r="R7" t="s">
        <v>6793</v>
      </c>
      <c r="S7" t="s">
        <v>6801</v>
      </c>
      <c r="U7">
        <v>1866</v>
      </c>
      <c r="V7" t="s">
        <v>6833</v>
      </c>
      <c r="W7" t="s">
        <v>6839</v>
      </c>
      <c r="X7" t="s">
        <v>6857</v>
      </c>
      <c r="Y7" t="s">
        <v>6876</v>
      </c>
      <c r="AA7" t="s">
        <v>9095</v>
      </c>
      <c r="AB7">
        <v>4</v>
      </c>
      <c r="AC7" t="s">
        <v>10930</v>
      </c>
      <c r="AE7">
        <v>4</v>
      </c>
      <c r="AF7">
        <v>1</v>
      </c>
      <c r="AG7">
        <v>5</v>
      </c>
      <c r="AH7">
        <v>26.38</v>
      </c>
      <c r="AK7" t="s">
        <v>10966</v>
      </c>
      <c r="AL7">
        <v>9126</v>
      </c>
      <c r="AR7">
        <v>1.05</v>
      </c>
      <c r="AS7" t="s">
        <v>6820</v>
      </c>
      <c r="AT7" t="s">
        <v>288</v>
      </c>
      <c r="AU7" t="s">
        <v>11228</v>
      </c>
      <c r="AV7" t="s">
        <v>11230</v>
      </c>
      <c r="AW7" t="s">
        <v>11131</v>
      </c>
      <c r="AX7" t="s">
        <v>6820</v>
      </c>
    </row>
    <row r="8" spans="1:50">
      <c r="A8" s="1">
        <f>HYPERLINK("https://lsnyc.legalserver.org/matter/dynamic-profile/view/1896072","19-1896072")</f>
        <v>0</v>
      </c>
      <c r="B8" t="s">
        <v>54</v>
      </c>
      <c r="C8" t="s">
        <v>312</v>
      </c>
      <c r="D8" t="s">
        <v>1646</v>
      </c>
      <c r="E8" t="s">
        <v>3080</v>
      </c>
      <c r="F8" t="s">
        <v>5095</v>
      </c>
      <c r="G8" t="s">
        <v>5636</v>
      </c>
      <c r="H8">
        <v>10304</v>
      </c>
      <c r="I8" t="s">
        <v>5696</v>
      </c>
      <c r="J8" t="s">
        <v>5696</v>
      </c>
      <c r="K8" t="s">
        <v>5703</v>
      </c>
      <c r="L8" t="s">
        <v>6712</v>
      </c>
      <c r="M8" t="s">
        <v>6732</v>
      </c>
      <c r="N8" t="s">
        <v>6739</v>
      </c>
      <c r="O8" t="s">
        <v>6748</v>
      </c>
      <c r="R8" t="s">
        <v>6793</v>
      </c>
      <c r="U8">
        <v>1300</v>
      </c>
      <c r="V8" t="s">
        <v>6834</v>
      </c>
      <c r="W8" t="s">
        <v>6841</v>
      </c>
      <c r="X8" t="s">
        <v>6857</v>
      </c>
      <c r="Y8" t="s">
        <v>6877</v>
      </c>
      <c r="AA8" t="s">
        <v>9096</v>
      </c>
      <c r="AB8">
        <v>0</v>
      </c>
      <c r="AC8" t="s">
        <v>10929</v>
      </c>
      <c r="AD8" t="s">
        <v>10943</v>
      </c>
      <c r="AE8">
        <v>3</v>
      </c>
      <c r="AF8">
        <v>1</v>
      </c>
      <c r="AG8">
        <v>0</v>
      </c>
      <c r="AH8">
        <v>36.7</v>
      </c>
      <c r="AK8" t="s">
        <v>10966</v>
      </c>
      <c r="AL8">
        <v>4584</v>
      </c>
      <c r="AR8">
        <v>0.5</v>
      </c>
      <c r="AS8" t="s">
        <v>10962</v>
      </c>
      <c r="AT8" t="s">
        <v>11180</v>
      </c>
      <c r="AV8" t="s">
        <v>11230</v>
      </c>
      <c r="AW8" t="s">
        <v>10962</v>
      </c>
      <c r="AX8" t="s">
        <v>11159</v>
      </c>
    </row>
    <row r="9" spans="1:50">
      <c r="A9" s="1">
        <f>HYPERLINK("https://lsnyc.legalserver.org/matter/dynamic-profile/view/1896260","19-1896260")</f>
        <v>0</v>
      </c>
      <c r="B9" t="s">
        <v>55</v>
      </c>
      <c r="C9" t="s">
        <v>313</v>
      </c>
      <c r="D9" t="s">
        <v>1647</v>
      </c>
      <c r="E9" t="s">
        <v>3081</v>
      </c>
      <c r="G9" t="s">
        <v>5638</v>
      </c>
      <c r="H9">
        <v>10025</v>
      </c>
      <c r="I9" t="s">
        <v>5695</v>
      </c>
      <c r="J9" t="s">
        <v>5696</v>
      </c>
      <c r="K9" t="s">
        <v>5704</v>
      </c>
      <c r="L9" t="s">
        <v>6712</v>
      </c>
      <c r="M9" t="s">
        <v>6732</v>
      </c>
      <c r="N9" t="s">
        <v>6739</v>
      </c>
      <c r="O9" t="s">
        <v>6749</v>
      </c>
      <c r="P9" t="s">
        <v>5697</v>
      </c>
      <c r="R9" t="s">
        <v>6793</v>
      </c>
      <c r="U9">
        <v>0</v>
      </c>
      <c r="V9" t="s">
        <v>6836</v>
      </c>
      <c r="X9" t="s">
        <v>6857</v>
      </c>
      <c r="Y9" t="s">
        <v>6878</v>
      </c>
      <c r="AA9" t="s">
        <v>9097</v>
      </c>
      <c r="AB9">
        <v>124</v>
      </c>
      <c r="AE9">
        <v>0</v>
      </c>
      <c r="AF9">
        <v>5</v>
      </c>
      <c r="AG9">
        <v>0</v>
      </c>
      <c r="AH9">
        <v>361.29</v>
      </c>
      <c r="AK9" t="s">
        <v>10966</v>
      </c>
      <c r="AL9">
        <v>109000</v>
      </c>
      <c r="AR9">
        <v>1.2</v>
      </c>
      <c r="AS9" t="s">
        <v>11116</v>
      </c>
      <c r="AT9" t="s">
        <v>301</v>
      </c>
      <c r="AV9" t="s">
        <v>11230</v>
      </c>
      <c r="AW9" t="s">
        <v>11167</v>
      </c>
      <c r="AX9" t="s">
        <v>11137</v>
      </c>
    </row>
    <row r="10" spans="1:50">
      <c r="A10" s="1">
        <f>HYPERLINK("https://lsnyc.legalserver.org/matter/dynamic-profile/view/1900200","19-1900200")</f>
        <v>0</v>
      </c>
      <c r="B10" t="s">
        <v>56</v>
      </c>
      <c r="C10" t="s">
        <v>314</v>
      </c>
      <c r="D10" t="s">
        <v>1648</v>
      </c>
      <c r="E10" t="s">
        <v>3082</v>
      </c>
      <c r="F10" t="s">
        <v>5096</v>
      </c>
      <c r="G10" t="s">
        <v>5637</v>
      </c>
      <c r="H10">
        <v>11203</v>
      </c>
      <c r="I10" t="s">
        <v>5696</v>
      </c>
      <c r="J10" t="s">
        <v>5696</v>
      </c>
      <c r="K10" t="s">
        <v>5705</v>
      </c>
      <c r="L10" t="s">
        <v>6712</v>
      </c>
      <c r="M10" t="s">
        <v>6732</v>
      </c>
      <c r="N10" t="s">
        <v>6739</v>
      </c>
      <c r="O10" t="s">
        <v>6748</v>
      </c>
      <c r="R10" t="s">
        <v>6793</v>
      </c>
      <c r="U10">
        <v>1850</v>
      </c>
      <c r="V10" t="s">
        <v>6835</v>
      </c>
      <c r="W10" t="s">
        <v>6841</v>
      </c>
      <c r="X10" t="s">
        <v>6857</v>
      </c>
      <c r="Y10" t="s">
        <v>6879</v>
      </c>
      <c r="AA10" t="s">
        <v>9098</v>
      </c>
      <c r="AB10">
        <v>3</v>
      </c>
      <c r="AE10">
        <v>4</v>
      </c>
      <c r="AF10">
        <v>1</v>
      </c>
      <c r="AG10">
        <v>3</v>
      </c>
      <c r="AH10">
        <v>18.64</v>
      </c>
      <c r="AK10" t="s">
        <v>10966</v>
      </c>
      <c r="AL10">
        <v>4800</v>
      </c>
      <c r="AR10">
        <v>2.9</v>
      </c>
      <c r="AS10" t="s">
        <v>11117</v>
      </c>
      <c r="AT10" t="s">
        <v>11181</v>
      </c>
      <c r="AV10" t="s">
        <v>11230</v>
      </c>
      <c r="AW10" t="s">
        <v>11127</v>
      </c>
      <c r="AX10" t="s">
        <v>11117</v>
      </c>
    </row>
    <row r="11" spans="1:50">
      <c r="A11" s="1">
        <f>HYPERLINK("https://lsnyc.legalserver.org/matter/dynamic-profile/view/1905222","19-1905222")</f>
        <v>0</v>
      </c>
      <c r="B11" t="s">
        <v>57</v>
      </c>
      <c r="C11" t="s">
        <v>315</v>
      </c>
      <c r="D11" t="s">
        <v>1640</v>
      </c>
      <c r="E11" t="s">
        <v>3083</v>
      </c>
      <c r="F11" t="s">
        <v>5097</v>
      </c>
      <c r="G11" t="s">
        <v>5639</v>
      </c>
      <c r="H11">
        <v>11693</v>
      </c>
      <c r="I11" t="s">
        <v>5695</v>
      </c>
      <c r="J11" t="s">
        <v>5696</v>
      </c>
      <c r="K11" t="s">
        <v>5706</v>
      </c>
      <c r="L11" t="s">
        <v>6712</v>
      </c>
      <c r="M11" t="s">
        <v>6732</v>
      </c>
      <c r="N11" t="s">
        <v>6739</v>
      </c>
      <c r="O11" t="s">
        <v>6750</v>
      </c>
      <c r="P11" t="s">
        <v>5697</v>
      </c>
      <c r="R11" t="s">
        <v>6794</v>
      </c>
      <c r="T11" t="s">
        <v>6808</v>
      </c>
      <c r="U11">
        <v>108</v>
      </c>
      <c r="V11" t="s">
        <v>6837</v>
      </c>
      <c r="W11" t="s">
        <v>6840</v>
      </c>
      <c r="X11" t="s">
        <v>6857</v>
      </c>
      <c r="Y11" t="s">
        <v>6880</v>
      </c>
      <c r="AA11" t="s">
        <v>9099</v>
      </c>
      <c r="AB11">
        <v>42</v>
      </c>
      <c r="AC11" t="s">
        <v>10931</v>
      </c>
      <c r="AD11" t="s">
        <v>5741</v>
      </c>
      <c r="AE11">
        <v>20</v>
      </c>
      <c r="AF11">
        <v>1</v>
      </c>
      <c r="AG11">
        <v>0</v>
      </c>
      <c r="AH11">
        <v>100.08</v>
      </c>
      <c r="AK11" t="s">
        <v>10966</v>
      </c>
      <c r="AL11">
        <v>12500</v>
      </c>
      <c r="AR11">
        <v>1.95</v>
      </c>
      <c r="AS11" t="s">
        <v>6819</v>
      </c>
      <c r="AT11" t="s">
        <v>11182</v>
      </c>
      <c r="AU11" t="s">
        <v>11228</v>
      </c>
      <c r="AV11" t="s">
        <v>11230</v>
      </c>
      <c r="AW11" t="s">
        <v>6808</v>
      </c>
      <c r="AX11" t="s">
        <v>6823</v>
      </c>
    </row>
    <row r="12" spans="1:50">
      <c r="A12" s="1">
        <f>HYPERLINK("https://lsnyc.legalserver.org/matter/dynamic-profile/view/1900570","19-1900570")</f>
        <v>0</v>
      </c>
      <c r="B12" t="s">
        <v>58</v>
      </c>
      <c r="C12" t="s">
        <v>316</v>
      </c>
      <c r="D12" t="s">
        <v>1649</v>
      </c>
      <c r="E12" t="s">
        <v>3084</v>
      </c>
      <c r="F12">
        <v>3</v>
      </c>
      <c r="G12" t="s">
        <v>5637</v>
      </c>
      <c r="H12">
        <v>11208</v>
      </c>
      <c r="I12" t="s">
        <v>5695</v>
      </c>
      <c r="J12" t="s">
        <v>5696</v>
      </c>
      <c r="K12" t="s">
        <v>5707</v>
      </c>
      <c r="L12" t="s">
        <v>6712</v>
      </c>
      <c r="M12" t="s">
        <v>6732</v>
      </c>
      <c r="N12" t="s">
        <v>6739</v>
      </c>
      <c r="O12" t="s">
        <v>6748</v>
      </c>
      <c r="R12" t="s">
        <v>6793</v>
      </c>
      <c r="U12">
        <v>0</v>
      </c>
      <c r="V12" t="s">
        <v>6835</v>
      </c>
      <c r="W12" t="s">
        <v>6840</v>
      </c>
      <c r="X12" t="s">
        <v>6857</v>
      </c>
      <c r="Y12" t="s">
        <v>6881</v>
      </c>
      <c r="AA12" t="s">
        <v>9100</v>
      </c>
      <c r="AB12">
        <v>3</v>
      </c>
      <c r="AE12">
        <v>8</v>
      </c>
      <c r="AF12">
        <v>1</v>
      </c>
      <c r="AG12">
        <v>2</v>
      </c>
      <c r="AH12">
        <v>33.66</v>
      </c>
      <c r="AK12" t="s">
        <v>10966</v>
      </c>
      <c r="AL12">
        <v>7180</v>
      </c>
      <c r="AR12">
        <v>1.51</v>
      </c>
      <c r="AS12" t="s">
        <v>6825</v>
      </c>
      <c r="AT12" t="s">
        <v>11183</v>
      </c>
      <c r="AU12" t="s">
        <v>11228</v>
      </c>
      <c r="AV12" t="s">
        <v>11230</v>
      </c>
      <c r="AW12" t="s">
        <v>6895</v>
      </c>
      <c r="AX12" t="s">
        <v>6814</v>
      </c>
    </row>
    <row r="13" spans="1:50">
      <c r="A13" s="1">
        <f>HYPERLINK("https://lsnyc.legalserver.org/matter/dynamic-profile/view/1904654","19-1904654")</f>
        <v>0</v>
      </c>
      <c r="B13" t="s">
        <v>53</v>
      </c>
      <c r="C13" t="s">
        <v>317</v>
      </c>
      <c r="D13" t="s">
        <v>866</v>
      </c>
      <c r="E13" t="s">
        <v>3085</v>
      </c>
      <c r="F13">
        <v>325</v>
      </c>
      <c r="G13" t="s">
        <v>5635</v>
      </c>
      <c r="H13">
        <v>10455</v>
      </c>
      <c r="I13" t="s">
        <v>5695</v>
      </c>
      <c r="J13" t="s">
        <v>5696</v>
      </c>
      <c r="K13" t="s">
        <v>5708</v>
      </c>
      <c r="L13" t="s">
        <v>6712</v>
      </c>
      <c r="M13" t="s">
        <v>6732</v>
      </c>
      <c r="N13" t="s">
        <v>6739</v>
      </c>
      <c r="O13" t="s">
        <v>6747</v>
      </c>
      <c r="R13" t="s">
        <v>6793</v>
      </c>
      <c r="S13" t="s">
        <v>6801</v>
      </c>
      <c r="U13">
        <v>1942.15</v>
      </c>
      <c r="V13" t="s">
        <v>6833</v>
      </c>
      <c r="X13" t="s">
        <v>6857</v>
      </c>
      <c r="Y13" t="s">
        <v>6882</v>
      </c>
      <c r="AA13" t="s">
        <v>9101</v>
      </c>
      <c r="AB13">
        <v>0</v>
      </c>
      <c r="AC13" t="s">
        <v>10932</v>
      </c>
      <c r="AE13">
        <v>1</v>
      </c>
      <c r="AF13">
        <v>1</v>
      </c>
      <c r="AG13">
        <v>0</v>
      </c>
      <c r="AH13">
        <v>67.34999999999999</v>
      </c>
      <c r="AK13" t="s">
        <v>10966</v>
      </c>
      <c r="AL13">
        <v>8412</v>
      </c>
      <c r="AR13">
        <v>0.5</v>
      </c>
      <c r="AS13" t="s">
        <v>6823</v>
      </c>
      <c r="AT13" t="s">
        <v>139</v>
      </c>
      <c r="AU13" t="s">
        <v>11228</v>
      </c>
      <c r="AV13" t="s">
        <v>11230</v>
      </c>
      <c r="AW13" t="s">
        <v>6809</v>
      </c>
      <c r="AX13" t="s">
        <v>6823</v>
      </c>
    </row>
    <row r="14" spans="1:50">
      <c r="A14" s="1">
        <f>HYPERLINK("https://lsnyc.legalserver.org/matter/dynamic-profile/view/1905311","19-1905311")</f>
        <v>0</v>
      </c>
      <c r="B14" t="s">
        <v>59</v>
      </c>
      <c r="C14" t="s">
        <v>318</v>
      </c>
      <c r="D14" t="s">
        <v>1650</v>
      </c>
      <c r="E14" t="s">
        <v>3086</v>
      </c>
      <c r="F14" t="s">
        <v>5098</v>
      </c>
      <c r="G14" t="s">
        <v>5640</v>
      </c>
      <c r="H14">
        <v>11421</v>
      </c>
      <c r="I14" t="s">
        <v>5695</v>
      </c>
      <c r="J14" t="s">
        <v>5696</v>
      </c>
      <c r="K14" t="s">
        <v>5709</v>
      </c>
      <c r="L14" t="s">
        <v>6712</v>
      </c>
      <c r="M14" t="s">
        <v>6732</v>
      </c>
      <c r="N14" t="s">
        <v>6739</v>
      </c>
      <c r="O14" t="s">
        <v>6750</v>
      </c>
      <c r="P14" t="s">
        <v>5697</v>
      </c>
      <c r="R14" t="s">
        <v>6793</v>
      </c>
      <c r="S14" t="s">
        <v>6801</v>
      </c>
      <c r="T14" t="s">
        <v>6808</v>
      </c>
      <c r="U14">
        <v>1300</v>
      </c>
      <c r="V14" t="s">
        <v>6837</v>
      </c>
      <c r="W14" t="s">
        <v>6840</v>
      </c>
      <c r="X14" t="s">
        <v>6857</v>
      </c>
      <c r="Y14" t="s">
        <v>6883</v>
      </c>
      <c r="Z14" t="s">
        <v>5741</v>
      </c>
      <c r="AA14" t="s">
        <v>9102</v>
      </c>
      <c r="AB14">
        <v>3</v>
      </c>
      <c r="AC14" t="s">
        <v>10930</v>
      </c>
      <c r="AD14" t="s">
        <v>5741</v>
      </c>
      <c r="AE14">
        <v>7</v>
      </c>
      <c r="AF14">
        <v>1</v>
      </c>
      <c r="AG14">
        <v>3</v>
      </c>
      <c r="AH14">
        <v>116.12</v>
      </c>
      <c r="AK14" t="s">
        <v>10966</v>
      </c>
      <c r="AL14">
        <v>29900</v>
      </c>
      <c r="AR14">
        <v>2.23</v>
      </c>
      <c r="AS14" t="s">
        <v>6819</v>
      </c>
      <c r="AT14" t="s">
        <v>11184</v>
      </c>
      <c r="AU14" t="s">
        <v>11228</v>
      </c>
      <c r="AV14" t="s">
        <v>11230</v>
      </c>
      <c r="AW14" t="s">
        <v>6808</v>
      </c>
      <c r="AX14" t="s">
        <v>6824</v>
      </c>
    </row>
    <row r="15" spans="1:50">
      <c r="A15" s="1">
        <f>HYPERLINK("https://lsnyc.legalserver.org/matter/dynamic-profile/view/1904471","19-1904471")</f>
        <v>0</v>
      </c>
      <c r="B15" t="s">
        <v>60</v>
      </c>
      <c r="C15" t="s">
        <v>319</v>
      </c>
      <c r="D15" t="s">
        <v>1651</v>
      </c>
      <c r="E15" t="s">
        <v>3087</v>
      </c>
      <c r="F15" t="s">
        <v>5099</v>
      </c>
      <c r="G15" t="s">
        <v>5636</v>
      </c>
      <c r="H15">
        <v>10306</v>
      </c>
      <c r="I15" t="s">
        <v>5695</v>
      </c>
      <c r="J15" t="s">
        <v>5696</v>
      </c>
      <c r="K15" t="s">
        <v>5710</v>
      </c>
      <c r="L15" t="s">
        <v>6712</v>
      </c>
      <c r="M15" t="s">
        <v>6732</v>
      </c>
      <c r="N15" t="s">
        <v>6739</v>
      </c>
      <c r="O15" t="s">
        <v>6751</v>
      </c>
      <c r="P15" t="s">
        <v>5697</v>
      </c>
      <c r="R15" t="s">
        <v>6793</v>
      </c>
      <c r="S15" t="s">
        <v>6801</v>
      </c>
      <c r="T15" t="s">
        <v>6809</v>
      </c>
      <c r="U15">
        <v>600</v>
      </c>
      <c r="V15" t="s">
        <v>6834</v>
      </c>
      <c r="W15" t="s">
        <v>6839</v>
      </c>
      <c r="X15" t="s">
        <v>6857</v>
      </c>
      <c r="Y15" t="s">
        <v>6884</v>
      </c>
      <c r="AA15" t="s">
        <v>9103</v>
      </c>
      <c r="AB15">
        <v>70</v>
      </c>
      <c r="AC15" t="s">
        <v>10931</v>
      </c>
      <c r="AD15" t="s">
        <v>5741</v>
      </c>
      <c r="AE15">
        <v>0</v>
      </c>
      <c r="AF15">
        <v>1</v>
      </c>
      <c r="AG15">
        <v>1</v>
      </c>
      <c r="AH15">
        <v>92.25</v>
      </c>
      <c r="AK15" t="s">
        <v>10966</v>
      </c>
      <c r="AL15">
        <v>15600</v>
      </c>
      <c r="AR15">
        <v>1.6</v>
      </c>
      <c r="AS15" t="s">
        <v>6814</v>
      </c>
      <c r="AT15" t="s">
        <v>11177</v>
      </c>
      <c r="AU15" t="s">
        <v>11228</v>
      </c>
      <c r="AV15" t="s">
        <v>11230</v>
      </c>
      <c r="AW15" t="s">
        <v>6809</v>
      </c>
      <c r="AX15" t="s">
        <v>6814</v>
      </c>
    </row>
    <row r="16" spans="1:50">
      <c r="A16" s="1">
        <f>HYPERLINK("https://lsnyc.legalserver.org/matter/dynamic-profile/view/1892794","19-1892794")</f>
        <v>0</v>
      </c>
      <c r="B16" t="s">
        <v>61</v>
      </c>
      <c r="C16" t="s">
        <v>320</v>
      </c>
      <c r="D16" t="s">
        <v>1652</v>
      </c>
      <c r="E16" t="s">
        <v>3088</v>
      </c>
      <c r="G16" t="s">
        <v>5641</v>
      </c>
      <c r="H16">
        <v>11356</v>
      </c>
      <c r="I16" t="s">
        <v>5696</v>
      </c>
      <c r="J16" t="s">
        <v>5696</v>
      </c>
      <c r="K16" t="s">
        <v>5711</v>
      </c>
      <c r="L16" t="s">
        <v>6712</v>
      </c>
      <c r="M16" t="s">
        <v>6732</v>
      </c>
      <c r="N16" t="s">
        <v>6739</v>
      </c>
      <c r="O16" t="s">
        <v>6750</v>
      </c>
      <c r="P16" t="s">
        <v>5697</v>
      </c>
      <c r="R16" t="s">
        <v>6793</v>
      </c>
      <c r="U16">
        <v>1500</v>
      </c>
      <c r="V16" t="s">
        <v>6837</v>
      </c>
      <c r="W16" t="s">
        <v>6840</v>
      </c>
      <c r="X16" t="s">
        <v>6857</v>
      </c>
      <c r="Y16" t="s">
        <v>6885</v>
      </c>
      <c r="AA16" t="s">
        <v>9104</v>
      </c>
      <c r="AB16">
        <v>4</v>
      </c>
      <c r="AC16" t="s">
        <v>10930</v>
      </c>
      <c r="AE16">
        <v>2</v>
      </c>
      <c r="AF16">
        <v>1</v>
      </c>
      <c r="AG16">
        <v>2</v>
      </c>
      <c r="AH16">
        <v>140.65</v>
      </c>
      <c r="AK16" t="s">
        <v>10967</v>
      </c>
      <c r="AL16">
        <v>30000</v>
      </c>
      <c r="AR16">
        <v>1</v>
      </c>
      <c r="AS16" t="s">
        <v>11118</v>
      </c>
      <c r="AT16" t="s">
        <v>73</v>
      </c>
      <c r="AV16" t="s">
        <v>11230</v>
      </c>
      <c r="AW16" t="s">
        <v>10958</v>
      </c>
      <c r="AX16" t="s">
        <v>10958</v>
      </c>
    </row>
    <row r="17" spans="1:50">
      <c r="A17" s="1">
        <f>HYPERLINK("https://lsnyc.legalserver.org/matter/dynamic-profile/view/1895589","19-1895589")</f>
        <v>0</v>
      </c>
      <c r="B17" t="s">
        <v>62</v>
      </c>
      <c r="C17" t="s">
        <v>321</v>
      </c>
      <c r="D17" t="s">
        <v>1653</v>
      </c>
      <c r="E17" t="s">
        <v>3089</v>
      </c>
      <c r="G17" t="s">
        <v>5635</v>
      </c>
      <c r="H17">
        <v>10462</v>
      </c>
      <c r="I17" t="s">
        <v>5696</v>
      </c>
      <c r="J17" t="s">
        <v>5696</v>
      </c>
      <c r="K17" t="s">
        <v>5712</v>
      </c>
      <c r="L17" t="s">
        <v>6712</v>
      </c>
      <c r="M17" t="s">
        <v>6732</v>
      </c>
      <c r="N17" t="s">
        <v>6739</v>
      </c>
      <c r="O17" t="s">
        <v>6748</v>
      </c>
      <c r="R17" t="s">
        <v>6795</v>
      </c>
      <c r="U17">
        <v>2500</v>
      </c>
      <c r="V17" t="s">
        <v>6833</v>
      </c>
      <c r="W17" t="s">
        <v>6841</v>
      </c>
      <c r="X17" t="s">
        <v>6857</v>
      </c>
      <c r="Y17" t="s">
        <v>6886</v>
      </c>
      <c r="AA17" t="s">
        <v>9105</v>
      </c>
      <c r="AB17">
        <v>0</v>
      </c>
      <c r="AD17" t="s">
        <v>10944</v>
      </c>
      <c r="AE17">
        <v>3</v>
      </c>
      <c r="AF17">
        <v>1</v>
      </c>
      <c r="AG17">
        <v>5</v>
      </c>
      <c r="AH17">
        <v>86.29000000000001</v>
      </c>
      <c r="AK17" t="s">
        <v>10966</v>
      </c>
      <c r="AL17">
        <v>29848</v>
      </c>
      <c r="AM17" t="s">
        <v>10993</v>
      </c>
      <c r="AR17">
        <v>1</v>
      </c>
      <c r="AS17" t="s">
        <v>11119</v>
      </c>
      <c r="AT17" t="s">
        <v>11185</v>
      </c>
      <c r="AV17" t="s">
        <v>11230</v>
      </c>
      <c r="AW17" t="s">
        <v>11119</v>
      </c>
      <c r="AX17" t="s">
        <v>11170</v>
      </c>
    </row>
    <row r="18" spans="1:50">
      <c r="A18" s="1">
        <f>HYPERLINK("https://lsnyc.legalserver.org/matter/dynamic-profile/view/1904221","19-1904221")</f>
        <v>0</v>
      </c>
      <c r="B18" t="s">
        <v>53</v>
      </c>
      <c r="C18" t="s">
        <v>322</v>
      </c>
      <c r="D18" t="s">
        <v>1654</v>
      </c>
      <c r="E18" t="s">
        <v>3090</v>
      </c>
      <c r="G18" t="s">
        <v>5635</v>
      </c>
      <c r="H18">
        <v>10475</v>
      </c>
      <c r="I18" t="s">
        <v>5695</v>
      </c>
      <c r="J18" t="s">
        <v>5696</v>
      </c>
      <c r="K18" t="s">
        <v>5713</v>
      </c>
      <c r="L18" t="s">
        <v>6712</v>
      </c>
      <c r="M18" t="s">
        <v>6732</v>
      </c>
      <c r="N18" t="s">
        <v>6739</v>
      </c>
      <c r="O18" t="s">
        <v>6747</v>
      </c>
      <c r="P18" t="s">
        <v>5697</v>
      </c>
      <c r="R18" t="s">
        <v>6793</v>
      </c>
      <c r="U18">
        <v>0</v>
      </c>
      <c r="V18" t="s">
        <v>6833</v>
      </c>
      <c r="W18" t="s">
        <v>6839</v>
      </c>
      <c r="X18" t="s">
        <v>6857</v>
      </c>
      <c r="Y18" t="s">
        <v>6887</v>
      </c>
      <c r="AA18" t="s">
        <v>9106</v>
      </c>
      <c r="AB18">
        <v>0</v>
      </c>
      <c r="AC18" t="s">
        <v>10933</v>
      </c>
      <c r="AE18">
        <v>0</v>
      </c>
      <c r="AF18">
        <v>1</v>
      </c>
      <c r="AG18">
        <v>0</v>
      </c>
      <c r="AH18">
        <v>0</v>
      </c>
      <c r="AK18" t="s">
        <v>10966</v>
      </c>
      <c r="AL18">
        <v>0</v>
      </c>
      <c r="AR18">
        <v>1</v>
      </c>
      <c r="AS18" t="s">
        <v>6819</v>
      </c>
      <c r="AT18" t="s">
        <v>11179</v>
      </c>
      <c r="AU18" t="s">
        <v>11228</v>
      </c>
      <c r="AV18" t="s">
        <v>11230</v>
      </c>
      <c r="AW18" t="s">
        <v>6815</v>
      </c>
      <c r="AX18" t="s">
        <v>6819</v>
      </c>
    </row>
    <row r="19" spans="1:50">
      <c r="A19" s="1">
        <f>HYPERLINK("https://lsnyc.legalserver.org/matter/dynamic-profile/view/1905207","19-1905207")</f>
        <v>0</v>
      </c>
      <c r="B19" t="s">
        <v>63</v>
      </c>
      <c r="C19" t="s">
        <v>323</v>
      </c>
      <c r="D19" t="s">
        <v>1655</v>
      </c>
      <c r="E19" t="s">
        <v>3091</v>
      </c>
      <c r="F19" t="s">
        <v>5100</v>
      </c>
      <c r="G19" t="s">
        <v>5639</v>
      </c>
      <c r="H19">
        <v>11693</v>
      </c>
      <c r="I19" t="s">
        <v>5695</v>
      </c>
      <c r="J19" t="s">
        <v>5696</v>
      </c>
      <c r="K19" t="s">
        <v>5714</v>
      </c>
      <c r="L19" t="s">
        <v>6712</v>
      </c>
      <c r="M19" t="s">
        <v>6732</v>
      </c>
      <c r="N19" t="s">
        <v>6739</v>
      </c>
      <c r="O19" t="s">
        <v>6750</v>
      </c>
      <c r="P19" t="s">
        <v>5697</v>
      </c>
      <c r="R19" t="s">
        <v>6794</v>
      </c>
      <c r="S19" t="s">
        <v>6801</v>
      </c>
      <c r="T19" t="s">
        <v>6808</v>
      </c>
      <c r="U19">
        <v>252</v>
      </c>
      <c r="V19" t="s">
        <v>6837</v>
      </c>
      <c r="W19" t="s">
        <v>6840</v>
      </c>
      <c r="X19" t="s">
        <v>6857</v>
      </c>
      <c r="Y19" t="s">
        <v>6888</v>
      </c>
      <c r="AA19" t="s">
        <v>9107</v>
      </c>
      <c r="AB19">
        <v>42</v>
      </c>
      <c r="AC19" t="s">
        <v>10931</v>
      </c>
      <c r="AD19" t="s">
        <v>5741</v>
      </c>
      <c r="AE19">
        <v>3</v>
      </c>
      <c r="AF19">
        <v>2</v>
      </c>
      <c r="AG19">
        <v>5</v>
      </c>
      <c r="AH19">
        <v>26.93</v>
      </c>
      <c r="AK19" t="s">
        <v>10966</v>
      </c>
      <c r="AL19">
        <v>10504</v>
      </c>
      <c r="AR19">
        <v>1.5</v>
      </c>
      <c r="AS19" t="s">
        <v>6808</v>
      </c>
      <c r="AT19" t="s">
        <v>11182</v>
      </c>
      <c r="AU19" t="s">
        <v>11228</v>
      </c>
      <c r="AV19" t="s">
        <v>11230</v>
      </c>
      <c r="AW19" t="s">
        <v>6808</v>
      </c>
      <c r="AX19" t="s">
        <v>6808</v>
      </c>
    </row>
    <row r="20" spans="1:50">
      <c r="A20" s="1">
        <f>HYPERLINK("https://lsnyc.legalserver.org/matter/dynamic-profile/view/1898467","19-1898467")</f>
        <v>0</v>
      </c>
      <c r="B20" t="s">
        <v>51</v>
      </c>
      <c r="C20" t="s">
        <v>324</v>
      </c>
      <c r="D20" t="s">
        <v>662</v>
      </c>
      <c r="E20" t="s">
        <v>3092</v>
      </c>
      <c r="F20">
        <v>1</v>
      </c>
      <c r="G20" t="s">
        <v>5636</v>
      </c>
      <c r="H20">
        <v>10301</v>
      </c>
      <c r="I20" t="s">
        <v>5695</v>
      </c>
      <c r="J20" t="s">
        <v>5696</v>
      </c>
      <c r="K20" t="s">
        <v>5715</v>
      </c>
      <c r="L20" t="s">
        <v>6712</v>
      </c>
      <c r="M20" t="s">
        <v>6732</v>
      </c>
      <c r="N20" t="s">
        <v>6739</v>
      </c>
      <c r="O20" t="s">
        <v>6745</v>
      </c>
      <c r="P20" t="s">
        <v>5697</v>
      </c>
      <c r="R20" t="s">
        <v>6793</v>
      </c>
      <c r="S20" t="s">
        <v>6802</v>
      </c>
      <c r="U20">
        <v>1305</v>
      </c>
      <c r="V20" t="s">
        <v>6834</v>
      </c>
      <c r="W20" t="s">
        <v>6839</v>
      </c>
      <c r="X20" t="s">
        <v>6857</v>
      </c>
      <c r="Y20" t="s">
        <v>6889</v>
      </c>
      <c r="AA20" t="s">
        <v>9108</v>
      </c>
      <c r="AB20">
        <v>2</v>
      </c>
      <c r="AC20" t="s">
        <v>10930</v>
      </c>
      <c r="AD20" t="s">
        <v>10944</v>
      </c>
      <c r="AE20">
        <v>9</v>
      </c>
      <c r="AF20">
        <v>1</v>
      </c>
      <c r="AG20">
        <v>0</v>
      </c>
      <c r="AH20">
        <v>74.08</v>
      </c>
      <c r="AK20" t="s">
        <v>10966</v>
      </c>
      <c r="AL20">
        <v>9252</v>
      </c>
      <c r="AO20" t="s">
        <v>6841</v>
      </c>
      <c r="AR20">
        <v>0.5</v>
      </c>
      <c r="AS20" t="s">
        <v>6819</v>
      </c>
      <c r="AT20" t="s">
        <v>11177</v>
      </c>
      <c r="AU20" t="s">
        <v>11228</v>
      </c>
      <c r="AV20" t="s">
        <v>11230</v>
      </c>
      <c r="AW20" t="s">
        <v>11123</v>
      </c>
      <c r="AX20" t="s">
        <v>6819</v>
      </c>
    </row>
    <row r="21" spans="1:50">
      <c r="A21" s="1">
        <f>HYPERLINK("https://lsnyc.legalserver.org/matter/dynamic-profile/view/1904932","19-1904932")</f>
        <v>0</v>
      </c>
      <c r="B21" t="s">
        <v>53</v>
      </c>
      <c r="C21" t="s">
        <v>325</v>
      </c>
      <c r="D21" t="s">
        <v>1656</v>
      </c>
      <c r="E21" t="s">
        <v>3093</v>
      </c>
      <c r="F21" t="s">
        <v>5101</v>
      </c>
      <c r="G21" t="s">
        <v>5635</v>
      </c>
      <c r="H21">
        <v>10454</v>
      </c>
      <c r="I21" t="s">
        <v>5695</v>
      </c>
      <c r="J21" t="s">
        <v>5696</v>
      </c>
      <c r="K21" t="s">
        <v>5716</v>
      </c>
      <c r="L21" t="s">
        <v>6712</v>
      </c>
      <c r="M21" t="s">
        <v>6732</v>
      </c>
      <c r="N21" t="s">
        <v>6739</v>
      </c>
      <c r="O21" t="s">
        <v>6747</v>
      </c>
      <c r="P21" t="s">
        <v>5697</v>
      </c>
      <c r="R21" t="s">
        <v>6793</v>
      </c>
      <c r="S21" t="s">
        <v>6801</v>
      </c>
      <c r="U21">
        <v>2462</v>
      </c>
      <c r="V21" t="s">
        <v>6833</v>
      </c>
      <c r="W21" t="s">
        <v>6842</v>
      </c>
      <c r="X21" t="s">
        <v>6857</v>
      </c>
      <c r="Y21" t="s">
        <v>6890</v>
      </c>
      <c r="AA21" t="s">
        <v>9109</v>
      </c>
      <c r="AB21">
        <v>24</v>
      </c>
      <c r="AC21" t="s">
        <v>10934</v>
      </c>
      <c r="AD21" t="s">
        <v>6841</v>
      </c>
      <c r="AE21">
        <v>19</v>
      </c>
      <c r="AF21">
        <v>1</v>
      </c>
      <c r="AG21">
        <v>0</v>
      </c>
      <c r="AH21">
        <v>151.96</v>
      </c>
      <c r="AK21" t="s">
        <v>10966</v>
      </c>
      <c r="AL21">
        <v>18980</v>
      </c>
      <c r="AR21">
        <v>0.5</v>
      </c>
      <c r="AS21" t="s">
        <v>6820</v>
      </c>
      <c r="AT21" t="s">
        <v>288</v>
      </c>
      <c r="AU21" t="s">
        <v>11228</v>
      </c>
      <c r="AV21" t="s">
        <v>11230</v>
      </c>
      <c r="AW21" t="s">
        <v>6812</v>
      </c>
      <c r="AX21" t="s">
        <v>6820</v>
      </c>
    </row>
    <row r="22" spans="1:50">
      <c r="A22" s="1">
        <f>HYPERLINK("https://lsnyc.legalserver.org/matter/dynamic-profile/view/1904538","19-1904538")</f>
        <v>0</v>
      </c>
      <c r="B22" t="s">
        <v>63</v>
      </c>
      <c r="C22" t="s">
        <v>326</v>
      </c>
      <c r="D22" t="s">
        <v>1657</v>
      </c>
      <c r="E22" t="s">
        <v>3094</v>
      </c>
      <c r="F22" t="s">
        <v>5102</v>
      </c>
      <c r="G22" t="s">
        <v>5642</v>
      </c>
      <c r="H22">
        <v>11422</v>
      </c>
      <c r="I22" t="s">
        <v>5695</v>
      </c>
      <c r="J22" t="s">
        <v>5696</v>
      </c>
      <c r="K22" t="s">
        <v>5717</v>
      </c>
      <c r="L22" t="s">
        <v>6712</v>
      </c>
      <c r="M22" t="s">
        <v>6732</v>
      </c>
      <c r="N22" t="s">
        <v>6739</v>
      </c>
      <c r="O22" t="s">
        <v>6750</v>
      </c>
      <c r="P22" t="s">
        <v>5697</v>
      </c>
      <c r="R22" t="s">
        <v>6793</v>
      </c>
      <c r="S22" t="s">
        <v>6801</v>
      </c>
      <c r="T22" t="s">
        <v>6810</v>
      </c>
      <c r="U22">
        <v>1450</v>
      </c>
      <c r="V22" t="s">
        <v>6837</v>
      </c>
      <c r="W22" t="s">
        <v>6840</v>
      </c>
      <c r="X22" t="s">
        <v>6857</v>
      </c>
      <c r="Y22" t="s">
        <v>6891</v>
      </c>
      <c r="AA22" t="s">
        <v>9110</v>
      </c>
      <c r="AB22">
        <v>2</v>
      </c>
      <c r="AC22" t="s">
        <v>10930</v>
      </c>
      <c r="AD22" t="s">
        <v>5741</v>
      </c>
      <c r="AE22">
        <v>-1</v>
      </c>
      <c r="AF22">
        <v>3</v>
      </c>
      <c r="AG22">
        <v>1</v>
      </c>
      <c r="AH22">
        <v>0</v>
      </c>
      <c r="AK22" t="s">
        <v>10966</v>
      </c>
      <c r="AL22">
        <v>0</v>
      </c>
      <c r="AR22">
        <v>1.05</v>
      </c>
      <c r="AS22" t="s">
        <v>6809</v>
      </c>
      <c r="AT22" t="s">
        <v>11182</v>
      </c>
      <c r="AU22" t="s">
        <v>11228</v>
      </c>
      <c r="AV22" t="s">
        <v>11230</v>
      </c>
      <c r="AW22" t="s">
        <v>6810</v>
      </c>
      <c r="AX22" t="s">
        <v>6809</v>
      </c>
    </row>
    <row r="23" spans="1:50">
      <c r="A23" s="1">
        <f>HYPERLINK("https://lsnyc.legalserver.org/matter/dynamic-profile/view/1902744","19-1902744")</f>
        <v>0</v>
      </c>
      <c r="B23" t="s">
        <v>63</v>
      </c>
      <c r="C23" t="s">
        <v>327</v>
      </c>
      <c r="D23" t="s">
        <v>1658</v>
      </c>
      <c r="E23" t="s">
        <v>3095</v>
      </c>
      <c r="F23" t="s">
        <v>5103</v>
      </c>
      <c r="G23" t="s">
        <v>5643</v>
      </c>
      <c r="H23">
        <v>11372</v>
      </c>
      <c r="I23" t="s">
        <v>5695</v>
      </c>
      <c r="J23" t="s">
        <v>5696</v>
      </c>
      <c r="K23" t="s">
        <v>5718</v>
      </c>
      <c r="L23" t="s">
        <v>6712</v>
      </c>
      <c r="M23" t="s">
        <v>6732</v>
      </c>
      <c r="N23" t="s">
        <v>6739</v>
      </c>
      <c r="O23" t="s">
        <v>6750</v>
      </c>
      <c r="P23" t="s">
        <v>5695</v>
      </c>
      <c r="R23" t="s">
        <v>6793</v>
      </c>
      <c r="S23" t="s">
        <v>6801</v>
      </c>
      <c r="T23" t="s">
        <v>6811</v>
      </c>
      <c r="U23">
        <v>1525</v>
      </c>
      <c r="V23" t="s">
        <v>6837</v>
      </c>
      <c r="W23" t="s">
        <v>6840</v>
      </c>
      <c r="X23" t="s">
        <v>6857</v>
      </c>
      <c r="Y23" t="s">
        <v>6892</v>
      </c>
      <c r="AA23" t="s">
        <v>9111</v>
      </c>
      <c r="AB23">
        <v>120</v>
      </c>
      <c r="AC23" t="s">
        <v>10930</v>
      </c>
      <c r="AD23" t="s">
        <v>5741</v>
      </c>
      <c r="AE23">
        <v>9</v>
      </c>
      <c r="AF23">
        <v>1</v>
      </c>
      <c r="AG23">
        <v>0</v>
      </c>
      <c r="AH23">
        <v>0</v>
      </c>
      <c r="AK23" t="s">
        <v>10966</v>
      </c>
      <c r="AL23">
        <v>0</v>
      </c>
      <c r="AR23">
        <v>2.6</v>
      </c>
      <c r="AS23" t="s">
        <v>6825</v>
      </c>
      <c r="AT23" t="s">
        <v>11184</v>
      </c>
      <c r="AU23" t="s">
        <v>11228</v>
      </c>
      <c r="AV23" t="s">
        <v>11230</v>
      </c>
      <c r="AW23" t="s">
        <v>11133</v>
      </c>
      <c r="AX23" t="s">
        <v>6825</v>
      </c>
    </row>
    <row r="24" spans="1:50">
      <c r="A24" s="1">
        <f>HYPERLINK("https://lsnyc.legalserver.org/matter/dynamic-profile/view/1904946","19-1904946")</f>
        <v>0</v>
      </c>
      <c r="B24" t="s">
        <v>57</v>
      </c>
      <c r="C24" t="s">
        <v>328</v>
      </c>
      <c r="D24" t="s">
        <v>1659</v>
      </c>
      <c r="E24" t="s">
        <v>3096</v>
      </c>
      <c r="F24" t="s">
        <v>5104</v>
      </c>
      <c r="G24" t="s">
        <v>5644</v>
      </c>
      <c r="H24">
        <v>11434</v>
      </c>
      <c r="I24" t="s">
        <v>5695</v>
      </c>
      <c r="J24" t="s">
        <v>5696</v>
      </c>
      <c r="K24" t="s">
        <v>5719</v>
      </c>
      <c r="L24" t="s">
        <v>6712</v>
      </c>
      <c r="M24" t="s">
        <v>6732</v>
      </c>
      <c r="N24" t="s">
        <v>6739</v>
      </c>
      <c r="O24" t="s">
        <v>6752</v>
      </c>
      <c r="P24" t="s">
        <v>5697</v>
      </c>
      <c r="R24" t="s">
        <v>6794</v>
      </c>
      <c r="T24" t="s">
        <v>6812</v>
      </c>
      <c r="U24">
        <v>1049</v>
      </c>
      <c r="V24" t="s">
        <v>6837</v>
      </c>
      <c r="W24" t="s">
        <v>6840</v>
      </c>
      <c r="X24" t="s">
        <v>6857</v>
      </c>
      <c r="Y24" t="s">
        <v>6893</v>
      </c>
      <c r="AA24" t="s">
        <v>9112</v>
      </c>
      <c r="AB24">
        <v>0</v>
      </c>
      <c r="AC24" t="s">
        <v>10935</v>
      </c>
      <c r="AD24" t="s">
        <v>10945</v>
      </c>
      <c r="AE24">
        <v>15</v>
      </c>
      <c r="AF24">
        <v>1</v>
      </c>
      <c r="AG24">
        <v>1</v>
      </c>
      <c r="AH24">
        <v>0</v>
      </c>
      <c r="AK24" t="s">
        <v>10966</v>
      </c>
      <c r="AL24">
        <v>0</v>
      </c>
      <c r="AR24">
        <v>1.65</v>
      </c>
      <c r="AS24" t="s">
        <v>6822</v>
      </c>
      <c r="AT24" t="s">
        <v>11182</v>
      </c>
      <c r="AU24" t="s">
        <v>11228</v>
      </c>
      <c r="AV24" t="s">
        <v>11230</v>
      </c>
      <c r="AW24" t="s">
        <v>6812</v>
      </c>
      <c r="AX24" t="s">
        <v>6822</v>
      </c>
    </row>
    <row r="25" spans="1:50">
      <c r="A25" s="1">
        <f>HYPERLINK("https://lsnyc.legalserver.org/matter/dynamic-profile/view/1903784","19-1903784")</f>
        <v>0</v>
      </c>
      <c r="B25" t="s">
        <v>53</v>
      </c>
      <c r="C25" t="s">
        <v>329</v>
      </c>
      <c r="D25" t="s">
        <v>1660</v>
      </c>
      <c r="E25" t="s">
        <v>3097</v>
      </c>
      <c r="F25">
        <v>1</v>
      </c>
      <c r="G25" t="s">
        <v>5635</v>
      </c>
      <c r="H25">
        <v>10472</v>
      </c>
      <c r="I25" t="s">
        <v>5695</v>
      </c>
      <c r="J25" t="s">
        <v>5696</v>
      </c>
      <c r="K25" t="s">
        <v>5720</v>
      </c>
      <c r="L25" t="s">
        <v>6712</v>
      </c>
      <c r="M25" t="s">
        <v>6732</v>
      </c>
      <c r="N25" t="s">
        <v>6739</v>
      </c>
      <c r="O25" t="s">
        <v>6747</v>
      </c>
      <c r="P25" t="s">
        <v>5697</v>
      </c>
      <c r="R25" t="s">
        <v>6793</v>
      </c>
      <c r="S25" t="s">
        <v>6801</v>
      </c>
      <c r="T25" t="s">
        <v>6807</v>
      </c>
      <c r="U25">
        <v>1950</v>
      </c>
      <c r="V25" t="s">
        <v>6833</v>
      </c>
      <c r="W25" t="s">
        <v>6839</v>
      </c>
      <c r="X25" t="s">
        <v>6857</v>
      </c>
      <c r="Y25" t="s">
        <v>6894</v>
      </c>
      <c r="AA25" t="s">
        <v>9113</v>
      </c>
      <c r="AB25">
        <v>2</v>
      </c>
      <c r="AC25" t="s">
        <v>10930</v>
      </c>
      <c r="AD25" t="s">
        <v>10944</v>
      </c>
      <c r="AE25">
        <v>3</v>
      </c>
      <c r="AF25">
        <v>2</v>
      </c>
      <c r="AG25">
        <v>2</v>
      </c>
      <c r="AH25">
        <v>155.34</v>
      </c>
      <c r="AK25" t="s">
        <v>10966</v>
      </c>
      <c r="AL25">
        <v>40000</v>
      </c>
      <c r="AR25">
        <v>1.1</v>
      </c>
      <c r="AS25" t="s">
        <v>6828</v>
      </c>
      <c r="AT25" t="s">
        <v>11179</v>
      </c>
      <c r="AU25" t="s">
        <v>11228</v>
      </c>
      <c r="AV25" t="s">
        <v>11230</v>
      </c>
      <c r="AW25" t="s">
        <v>6807</v>
      </c>
      <c r="AX25" t="s">
        <v>6828</v>
      </c>
    </row>
    <row r="26" spans="1:50">
      <c r="A26" s="1">
        <f>HYPERLINK("https://lsnyc.legalserver.org/matter/dynamic-profile/view/1902684","19-1902684")</f>
        <v>0</v>
      </c>
      <c r="B26" t="s">
        <v>53</v>
      </c>
      <c r="C26" t="s">
        <v>330</v>
      </c>
      <c r="D26" t="s">
        <v>1661</v>
      </c>
      <c r="E26" t="s">
        <v>3098</v>
      </c>
      <c r="F26" t="s">
        <v>5105</v>
      </c>
      <c r="G26" t="s">
        <v>5635</v>
      </c>
      <c r="H26">
        <v>10475</v>
      </c>
      <c r="I26" t="s">
        <v>5695</v>
      </c>
      <c r="J26" t="s">
        <v>5696</v>
      </c>
      <c r="K26" t="s">
        <v>5721</v>
      </c>
      <c r="L26" t="s">
        <v>6712</v>
      </c>
      <c r="M26" t="s">
        <v>6732</v>
      </c>
      <c r="N26" t="s">
        <v>6739</v>
      </c>
      <c r="O26" t="s">
        <v>6747</v>
      </c>
      <c r="P26" t="s">
        <v>5697</v>
      </c>
      <c r="Q26" t="s">
        <v>6747</v>
      </c>
      <c r="R26" t="s">
        <v>6793</v>
      </c>
      <c r="S26" t="s">
        <v>6801</v>
      </c>
      <c r="U26">
        <v>935</v>
      </c>
      <c r="V26" t="s">
        <v>6833</v>
      </c>
      <c r="W26" t="s">
        <v>6839</v>
      </c>
      <c r="X26" t="s">
        <v>6857</v>
      </c>
      <c r="Y26" t="s">
        <v>6895</v>
      </c>
      <c r="AA26" t="s">
        <v>9114</v>
      </c>
      <c r="AB26">
        <v>0</v>
      </c>
      <c r="AC26" t="s">
        <v>10935</v>
      </c>
      <c r="AE26">
        <v>47</v>
      </c>
      <c r="AF26">
        <v>1</v>
      </c>
      <c r="AG26">
        <v>0</v>
      </c>
      <c r="AH26">
        <v>19.05</v>
      </c>
      <c r="AK26" t="s">
        <v>10966</v>
      </c>
      <c r="AL26">
        <v>2379</v>
      </c>
      <c r="AM26" t="s">
        <v>10994</v>
      </c>
      <c r="AR26">
        <v>1</v>
      </c>
      <c r="AS26" t="s">
        <v>6807</v>
      </c>
      <c r="AT26" t="s">
        <v>288</v>
      </c>
      <c r="AU26" t="s">
        <v>11228</v>
      </c>
      <c r="AV26" t="s">
        <v>11230</v>
      </c>
      <c r="AW26" t="s">
        <v>11137</v>
      </c>
      <c r="AX26" t="s">
        <v>6807</v>
      </c>
    </row>
    <row r="27" spans="1:50">
      <c r="A27" s="1">
        <f>HYPERLINK("https://lsnyc.legalserver.org/matter/dynamic-profile/view/1897554","19-1897554")</f>
        <v>0</v>
      </c>
      <c r="B27" t="s">
        <v>64</v>
      </c>
      <c r="C27" t="s">
        <v>331</v>
      </c>
      <c r="D27" t="s">
        <v>441</v>
      </c>
      <c r="E27" t="s">
        <v>3099</v>
      </c>
      <c r="F27" t="s">
        <v>5106</v>
      </c>
      <c r="G27" t="s">
        <v>5635</v>
      </c>
      <c r="H27">
        <v>10452</v>
      </c>
      <c r="I27" t="s">
        <v>5697</v>
      </c>
      <c r="J27" t="s">
        <v>5697</v>
      </c>
      <c r="L27" t="s">
        <v>6712</v>
      </c>
      <c r="M27" t="s">
        <v>6732</v>
      </c>
      <c r="N27" t="s">
        <v>6739</v>
      </c>
      <c r="O27" t="s">
        <v>6748</v>
      </c>
      <c r="R27" t="s">
        <v>6793</v>
      </c>
      <c r="U27">
        <v>1000</v>
      </c>
      <c r="V27" t="s">
        <v>6833</v>
      </c>
      <c r="X27" t="s">
        <v>6857</v>
      </c>
      <c r="Y27" t="s">
        <v>6896</v>
      </c>
      <c r="AA27" t="s">
        <v>9115</v>
      </c>
      <c r="AB27">
        <v>0</v>
      </c>
      <c r="AC27" t="s">
        <v>10929</v>
      </c>
      <c r="AD27" t="s">
        <v>5741</v>
      </c>
      <c r="AE27">
        <v>26</v>
      </c>
      <c r="AF27">
        <v>1</v>
      </c>
      <c r="AG27">
        <v>0</v>
      </c>
      <c r="AH27">
        <v>192.15</v>
      </c>
      <c r="AK27" t="s">
        <v>10966</v>
      </c>
      <c r="AL27">
        <v>24000</v>
      </c>
      <c r="AM27" t="s">
        <v>10995</v>
      </c>
      <c r="AR27">
        <v>1.4</v>
      </c>
      <c r="AS27" t="s">
        <v>10956</v>
      </c>
      <c r="AT27" t="s">
        <v>11186</v>
      </c>
      <c r="AV27" t="s">
        <v>11230</v>
      </c>
      <c r="AW27" t="s">
        <v>11159</v>
      </c>
      <c r="AX27" t="s">
        <v>10956</v>
      </c>
    </row>
    <row r="28" spans="1:50">
      <c r="A28" s="1">
        <f>HYPERLINK("https://lsnyc.legalserver.org/matter/dynamic-profile/view/1902958","19-1902958")</f>
        <v>0</v>
      </c>
      <c r="B28" t="s">
        <v>53</v>
      </c>
      <c r="C28" t="s">
        <v>332</v>
      </c>
      <c r="D28" t="s">
        <v>886</v>
      </c>
      <c r="E28" t="s">
        <v>3100</v>
      </c>
      <c r="F28" t="s">
        <v>5107</v>
      </c>
      <c r="G28" t="s">
        <v>5635</v>
      </c>
      <c r="H28">
        <v>10473</v>
      </c>
      <c r="I28" t="s">
        <v>5695</v>
      </c>
      <c r="J28" t="s">
        <v>5696</v>
      </c>
      <c r="K28" t="s">
        <v>5722</v>
      </c>
      <c r="L28" t="s">
        <v>6712</v>
      </c>
      <c r="M28" t="s">
        <v>6732</v>
      </c>
      <c r="N28" t="s">
        <v>6739</v>
      </c>
      <c r="O28" t="s">
        <v>6747</v>
      </c>
      <c r="P28" t="s">
        <v>5697</v>
      </c>
      <c r="R28" t="s">
        <v>6793</v>
      </c>
      <c r="S28" t="s">
        <v>6801</v>
      </c>
      <c r="U28">
        <v>255</v>
      </c>
      <c r="V28" t="s">
        <v>6833</v>
      </c>
      <c r="W28" t="s">
        <v>6839</v>
      </c>
      <c r="X28" t="s">
        <v>6857</v>
      </c>
      <c r="Y28" t="s">
        <v>6897</v>
      </c>
      <c r="AA28" t="s">
        <v>9116</v>
      </c>
      <c r="AB28">
        <v>0</v>
      </c>
      <c r="AC28" t="s">
        <v>10931</v>
      </c>
      <c r="AE28">
        <v>3</v>
      </c>
      <c r="AF28">
        <v>1</v>
      </c>
      <c r="AG28">
        <v>0</v>
      </c>
      <c r="AH28">
        <v>124.9</v>
      </c>
      <c r="AK28" t="s">
        <v>10966</v>
      </c>
      <c r="AL28">
        <v>15600</v>
      </c>
      <c r="AR28">
        <v>0.5</v>
      </c>
      <c r="AS28" t="s">
        <v>6807</v>
      </c>
      <c r="AT28" t="s">
        <v>288</v>
      </c>
      <c r="AU28" t="s">
        <v>11228</v>
      </c>
      <c r="AV28" t="s">
        <v>11230</v>
      </c>
      <c r="AW28" t="s">
        <v>11138</v>
      </c>
      <c r="AX28" t="s">
        <v>6807</v>
      </c>
    </row>
    <row r="29" spans="1:50">
      <c r="A29" s="1">
        <f>HYPERLINK("https://lsnyc.legalserver.org/matter/dynamic-profile/view/1903908","19-1903908")</f>
        <v>0</v>
      </c>
      <c r="B29" t="s">
        <v>53</v>
      </c>
      <c r="C29" t="s">
        <v>333</v>
      </c>
      <c r="D29" t="s">
        <v>1662</v>
      </c>
      <c r="E29" t="s">
        <v>3101</v>
      </c>
      <c r="G29" t="s">
        <v>5635</v>
      </c>
      <c r="H29">
        <v>10456</v>
      </c>
      <c r="I29" t="s">
        <v>5695</v>
      </c>
      <c r="J29" t="s">
        <v>5696</v>
      </c>
      <c r="K29" t="s">
        <v>5723</v>
      </c>
      <c r="L29" t="s">
        <v>6712</v>
      </c>
      <c r="M29" t="s">
        <v>6732</v>
      </c>
      <c r="N29" t="s">
        <v>6739</v>
      </c>
      <c r="O29" t="s">
        <v>6747</v>
      </c>
      <c r="P29" t="s">
        <v>5697</v>
      </c>
      <c r="R29" t="s">
        <v>6793</v>
      </c>
      <c r="T29" t="s">
        <v>6807</v>
      </c>
      <c r="U29">
        <v>909.17</v>
      </c>
      <c r="V29" t="s">
        <v>6833</v>
      </c>
      <c r="X29" t="s">
        <v>6857</v>
      </c>
      <c r="Y29" t="s">
        <v>6898</v>
      </c>
      <c r="AA29" t="s">
        <v>9117</v>
      </c>
      <c r="AB29">
        <v>0</v>
      </c>
      <c r="AD29" t="s">
        <v>5741</v>
      </c>
      <c r="AE29">
        <v>0</v>
      </c>
      <c r="AF29">
        <v>1</v>
      </c>
      <c r="AG29">
        <v>0</v>
      </c>
      <c r="AH29">
        <v>187.35</v>
      </c>
      <c r="AK29" t="s">
        <v>10966</v>
      </c>
      <c r="AL29">
        <v>23400</v>
      </c>
      <c r="AR29">
        <v>1.45</v>
      </c>
      <c r="AS29" t="s">
        <v>6819</v>
      </c>
      <c r="AT29" t="s">
        <v>11179</v>
      </c>
      <c r="AU29" t="s">
        <v>11228</v>
      </c>
      <c r="AV29" t="s">
        <v>11230</v>
      </c>
      <c r="AW29" t="s">
        <v>6807</v>
      </c>
      <c r="AX29" t="s">
        <v>6819</v>
      </c>
    </row>
    <row r="30" spans="1:50">
      <c r="A30" s="1">
        <f>HYPERLINK("https://lsnyc.legalserver.org/matter/dynamic-profile/view/1900992","19-1900992")</f>
        <v>0</v>
      </c>
      <c r="B30" t="s">
        <v>65</v>
      </c>
      <c r="C30" t="s">
        <v>334</v>
      </c>
      <c r="D30" t="s">
        <v>1663</v>
      </c>
      <c r="E30" t="s">
        <v>3102</v>
      </c>
      <c r="F30" t="s">
        <v>5100</v>
      </c>
      <c r="G30" t="s">
        <v>5638</v>
      </c>
      <c r="H30">
        <v>10027</v>
      </c>
      <c r="I30" t="s">
        <v>5695</v>
      </c>
      <c r="J30" t="s">
        <v>5696</v>
      </c>
      <c r="K30" t="s">
        <v>5724</v>
      </c>
      <c r="L30" t="s">
        <v>6712</v>
      </c>
      <c r="M30" t="s">
        <v>6732</v>
      </c>
      <c r="N30" t="s">
        <v>6739</v>
      </c>
      <c r="O30" t="s">
        <v>6749</v>
      </c>
      <c r="P30" t="s">
        <v>5697</v>
      </c>
      <c r="R30" t="s">
        <v>6793</v>
      </c>
      <c r="S30" t="s">
        <v>6801</v>
      </c>
      <c r="U30">
        <v>1037</v>
      </c>
      <c r="V30" t="s">
        <v>6836</v>
      </c>
      <c r="W30" t="s">
        <v>6840</v>
      </c>
      <c r="X30" t="s">
        <v>6857</v>
      </c>
      <c r="Y30" t="s">
        <v>6899</v>
      </c>
      <c r="Z30" t="s">
        <v>8914</v>
      </c>
      <c r="AA30" t="s">
        <v>9118</v>
      </c>
      <c r="AB30">
        <v>0</v>
      </c>
      <c r="AC30" t="s">
        <v>10929</v>
      </c>
      <c r="AD30" t="s">
        <v>5741</v>
      </c>
      <c r="AE30">
        <v>4</v>
      </c>
      <c r="AF30">
        <v>2</v>
      </c>
      <c r="AG30">
        <v>1</v>
      </c>
      <c r="AH30">
        <v>0</v>
      </c>
      <c r="AK30" t="s">
        <v>10966</v>
      </c>
      <c r="AL30">
        <v>0</v>
      </c>
      <c r="AR30">
        <v>1</v>
      </c>
      <c r="AS30" t="s">
        <v>11120</v>
      </c>
      <c r="AT30" t="s">
        <v>305</v>
      </c>
      <c r="AU30" t="s">
        <v>11229</v>
      </c>
      <c r="AV30" t="s">
        <v>11230</v>
      </c>
      <c r="AW30" t="s">
        <v>11120</v>
      </c>
      <c r="AX30" t="s">
        <v>11135</v>
      </c>
    </row>
    <row r="31" spans="1:50">
      <c r="A31" s="1">
        <f>HYPERLINK("https://lsnyc.legalserver.org/matter/dynamic-profile/view/1902704","19-1902704")</f>
        <v>0</v>
      </c>
      <c r="B31" t="s">
        <v>66</v>
      </c>
      <c r="C31" t="s">
        <v>335</v>
      </c>
      <c r="D31" t="s">
        <v>1664</v>
      </c>
      <c r="E31" t="s">
        <v>3103</v>
      </c>
      <c r="F31" t="s">
        <v>5108</v>
      </c>
      <c r="G31" t="s">
        <v>5635</v>
      </c>
      <c r="H31">
        <v>10457</v>
      </c>
      <c r="I31" t="s">
        <v>5695</v>
      </c>
      <c r="J31" t="s">
        <v>5696</v>
      </c>
      <c r="K31" t="s">
        <v>5725</v>
      </c>
      <c r="L31" t="s">
        <v>6712</v>
      </c>
      <c r="M31" t="s">
        <v>6732</v>
      </c>
      <c r="N31" t="s">
        <v>6739</v>
      </c>
      <c r="O31" t="s">
        <v>6753</v>
      </c>
      <c r="P31" t="s">
        <v>5697</v>
      </c>
      <c r="R31" t="s">
        <v>6793</v>
      </c>
      <c r="S31" t="s">
        <v>6802</v>
      </c>
      <c r="U31">
        <v>1625.28</v>
      </c>
      <c r="V31" t="s">
        <v>6833</v>
      </c>
      <c r="W31" t="s">
        <v>6839</v>
      </c>
      <c r="X31" t="s">
        <v>6857</v>
      </c>
      <c r="Y31" t="s">
        <v>6900</v>
      </c>
      <c r="Z31" t="s">
        <v>8915</v>
      </c>
      <c r="AA31" t="s">
        <v>9119</v>
      </c>
      <c r="AB31">
        <v>55</v>
      </c>
      <c r="AC31" t="s">
        <v>10929</v>
      </c>
      <c r="AD31" t="s">
        <v>5741</v>
      </c>
      <c r="AE31">
        <v>18</v>
      </c>
      <c r="AF31">
        <v>2</v>
      </c>
      <c r="AG31">
        <v>0</v>
      </c>
      <c r="AH31">
        <v>259.87</v>
      </c>
      <c r="AK31" t="s">
        <v>10967</v>
      </c>
      <c r="AL31">
        <v>43944</v>
      </c>
      <c r="AM31" t="s">
        <v>10996</v>
      </c>
      <c r="AR31">
        <v>3.3</v>
      </c>
      <c r="AS31" t="s">
        <v>6810</v>
      </c>
      <c r="AT31" t="s">
        <v>11187</v>
      </c>
      <c r="AU31" t="s">
        <v>11229</v>
      </c>
      <c r="AV31" t="s">
        <v>11230</v>
      </c>
      <c r="AW31" t="s">
        <v>11137</v>
      </c>
      <c r="AX31" t="s">
        <v>6814</v>
      </c>
    </row>
    <row r="32" spans="1:50">
      <c r="A32" s="1">
        <f>HYPERLINK("https://lsnyc.legalserver.org/matter/dynamic-profile/view/1897047","19-1897047")</f>
        <v>0</v>
      </c>
      <c r="B32" t="s">
        <v>67</v>
      </c>
      <c r="C32" t="s">
        <v>336</v>
      </c>
      <c r="D32" t="s">
        <v>1665</v>
      </c>
      <c r="E32" t="s">
        <v>3104</v>
      </c>
      <c r="F32">
        <v>1</v>
      </c>
      <c r="G32" t="s">
        <v>5637</v>
      </c>
      <c r="H32">
        <v>11208</v>
      </c>
      <c r="I32" t="s">
        <v>5696</v>
      </c>
      <c r="J32" t="s">
        <v>5696</v>
      </c>
      <c r="L32" t="s">
        <v>6712</v>
      </c>
      <c r="M32" t="s">
        <v>6732</v>
      </c>
      <c r="N32" t="s">
        <v>6739</v>
      </c>
      <c r="O32" t="s">
        <v>6745</v>
      </c>
      <c r="R32" t="s">
        <v>6793</v>
      </c>
      <c r="U32">
        <v>1600</v>
      </c>
      <c r="V32" t="s">
        <v>6835</v>
      </c>
      <c r="X32" t="s">
        <v>6858</v>
      </c>
      <c r="Y32" t="s">
        <v>6901</v>
      </c>
      <c r="AA32" t="s">
        <v>9120</v>
      </c>
      <c r="AB32">
        <v>0</v>
      </c>
      <c r="AD32" t="s">
        <v>5741</v>
      </c>
      <c r="AE32">
        <v>1</v>
      </c>
      <c r="AF32">
        <v>1</v>
      </c>
      <c r="AG32">
        <v>2</v>
      </c>
      <c r="AH32">
        <v>60.95</v>
      </c>
      <c r="AK32" t="s">
        <v>10966</v>
      </c>
      <c r="AL32">
        <v>13000</v>
      </c>
      <c r="AR32">
        <v>1</v>
      </c>
      <c r="AS32" t="s">
        <v>11121</v>
      </c>
      <c r="AT32" t="s">
        <v>11186</v>
      </c>
      <c r="AV32" t="s">
        <v>11230</v>
      </c>
      <c r="AW32" t="s">
        <v>11121</v>
      </c>
      <c r="AX32" t="s">
        <v>11121</v>
      </c>
    </row>
    <row r="33" spans="1:50">
      <c r="A33" s="1">
        <f>HYPERLINK("https://lsnyc.legalserver.org/matter/dynamic-profile/view/1895437","19-1895437")</f>
        <v>0</v>
      </c>
      <c r="B33" t="s">
        <v>68</v>
      </c>
      <c r="C33" t="s">
        <v>337</v>
      </c>
      <c r="D33" t="s">
        <v>1666</v>
      </c>
      <c r="E33" t="s">
        <v>3105</v>
      </c>
      <c r="F33" t="s">
        <v>5109</v>
      </c>
      <c r="G33" t="s">
        <v>5637</v>
      </c>
      <c r="H33">
        <v>11237</v>
      </c>
      <c r="I33" t="s">
        <v>5696</v>
      </c>
      <c r="J33" t="s">
        <v>5696</v>
      </c>
      <c r="K33" t="s">
        <v>5726</v>
      </c>
      <c r="L33" t="s">
        <v>6712</v>
      </c>
      <c r="M33" t="s">
        <v>6732</v>
      </c>
      <c r="N33" t="s">
        <v>6739</v>
      </c>
      <c r="O33" t="s">
        <v>6754</v>
      </c>
      <c r="R33" t="s">
        <v>6793</v>
      </c>
      <c r="U33">
        <v>644</v>
      </c>
      <c r="V33" t="s">
        <v>6835</v>
      </c>
      <c r="W33" t="s">
        <v>6843</v>
      </c>
      <c r="X33" t="s">
        <v>6857</v>
      </c>
      <c r="Y33" t="s">
        <v>6902</v>
      </c>
      <c r="AA33" t="s">
        <v>9121</v>
      </c>
      <c r="AB33">
        <v>6</v>
      </c>
      <c r="AD33" t="s">
        <v>5741</v>
      </c>
      <c r="AE33">
        <v>2</v>
      </c>
      <c r="AF33">
        <v>1</v>
      </c>
      <c r="AG33">
        <v>0</v>
      </c>
      <c r="AH33">
        <v>88.29000000000001</v>
      </c>
      <c r="AK33" t="s">
        <v>10966</v>
      </c>
      <c r="AL33">
        <v>11028</v>
      </c>
      <c r="AR33">
        <v>3.15</v>
      </c>
      <c r="AS33" t="s">
        <v>6895</v>
      </c>
      <c r="AT33" t="s">
        <v>11188</v>
      </c>
      <c r="AV33" t="s">
        <v>11230</v>
      </c>
      <c r="AW33" t="s">
        <v>10960</v>
      </c>
      <c r="AX33" t="s">
        <v>6895</v>
      </c>
    </row>
    <row r="34" spans="1:50">
      <c r="A34" s="1">
        <f>HYPERLINK("https://lsnyc.legalserver.org/matter/dynamic-profile/view/1900090","19-1900090")</f>
        <v>0</v>
      </c>
      <c r="B34" t="s">
        <v>69</v>
      </c>
      <c r="C34" t="s">
        <v>338</v>
      </c>
      <c r="D34" t="s">
        <v>1667</v>
      </c>
      <c r="E34" t="s">
        <v>3106</v>
      </c>
      <c r="F34" t="s">
        <v>5110</v>
      </c>
      <c r="G34" t="s">
        <v>5637</v>
      </c>
      <c r="H34">
        <v>11207</v>
      </c>
      <c r="I34" t="s">
        <v>5697</v>
      </c>
      <c r="J34" t="s">
        <v>5696</v>
      </c>
      <c r="K34" t="s">
        <v>5727</v>
      </c>
      <c r="L34" t="s">
        <v>6712</v>
      </c>
      <c r="M34" t="s">
        <v>6732</v>
      </c>
      <c r="N34" t="s">
        <v>6739</v>
      </c>
      <c r="O34" t="s">
        <v>6745</v>
      </c>
      <c r="P34" t="s">
        <v>5697</v>
      </c>
      <c r="R34" t="s">
        <v>6793</v>
      </c>
      <c r="S34" t="s">
        <v>6801</v>
      </c>
      <c r="U34">
        <v>1100</v>
      </c>
      <c r="V34" t="s">
        <v>6835</v>
      </c>
      <c r="W34" t="s">
        <v>6844</v>
      </c>
      <c r="X34" t="s">
        <v>6857</v>
      </c>
      <c r="Y34" t="s">
        <v>6903</v>
      </c>
      <c r="Z34" t="s">
        <v>5773</v>
      </c>
      <c r="AA34" t="s">
        <v>9122</v>
      </c>
      <c r="AB34">
        <v>3</v>
      </c>
      <c r="AC34" t="s">
        <v>8953</v>
      </c>
      <c r="AD34" t="s">
        <v>5741</v>
      </c>
      <c r="AE34">
        <v>14</v>
      </c>
      <c r="AF34">
        <v>1</v>
      </c>
      <c r="AG34">
        <v>0</v>
      </c>
      <c r="AH34">
        <v>153.72</v>
      </c>
      <c r="AK34" t="s">
        <v>10966</v>
      </c>
      <c r="AL34">
        <v>19200</v>
      </c>
      <c r="AR34">
        <v>0.5</v>
      </c>
      <c r="AS34" t="s">
        <v>10954</v>
      </c>
      <c r="AT34" t="s">
        <v>11189</v>
      </c>
      <c r="AU34" t="s">
        <v>5741</v>
      </c>
      <c r="AV34" t="s">
        <v>11230</v>
      </c>
      <c r="AW34" t="s">
        <v>10954</v>
      </c>
      <c r="AX34" t="s">
        <v>11131</v>
      </c>
    </row>
    <row r="35" spans="1:50">
      <c r="A35" s="1">
        <f>HYPERLINK("https://lsnyc.legalserver.org/matter/dynamic-profile/view/1896700","19-1896700")</f>
        <v>0</v>
      </c>
      <c r="B35" t="s">
        <v>70</v>
      </c>
      <c r="C35" t="s">
        <v>339</v>
      </c>
      <c r="D35" t="s">
        <v>1668</v>
      </c>
      <c r="E35" t="s">
        <v>3107</v>
      </c>
      <c r="F35" t="s">
        <v>5111</v>
      </c>
      <c r="G35" t="s">
        <v>5637</v>
      </c>
      <c r="H35">
        <v>11226</v>
      </c>
      <c r="I35" t="s">
        <v>5696</v>
      </c>
      <c r="J35" t="s">
        <v>5696</v>
      </c>
      <c r="K35" t="s">
        <v>5728</v>
      </c>
      <c r="L35" t="s">
        <v>6712</v>
      </c>
      <c r="M35" t="s">
        <v>6732</v>
      </c>
      <c r="N35" t="s">
        <v>6739</v>
      </c>
      <c r="O35" t="s">
        <v>6755</v>
      </c>
      <c r="P35" t="s">
        <v>5697</v>
      </c>
      <c r="R35" t="s">
        <v>6793</v>
      </c>
      <c r="S35" t="s">
        <v>6802</v>
      </c>
      <c r="U35">
        <v>600</v>
      </c>
      <c r="V35" t="s">
        <v>6835</v>
      </c>
      <c r="W35" t="s">
        <v>6839</v>
      </c>
      <c r="X35" t="s">
        <v>6857</v>
      </c>
      <c r="Y35" t="s">
        <v>6904</v>
      </c>
      <c r="AA35" t="s">
        <v>9123</v>
      </c>
      <c r="AB35">
        <v>0</v>
      </c>
      <c r="AC35" t="s">
        <v>8953</v>
      </c>
      <c r="AE35">
        <v>29</v>
      </c>
      <c r="AF35">
        <v>1</v>
      </c>
      <c r="AG35">
        <v>0</v>
      </c>
      <c r="AH35">
        <v>67.25</v>
      </c>
      <c r="AK35" t="s">
        <v>10966</v>
      </c>
      <c r="AL35">
        <v>8400</v>
      </c>
      <c r="AR35">
        <v>1</v>
      </c>
      <c r="AS35" t="s">
        <v>11122</v>
      </c>
      <c r="AT35" t="s">
        <v>140</v>
      </c>
      <c r="AV35" t="s">
        <v>11230</v>
      </c>
      <c r="AW35" t="s">
        <v>11122</v>
      </c>
      <c r="AX35" t="s">
        <v>11130</v>
      </c>
    </row>
    <row r="36" spans="1:50">
      <c r="A36" s="1">
        <f>HYPERLINK("https://lsnyc.legalserver.org/matter/dynamic-profile/view/1904325","19-1904325")</f>
        <v>0</v>
      </c>
      <c r="B36" t="s">
        <v>71</v>
      </c>
      <c r="C36" t="s">
        <v>340</v>
      </c>
      <c r="D36" t="s">
        <v>1669</v>
      </c>
      <c r="E36" t="s">
        <v>3108</v>
      </c>
      <c r="F36" t="s">
        <v>5098</v>
      </c>
      <c r="G36" t="s">
        <v>5637</v>
      </c>
      <c r="H36">
        <v>11233</v>
      </c>
      <c r="I36" t="s">
        <v>5695</v>
      </c>
      <c r="J36" t="s">
        <v>5696</v>
      </c>
      <c r="K36" t="s">
        <v>5729</v>
      </c>
      <c r="L36" t="s">
        <v>6712</v>
      </c>
      <c r="M36" t="s">
        <v>6732</v>
      </c>
      <c r="N36" t="s">
        <v>6739</v>
      </c>
      <c r="O36" t="s">
        <v>6756</v>
      </c>
      <c r="P36" t="s">
        <v>5697</v>
      </c>
      <c r="R36" t="s">
        <v>6793</v>
      </c>
      <c r="S36" t="s">
        <v>6801</v>
      </c>
      <c r="T36" t="s">
        <v>6813</v>
      </c>
      <c r="U36">
        <v>325</v>
      </c>
      <c r="V36" t="s">
        <v>6835</v>
      </c>
      <c r="W36" t="s">
        <v>6838</v>
      </c>
      <c r="X36" t="s">
        <v>6857</v>
      </c>
      <c r="Y36" t="s">
        <v>6905</v>
      </c>
      <c r="AA36" t="s">
        <v>9124</v>
      </c>
      <c r="AB36">
        <v>2</v>
      </c>
      <c r="AE36">
        <v>-1</v>
      </c>
      <c r="AF36">
        <v>2</v>
      </c>
      <c r="AG36">
        <v>0</v>
      </c>
      <c r="AH36">
        <v>86.51000000000001</v>
      </c>
      <c r="AK36" t="s">
        <v>10966</v>
      </c>
      <c r="AL36">
        <v>14628</v>
      </c>
      <c r="AR36">
        <v>1.1</v>
      </c>
      <c r="AS36" t="s">
        <v>6813</v>
      </c>
      <c r="AT36" t="s">
        <v>11190</v>
      </c>
      <c r="AU36" t="s">
        <v>11228</v>
      </c>
      <c r="AV36" t="s">
        <v>11230</v>
      </c>
      <c r="AW36" t="s">
        <v>6813</v>
      </c>
      <c r="AX36" t="s">
        <v>6815</v>
      </c>
    </row>
    <row r="37" spans="1:50">
      <c r="A37" s="1">
        <f>HYPERLINK("https://lsnyc.legalserver.org/matter/dynamic-profile/view/1906096","19-1906096")</f>
        <v>0</v>
      </c>
      <c r="B37" t="s">
        <v>53</v>
      </c>
      <c r="C37" t="s">
        <v>341</v>
      </c>
      <c r="D37" t="s">
        <v>1641</v>
      </c>
      <c r="E37" t="s">
        <v>3109</v>
      </c>
      <c r="F37" t="s">
        <v>5112</v>
      </c>
      <c r="G37" t="s">
        <v>5635</v>
      </c>
      <c r="H37">
        <v>10460</v>
      </c>
      <c r="I37" t="s">
        <v>5695</v>
      </c>
      <c r="J37" t="s">
        <v>5696</v>
      </c>
      <c r="K37" t="s">
        <v>5730</v>
      </c>
      <c r="L37" t="s">
        <v>6712</v>
      </c>
      <c r="M37" t="s">
        <v>6732</v>
      </c>
      <c r="N37" t="s">
        <v>6739</v>
      </c>
      <c r="O37" t="s">
        <v>6747</v>
      </c>
      <c r="P37" t="s">
        <v>5697</v>
      </c>
      <c r="R37" t="s">
        <v>6793</v>
      </c>
      <c r="U37">
        <v>0</v>
      </c>
      <c r="V37" t="s">
        <v>6833</v>
      </c>
      <c r="W37" t="s">
        <v>6845</v>
      </c>
      <c r="X37" t="s">
        <v>6857</v>
      </c>
      <c r="Y37" t="s">
        <v>6906</v>
      </c>
      <c r="AA37" t="s">
        <v>9125</v>
      </c>
      <c r="AB37">
        <v>237</v>
      </c>
      <c r="AE37">
        <v>0</v>
      </c>
      <c r="AF37">
        <v>1</v>
      </c>
      <c r="AG37">
        <v>0</v>
      </c>
      <c r="AH37">
        <v>232.19</v>
      </c>
      <c r="AK37" t="s">
        <v>10966</v>
      </c>
      <c r="AL37">
        <v>29000</v>
      </c>
      <c r="AM37" t="s">
        <v>10997</v>
      </c>
      <c r="AR37">
        <v>0.7</v>
      </c>
      <c r="AS37" t="s">
        <v>6821</v>
      </c>
      <c r="AT37" t="s">
        <v>288</v>
      </c>
      <c r="AU37" t="s">
        <v>5741</v>
      </c>
      <c r="AV37" t="s">
        <v>11230</v>
      </c>
      <c r="AW37" t="s">
        <v>6820</v>
      </c>
      <c r="AX37" t="s">
        <v>6821</v>
      </c>
    </row>
    <row r="38" spans="1:50">
      <c r="A38" s="1">
        <f>HYPERLINK("https://lsnyc.legalserver.org/matter/dynamic-profile/view/1895671","19-1895671")</f>
        <v>0</v>
      </c>
      <c r="B38" t="s">
        <v>72</v>
      </c>
      <c r="C38" t="s">
        <v>342</v>
      </c>
      <c r="D38" t="s">
        <v>1670</v>
      </c>
      <c r="E38" t="s">
        <v>3110</v>
      </c>
      <c r="F38">
        <v>1</v>
      </c>
      <c r="G38" t="s">
        <v>5637</v>
      </c>
      <c r="H38">
        <v>11206</v>
      </c>
      <c r="I38" t="s">
        <v>5696</v>
      </c>
      <c r="J38" t="s">
        <v>5696</v>
      </c>
      <c r="K38" t="s">
        <v>5731</v>
      </c>
      <c r="L38" t="s">
        <v>6712</v>
      </c>
      <c r="M38" t="s">
        <v>6732</v>
      </c>
      <c r="N38" t="s">
        <v>6739</v>
      </c>
      <c r="O38" t="s">
        <v>6748</v>
      </c>
      <c r="P38" t="s">
        <v>6792</v>
      </c>
      <c r="R38" t="s">
        <v>6793</v>
      </c>
      <c r="S38" t="s">
        <v>6802</v>
      </c>
      <c r="U38">
        <v>900</v>
      </c>
      <c r="V38" t="s">
        <v>6835</v>
      </c>
      <c r="W38" t="s">
        <v>6841</v>
      </c>
      <c r="X38" t="s">
        <v>6857</v>
      </c>
      <c r="Y38" t="s">
        <v>6907</v>
      </c>
      <c r="AA38" t="s">
        <v>9126</v>
      </c>
      <c r="AB38">
        <v>2</v>
      </c>
      <c r="AE38">
        <v>3</v>
      </c>
      <c r="AF38">
        <v>2</v>
      </c>
      <c r="AG38">
        <v>0</v>
      </c>
      <c r="AH38">
        <v>106.45</v>
      </c>
      <c r="AL38">
        <v>18000</v>
      </c>
      <c r="AR38">
        <v>5.25</v>
      </c>
      <c r="AS38" t="s">
        <v>10954</v>
      </c>
      <c r="AT38" t="s">
        <v>11191</v>
      </c>
      <c r="AV38" t="s">
        <v>11230</v>
      </c>
      <c r="AW38" t="s">
        <v>11153</v>
      </c>
      <c r="AX38" t="s">
        <v>11153</v>
      </c>
    </row>
    <row r="39" spans="1:50">
      <c r="A39" s="1">
        <f>HYPERLINK("https://lsnyc.legalserver.org/matter/dynamic-profile/view/1898547","19-1898547")</f>
        <v>0</v>
      </c>
      <c r="B39" t="s">
        <v>73</v>
      </c>
      <c r="C39" t="s">
        <v>343</v>
      </c>
      <c r="D39" t="s">
        <v>1671</v>
      </c>
      <c r="E39" t="s">
        <v>3111</v>
      </c>
      <c r="F39" t="s">
        <v>5113</v>
      </c>
      <c r="G39" t="s">
        <v>5645</v>
      </c>
      <c r="H39">
        <v>11105</v>
      </c>
      <c r="I39" t="s">
        <v>5695</v>
      </c>
      <c r="J39" t="s">
        <v>5695</v>
      </c>
      <c r="K39" t="s">
        <v>5732</v>
      </c>
      <c r="L39" t="s">
        <v>6712</v>
      </c>
      <c r="M39" t="s">
        <v>6732</v>
      </c>
      <c r="N39" t="s">
        <v>6739</v>
      </c>
      <c r="O39" t="s">
        <v>6750</v>
      </c>
      <c r="P39" t="s">
        <v>5697</v>
      </c>
      <c r="R39" t="s">
        <v>6793</v>
      </c>
      <c r="U39">
        <v>1195.97</v>
      </c>
      <c r="V39" t="s">
        <v>6837</v>
      </c>
      <c r="W39" t="s">
        <v>6840</v>
      </c>
      <c r="X39" t="s">
        <v>6857</v>
      </c>
      <c r="Y39" t="s">
        <v>6908</v>
      </c>
      <c r="AA39" t="s">
        <v>9127</v>
      </c>
      <c r="AB39">
        <v>16</v>
      </c>
      <c r="AC39" t="s">
        <v>8953</v>
      </c>
      <c r="AD39" t="s">
        <v>5741</v>
      </c>
      <c r="AE39">
        <v>3</v>
      </c>
      <c r="AF39">
        <v>2</v>
      </c>
      <c r="AG39">
        <v>1</v>
      </c>
      <c r="AH39">
        <v>75.01000000000001</v>
      </c>
      <c r="AK39" t="s">
        <v>10967</v>
      </c>
      <c r="AL39">
        <v>16000</v>
      </c>
      <c r="AR39">
        <v>1.48</v>
      </c>
      <c r="AS39" t="s">
        <v>11123</v>
      </c>
      <c r="AT39" t="s">
        <v>11182</v>
      </c>
      <c r="AV39" t="s">
        <v>11230</v>
      </c>
      <c r="AW39" t="s">
        <v>11123</v>
      </c>
      <c r="AX39" t="s">
        <v>10954</v>
      </c>
    </row>
    <row r="40" spans="1:50">
      <c r="A40" s="1">
        <f>HYPERLINK("https://lsnyc.legalserver.org/matter/dynamic-profile/view/1899508","19-1899508")</f>
        <v>0</v>
      </c>
      <c r="B40" t="s">
        <v>74</v>
      </c>
      <c r="C40" t="s">
        <v>344</v>
      </c>
      <c r="D40" t="s">
        <v>1672</v>
      </c>
      <c r="E40" t="s">
        <v>3112</v>
      </c>
      <c r="F40" t="s">
        <v>5105</v>
      </c>
      <c r="G40" t="s">
        <v>5635</v>
      </c>
      <c r="H40">
        <v>10458</v>
      </c>
      <c r="I40" t="s">
        <v>5695</v>
      </c>
      <c r="J40" t="s">
        <v>5696</v>
      </c>
      <c r="K40" t="s">
        <v>5733</v>
      </c>
      <c r="L40" t="s">
        <v>6712</v>
      </c>
      <c r="M40" t="s">
        <v>6732</v>
      </c>
      <c r="N40" t="s">
        <v>6739</v>
      </c>
      <c r="O40" t="s">
        <v>6747</v>
      </c>
      <c r="P40" t="s">
        <v>5697</v>
      </c>
      <c r="R40" t="s">
        <v>6793</v>
      </c>
      <c r="S40" t="s">
        <v>6801</v>
      </c>
      <c r="U40">
        <v>1100</v>
      </c>
      <c r="V40" t="s">
        <v>6833</v>
      </c>
      <c r="W40" t="s">
        <v>6839</v>
      </c>
      <c r="X40" t="s">
        <v>6857</v>
      </c>
      <c r="Y40" t="s">
        <v>6909</v>
      </c>
      <c r="Z40" t="s">
        <v>8916</v>
      </c>
      <c r="AB40">
        <v>43</v>
      </c>
      <c r="AC40" t="s">
        <v>10929</v>
      </c>
      <c r="AD40" t="s">
        <v>5741</v>
      </c>
      <c r="AE40">
        <v>2</v>
      </c>
      <c r="AF40">
        <v>2</v>
      </c>
      <c r="AG40">
        <v>0</v>
      </c>
      <c r="AH40">
        <v>0</v>
      </c>
      <c r="AK40" t="s">
        <v>10967</v>
      </c>
      <c r="AL40">
        <v>0</v>
      </c>
      <c r="AR40">
        <v>2</v>
      </c>
      <c r="AS40" t="s">
        <v>11124</v>
      </c>
      <c r="AT40" t="s">
        <v>288</v>
      </c>
      <c r="AU40" t="s">
        <v>11228</v>
      </c>
      <c r="AV40" t="s">
        <v>11230</v>
      </c>
      <c r="AW40" t="s">
        <v>11158</v>
      </c>
      <c r="AX40" t="s">
        <v>6811</v>
      </c>
    </row>
    <row r="41" spans="1:50">
      <c r="A41" s="1">
        <f>HYPERLINK("https://lsnyc.legalserver.org/matter/dynamic-profile/view/1897865","19-1897865")</f>
        <v>0</v>
      </c>
      <c r="B41" t="s">
        <v>75</v>
      </c>
      <c r="C41" t="s">
        <v>345</v>
      </c>
      <c r="D41" t="s">
        <v>1673</v>
      </c>
      <c r="E41" t="s">
        <v>3113</v>
      </c>
      <c r="F41" t="s">
        <v>5114</v>
      </c>
      <c r="G41" t="s">
        <v>5638</v>
      </c>
      <c r="H41">
        <v>10002</v>
      </c>
      <c r="I41" t="s">
        <v>5696</v>
      </c>
      <c r="J41" t="s">
        <v>5696</v>
      </c>
      <c r="L41" t="s">
        <v>6712</v>
      </c>
      <c r="M41" t="s">
        <v>6732</v>
      </c>
      <c r="N41" t="s">
        <v>6739</v>
      </c>
      <c r="O41" t="s">
        <v>6748</v>
      </c>
      <c r="P41" t="s">
        <v>5697</v>
      </c>
      <c r="Q41" t="s">
        <v>6758</v>
      </c>
      <c r="R41" t="s">
        <v>6793</v>
      </c>
      <c r="U41">
        <v>945</v>
      </c>
      <c r="V41" t="s">
        <v>6836</v>
      </c>
      <c r="W41" t="s">
        <v>6842</v>
      </c>
      <c r="X41" t="s">
        <v>6857</v>
      </c>
      <c r="Y41" t="s">
        <v>6910</v>
      </c>
      <c r="AB41">
        <v>240</v>
      </c>
      <c r="AC41" t="s">
        <v>10929</v>
      </c>
      <c r="AD41" t="s">
        <v>10944</v>
      </c>
      <c r="AE41">
        <v>3</v>
      </c>
      <c r="AF41">
        <v>1</v>
      </c>
      <c r="AG41">
        <v>0</v>
      </c>
      <c r="AH41">
        <v>192.15</v>
      </c>
      <c r="AK41" t="s">
        <v>10966</v>
      </c>
      <c r="AL41">
        <v>24000</v>
      </c>
      <c r="AR41">
        <v>0.9</v>
      </c>
      <c r="AS41" t="s">
        <v>11125</v>
      </c>
      <c r="AT41" t="s">
        <v>11189</v>
      </c>
      <c r="AV41" t="s">
        <v>11230</v>
      </c>
      <c r="AW41" t="s">
        <v>11125</v>
      </c>
      <c r="AX41" t="s">
        <v>11125</v>
      </c>
    </row>
    <row r="42" spans="1:50">
      <c r="A42" s="1">
        <f>HYPERLINK("https://lsnyc.legalserver.org/matter/dynamic-profile/view/1898250","19-1898250")</f>
        <v>0</v>
      </c>
      <c r="B42" t="s">
        <v>76</v>
      </c>
      <c r="C42" t="s">
        <v>346</v>
      </c>
      <c r="D42" t="s">
        <v>1674</v>
      </c>
      <c r="E42" t="s">
        <v>3114</v>
      </c>
      <c r="F42">
        <v>1</v>
      </c>
      <c r="G42" t="s">
        <v>5635</v>
      </c>
      <c r="H42">
        <v>10459</v>
      </c>
      <c r="I42" t="s">
        <v>5696</v>
      </c>
      <c r="J42" t="s">
        <v>5696</v>
      </c>
      <c r="K42" t="s">
        <v>5734</v>
      </c>
      <c r="L42" t="s">
        <v>6712</v>
      </c>
      <c r="M42" t="s">
        <v>6732</v>
      </c>
      <c r="N42" t="s">
        <v>6739</v>
      </c>
      <c r="O42" t="s">
        <v>6747</v>
      </c>
      <c r="R42" t="s">
        <v>6793</v>
      </c>
      <c r="S42" t="s">
        <v>6801</v>
      </c>
      <c r="U42">
        <v>1400</v>
      </c>
      <c r="V42" t="s">
        <v>6833</v>
      </c>
      <c r="X42" t="s">
        <v>6857</v>
      </c>
      <c r="Y42" t="s">
        <v>6877</v>
      </c>
      <c r="AB42">
        <v>3</v>
      </c>
      <c r="AE42">
        <v>5</v>
      </c>
      <c r="AF42">
        <v>2</v>
      </c>
      <c r="AG42">
        <v>0</v>
      </c>
      <c r="AH42">
        <v>145.48</v>
      </c>
      <c r="AK42" t="s">
        <v>10966</v>
      </c>
      <c r="AL42">
        <v>24600</v>
      </c>
      <c r="AM42" t="s">
        <v>10998</v>
      </c>
      <c r="AQ42" t="s">
        <v>11099</v>
      </c>
      <c r="AR42">
        <v>0.1</v>
      </c>
      <c r="AS42" t="s">
        <v>11126</v>
      </c>
      <c r="AT42" t="s">
        <v>139</v>
      </c>
      <c r="AV42" t="s">
        <v>11230</v>
      </c>
      <c r="AW42" t="s">
        <v>10956</v>
      </c>
      <c r="AX42" t="s">
        <v>11124</v>
      </c>
    </row>
    <row r="43" spans="1:50">
      <c r="A43" s="1">
        <f>HYPERLINK("https://lsnyc.legalserver.org/matter/dynamic-profile/view/1905407","19-1905407")</f>
        <v>0</v>
      </c>
      <c r="B43" t="s">
        <v>53</v>
      </c>
      <c r="C43" t="s">
        <v>347</v>
      </c>
      <c r="D43" t="s">
        <v>1675</v>
      </c>
      <c r="E43" t="s">
        <v>3115</v>
      </c>
      <c r="F43" t="s">
        <v>5115</v>
      </c>
      <c r="G43" t="s">
        <v>5635</v>
      </c>
      <c r="H43">
        <v>10458</v>
      </c>
      <c r="I43" t="s">
        <v>5696</v>
      </c>
      <c r="J43" t="s">
        <v>5696</v>
      </c>
      <c r="K43" t="s">
        <v>5735</v>
      </c>
      <c r="L43" t="s">
        <v>6712</v>
      </c>
      <c r="M43" t="s">
        <v>6732</v>
      </c>
      <c r="N43" t="s">
        <v>6739</v>
      </c>
      <c r="O43" t="s">
        <v>6747</v>
      </c>
      <c r="R43" t="s">
        <v>6793</v>
      </c>
      <c r="S43" t="s">
        <v>6802</v>
      </c>
      <c r="U43">
        <v>1838.24</v>
      </c>
      <c r="V43" t="s">
        <v>6833</v>
      </c>
      <c r="X43" t="s">
        <v>6857</v>
      </c>
      <c r="Y43" t="s">
        <v>6911</v>
      </c>
      <c r="AB43">
        <v>0</v>
      </c>
      <c r="AC43" t="s">
        <v>10929</v>
      </c>
      <c r="AE43">
        <v>7</v>
      </c>
      <c r="AF43">
        <v>1</v>
      </c>
      <c r="AG43">
        <v>0</v>
      </c>
      <c r="AH43">
        <v>156.12</v>
      </c>
      <c r="AK43" t="s">
        <v>10966</v>
      </c>
      <c r="AL43">
        <v>19500</v>
      </c>
      <c r="AR43">
        <v>0.9</v>
      </c>
      <c r="AS43" t="s">
        <v>6827</v>
      </c>
      <c r="AT43" t="s">
        <v>139</v>
      </c>
      <c r="AV43" t="s">
        <v>11230</v>
      </c>
      <c r="AW43" t="s">
        <v>6822</v>
      </c>
      <c r="AX43" t="s">
        <v>6827</v>
      </c>
    </row>
    <row r="44" spans="1:50">
      <c r="A44" s="1">
        <f>HYPERLINK("https://lsnyc.legalserver.org/matter/dynamic-profile/view/1900259","19-1900259")</f>
        <v>0</v>
      </c>
      <c r="B44" t="s">
        <v>77</v>
      </c>
      <c r="C44" t="s">
        <v>348</v>
      </c>
      <c r="D44" t="s">
        <v>482</v>
      </c>
      <c r="E44" t="s">
        <v>3116</v>
      </c>
      <c r="F44">
        <v>2</v>
      </c>
      <c r="G44" t="s">
        <v>5637</v>
      </c>
      <c r="H44">
        <v>11206</v>
      </c>
      <c r="I44" t="s">
        <v>5696</v>
      </c>
      <c r="J44" t="s">
        <v>5696</v>
      </c>
      <c r="L44" t="s">
        <v>6712</v>
      </c>
      <c r="M44" t="s">
        <v>6732</v>
      </c>
      <c r="N44" t="s">
        <v>6739</v>
      </c>
      <c r="O44" t="s">
        <v>6745</v>
      </c>
      <c r="R44" t="s">
        <v>6793</v>
      </c>
      <c r="U44">
        <v>0</v>
      </c>
      <c r="V44" t="s">
        <v>6835</v>
      </c>
      <c r="X44" t="s">
        <v>6857</v>
      </c>
      <c r="Y44" t="s">
        <v>6912</v>
      </c>
      <c r="AB44">
        <v>0</v>
      </c>
      <c r="AE44">
        <v>0</v>
      </c>
      <c r="AF44">
        <v>3</v>
      </c>
      <c r="AG44">
        <v>1</v>
      </c>
      <c r="AH44">
        <v>73.79000000000001</v>
      </c>
      <c r="AK44" t="s">
        <v>10966</v>
      </c>
      <c r="AL44">
        <v>19000</v>
      </c>
      <c r="AR44">
        <v>0.5</v>
      </c>
      <c r="AS44" t="s">
        <v>11127</v>
      </c>
      <c r="AT44" t="s">
        <v>77</v>
      </c>
      <c r="AV44" t="s">
        <v>11230</v>
      </c>
      <c r="AW44" t="s">
        <v>11127</v>
      </c>
      <c r="AX44" t="s">
        <v>11127</v>
      </c>
    </row>
    <row r="45" spans="1:50">
      <c r="A45" s="1">
        <f>HYPERLINK("https://lsnyc.legalserver.org/matter/dynamic-profile/view/1905071","19-1905071")</f>
        <v>0</v>
      </c>
      <c r="B45" t="s">
        <v>78</v>
      </c>
      <c r="C45" t="s">
        <v>349</v>
      </c>
      <c r="D45" t="s">
        <v>1676</v>
      </c>
      <c r="E45" t="s">
        <v>3117</v>
      </c>
      <c r="F45">
        <v>46</v>
      </c>
      <c r="G45" t="s">
        <v>5638</v>
      </c>
      <c r="H45">
        <v>10031</v>
      </c>
      <c r="I45" t="s">
        <v>5695</v>
      </c>
      <c r="J45" t="s">
        <v>5696</v>
      </c>
      <c r="K45" t="s">
        <v>5736</v>
      </c>
      <c r="L45" t="s">
        <v>6712</v>
      </c>
      <c r="M45" t="s">
        <v>6732</v>
      </c>
      <c r="N45" t="s">
        <v>6739</v>
      </c>
      <c r="O45" t="s">
        <v>6749</v>
      </c>
      <c r="P45" t="s">
        <v>5697</v>
      </c>
      <c r="R45" t="s">
        <v>6793</v>
      </c>
      <c r="S45" t="s">
        <v>6801</v>
      </c>
      <c r="T45" t="s">
        <v>6814</v>
      </c>
      <c r="U45">
        <v>1000</v>
      </c>
      <c r="V45" t="s">
        <v>6836</v>
      </c>
      <c r="W45" t="s">
        <v>6839</v>
      </c>
      <c r="X45" t="s">
        <v>6857</v>
      </c>
      <c r="Y45" t="s">
        <v>6913</v>
      </c>
      <c r="AB45">
        <v>0</v>
      </c>
      <c r="AC45" t="s">
        <v>8953</v>
      </c>
      <c r="AD45" t="s">
        <v>5741</v>
      </c>
      <c r="AE45">
        <v>1</v>
      </c>
      <c r="AF45">
        <v>2</v>
      </c>
      <c r="AG45">
        <v>0</v>
      </c>
      <c r="AH45">
        <v>107.63</v>
      </c>
      <c r="AK45" t="s">
        <v>10967</v>
      </c>
      <c r="AL45">
        <v>18200</v>
      </c>
      <c r="AR45">
        <v>1</v>
      </c>
      <c r="AS45" t="s">
        <v>6814</v>
      </c>
      <c r="AT45" t="s">
        <v>305</v>
      </c>
      <c r="AU45" t="s">
        <v>11228</v>
      </c>
      <c r="AV45" t="s">
        <v>11230</v>
      </c>
      <c r="AW45" t="s">
        <v>6814</v>
      </c>
      <c r="AX45" t="s">
        <v>6808</v>
      </c>
    </row>
    <row r="46" spans="1:50">
      <c r="A46" s="1">
        <f>HYPERLINK("https://lsnyc.legalserver.org/matter/dynamic-profile/view/1904917","19-1904917")</f>
        <v>0</v>
      </c>
      <c r="B46" t="s">
        <v>53</v>
      </c>
      <c r="C46" t="s">
        <v>350</v>
      </c>
      <c r="D46" t="s">
        <v>1677</v>
      </c>
      <c r="E46" t="s">
        <v>3118</v>
      </c>
      <c r="F46" t="s">
        <v>5116</v>
      </c>
      <c r="G46" t="s">
        <v>5635</v>
      </c>
      <c r="H46">
        <v>10463</v>
      </c>
      <c r="I46" t="s">
        <v>5695</v>
      </c>
      <c r="J46" t="s">
        <v>5696</v>
      </c>
      <c r="K46" t="s">
        <v>5737</v>
      </c>
      <c r="L46" t="s">
        <v>6712</v>
      </c>
      <c r="M46" t="s">
        <v>6732</v>
      </c>
      <c r="N46" t="s">
        <v>6739</v>
      </c>
      <c r="O46" t="s">
        <v>6747</v>
      </c>
      <c r="P46" t="s">
        <v>5697</v>
      </c>
      <c r="R46" t="s">
        <v>6793</v>
      </c>
      <c r="S46" t="s">
        <v>6801</v>
      </c>
      <c r="T46" t="s">
        <v>6812</v>
      </c>
      <c r="U46">
        <v>1160</v>
      </c>
      <c r="V46" t="s">
        <v>6833</v>
      </c>
      <c r="W46" t="s">
        <v>6839</v>
      </c>
      <c r="X46" t="s">
        <v>6857</v>
      </c>
      <c r="Y46" t="s">
        <v>6914</v>
      </c>
      <c r="AB46">
        <v>110</v>
      </c>
      <c r="AC46" t="s">
        <v>10935</v>
      </c>
      <c r="AE46">
        <v>25</v>
      </c>
      <c r="AF46">
        <v>1</v>
      </c>
      <c r="AG46">
        <v>0</v>
      </c>
      <c r="AH46">
        <v>86.47</v>
      </c>
      <c r="AL46">
        <v>10800</v>
      </c>
      <c r="AR46">
        <v>3.5</v>
      </c>
      <c r="AS46" t="s">
        <v>6808</v>
      </c>
      <c r="AT46" t="s">
        <v>288</v>
      </c>
      <c r="AU46" t="s">
        <v>11228</v>
      </c>
      <c r="AV46" t="s">
        <v>11230</v>
      </c>
      <c r="AW46" t="s">
        <v>6812</v>
      </c>
      <c r="AX46" t="s">
        <v>6828</v>
      </c>
    </row>
    <row r="47" spans="1:50">
      <c r="A47" s="1">
        <f>HYPERLINK("https://lsnyc.legalserver.org/matter/dynamic-profile/view/1898300","19-1898300")</f>
        <v>0</v>
      </c>
      <c r="B47" t="s">
        <v>79</v>
      </c>
      <c r="C47" t="s">
        <v>351</v>
      </c>
      <c r="D47" t="s">
        <v>1678</v>
      </c>
      <c r="E47" t="s">
        <v>3119</v>
      </c>
      <c r="F47" t="s">
        <v>5117</v>
      </c>
      <c r="G47" t="s">
        <v>5646</v>
      </c>
      <c r="H47">
        <v>11355</v>
      </c>
      <c r="I47" t="s">
        <v>5696</v>
      </c>
      <c r="J47" t="s">
        <v>5696</v>
      </c>
      <c r="K47" t="s">
        <v>5738</v>
      </c>
      <c r="L47" t="s">
        <v>6713</v>
      </c>
      <c r="M47" t="s">
        <v>6732</v>
      </c>
      <c r="N47" t="s">
        <v>6739</v>
      </c>
      <c r="O47" t="s">
        <v>6748</v>
      </c>
      <c r="P47" t="s">
        <v>5697</v>
      </c>
      <c r="R47" t="s">
        <v>6793</v>
      </c>
      <c r="S47" t="s">
        <v>6801</v>
      </c>
      <c r="U47">
        <v>1500</v>
      </c>
      <c r="V47" t="s">
        <v>6837</v>
      </c>
      <c r="X47" t="s">
        <v>6857</v>
      </c>
      <c r="Y47" t="s">
        <v>6915</v>
      </c>
      <c r="Z47" t="s">
        <v>8917</v>
      </c>
      <c r="AA47" t="s">
        <v>9128</v>
      </c>
      <c r="AB47">
        <v>5</v>
      </c>
      <c r="AC47" t="s">
        <v>10930</v>
      </c>
      <c r="AD47" t="s">
        <v>5741</v>
      </c>
      <c r="AE47">
        <v>8</v>
      </c>
      <c r="AF47">
        <v>1</v>
      </c>
      <c r="AG47">
        <v>0</v>
      </c>
      <c r="AH47">
        <v>187.35</v>
      </c>
      <c r="AK47" t="s">
        <v>10968</v>
      </c>
      <c r="AL47">
        <v>23400</v>
      </c>
      <c r="AR47">
        <v>2.25</v>
      </c>
      <c r="AS47" t="s">
        <v>11128</v>
      </c>
      <c r="AT47" t="s">
        <v>11192</v>
      </c>
      <c r="AV47" t="s">
        <v>11230</v>
      </c>
      <c r="AW47" t="s">
        <v>10956</v>
      </c>
      <c r="AX47" t="s">
        <v>11132</v>
      </c>
    </row>
    <row r="48" spans="1:50">
      <c r="A48" s="1">
        <f>HYPERLINK("https://lsnyc.legalserver.org/matter/dynamic-profile/view/1904636","19-1904636")</f>
        <v>0</v>
      </c>
      <c r="B48" t="s">
        <v>71</v>
      </c>
      <c r="C48" t="s">
        <v>352</v>
      </c>
      <c r="D48" t="s">
        <v>1679</v>
      </c>
      <c r="E48" t="s">
        <v>3120</v>
      </c>
      <c r="F48" t="s">
        <v>5118</v>
      </c>
      <c r="G48" t="s">
        <v>5637</v>
      </c>
      <c r="H48">
        <v>11236</v>
      </c>
      <c r="I48" t="s">
        <v>5695</v>
      </c>
      <c r="J48" t="s">
        <v>5696</v>
      </c>
      <c r="K48" t="s">
        <v>5739</v>
      </c>
      <c r="L48" t="s">
        <v>6713</v>
      </c>
      <c r="M48" t="s">
        <v>6732</v>
      </c>
      <c r="N48" t="s">
        <v>6739</v>
      </c>
      <c r="O48" t="s">
        <v>6746</v>
      </c>
      <c r="P48" t="s">
        <v>5697</v>
      </c>
      <c r="R48" t="s">
        <v>6793</v>
      </c>
      <c r="S48" t="s">
        <v>6801</v>
      </c>
      <c r="T48" t="s">
        <v>6810</v>
      </c>
      <c r="U48">
        <v>0</v>
      </c>
      <c r="V48" t="s">
        <v>6835</v>
      </c>
      <c r="W48" t="s">
        <v>6840</v>
      </c>
      <c r="X48" t="s">
        <v>6857</v>
      </c>
      <c r="Y48" t="s">
        <v>6916</v>
      </c>
      <c r="Z48" t="s">
        <v>8918</v>
      </c>
      <c r="AA48" t="s">
        <v>9129</v>
      </c>
      <c r="AB48">
        <v>0</v>
      </c>
      <c r="AC48" t="s">
        <v>10930</v>
      </c>
      <c r="AE48">
        <v>4</v>
      </c>
      <c r="AF48">
        <v>1</v>
      </c>
      <c r="AG48">
        <v>0</v>
      </c>
      <c r="AH48">
        <v>17.49</v>
      </c>
      <c r="AK48" t="s">
        <v>10966</v>
      </c>
      <c r="AL48">
        <v>2184</v>
      </c>
      <c r="AR48">
        <v>0.5</v>
      </c>
      <c r="AS48" t="s">
        <v>6810</v>
      </c>
      <c r="AT48" t="s">
        <v>11190</v>
      </c>
      <c r="AU48" t="s">
        <v>11228</v>
      </c>
      <c r="AV48" t="s">
        <v>11230</v>
      </c>
      <c r="AW48" t="s">
        <v>6809</v>
      </c>
      <c r="AX48" t="s">
        <v>6808</v>
      </c>
    </row>
    <row r="49" spans="1:50">
      <c r="A49" s="1">
        <f>HYPERLINK("https://lsnyc.legalserver.org/matter/dynamic-profile/view/1904337","19-1904337")</f>
        <v>0</v>
      </c>
      <c r="B49" t="s">
        <v>80</v>
      </c>
      <c r="C49" t="s">
        <v>353</v>
      </c>
      <c r="D49" t="s">
        <v>1680</v>
      </c>
      <c r="E49" t="s">
        <v>3121</v>
      </c>
      <c r="G49" t="s">
        <v>5647</v>
      </c>
      <c r="H49">
        <v>11691</v>
      </c>
      <c r="I49" t="s">
        <v>5695</v>
      </c>
      <c r="J49" t="s">
        <v>5696</v>
      </c>
      <c r="K49" t="s">
        <v>5738</v>
      </c>
      <c r="L49" t="s">
        <v>5740</v>
      </c>
      <c r="M49" t="s">
        <v>6732</v>
      </c>
      <c r="N49" t="s">
        <v>6739</v>
      </c>
      <c r="O49" t="s">
        <v>6757</v>
      </c>
      <c r="P49" t="s">
        <v>5697</v>
      </c>
      <c r="R49" t="s">
        <v>6793</v>
      </c>
      <c r="S49" t="s">
        <v>6801</v>
      </c>
      <c r="T49" t="s">
        <v>6815</v>
      </c>
      <c r="U49">
        <v>600</v>
      </c>
      <c r="V49" t="s">
        <v>6837</v>
      </c>
      <c r="W49" t="s">
        <v>6846</v>
      </c>
      <c r="X49" t="s">
        <v>6857</v>
      </c>
      <c r="Y49" t="s">
        <v>6917</v>
      </c>
      <c r="Z49" t="s">
        <v>5741</v>
      </c>
      <c r="AA49" t="s">
        <v>8917</v>
      </c>
      <c r="AB49">
        <v>2</v>
      </c>
      <c r="AC49" t="s">
        <v>10930</v>
      </c>
      <c r="AD49" t="s">
        <v>5741</v>
      </c>
      <c r="AE49">
        <v>5</v>
      </c>
      <c r="AF49">
        <v>1</v>
      </c>
      <c r="AG49">
        <v>2</v>
      </c>
      <c r="AH49">
        <v>0</v>
      </c>
      <c r="AK49" t="s">
        <v>10966</v>
      </c>
      <c r="AL49">
        <v>0</v>
      </c>
      <c r="AR49">
        <v>1.2</v>
      </c>
      <c r="AS49" t="s">
        <v>6815</v>
      </c>
      <c r="AT49" t="s">
        <v>80</v>
      </c>
      <c r="AU49" t="s">
        <v>11228</v>
      </c>
      <c r="AV49" t="s">
        <v>11230</v>
      </c>
      <c r="AW49" t="s">
        <v>6813</v>
      </c>
      <c r="AX49" t="s">
        <v>6815</v>
      </c>
    </row>
    <row r="50" spans="1:50">
      <c r="A50" s="1">
        <f>HYPERLINK("https://lsnyc.legalserver.org/matter/dynamic-profile/view/1900952","19-1900952")</f>
        <v>0</v>
      </c>
      <c r="B50" t="s">
        <v>81</v>
      </c>
      <c r="C50" t="s">
        <v>354</v>
      </c>
      <c r="D50" t="s">
        <v>1635</v>
      </c>
      <c r="E50" t="s">
        <v>3122</v>
      </c>
      <c r="F50" t="s">
        <v>5119</v>
      </c>
      <c r="G50" t="s">
        <v>5637</v>
      </c>
      <c r="H50">
        <v>11216</v>
      </c>
      <c r="I50" t="s">
        <v>5695</v>
      </c>
      <c r="J50" t="s">
        <v>5696</v>
      </c>
      <c r="L50" t="s">
        <v>5740</v>
      </c>
      <c r="M50" t="s">
        <v>6732</v>
      </c>
      <c r="N50" t="s">
        <v>6739</v>
      </c>
      <c r="O50" t="s">
        <v>6756</v>
      </c>
      <c r="R50" t="s">
        <v>6795</v>
      </c>
      <c r="U50">
        <v>96.54000000000001</v>
      </c>
      <c r="V50" t="s">
        <v>6835</v>
      </c>
      <c r="W50" t="s">
        <v>6838</v>
      </c>
      <c r="X50" t="s">
        <v>6859</v>
      </c>
      <c r="Y50" t="s">
        <v>6918</v>
      </c>
      <c r="AA50" t="s">
        <v>9130</v>
      </c>
      <c r="AB50">
        <v>0</v>
      </c>
      <c r="AE50">
        <v>34</v>
      </c>
      <c r="AF50">
        <v>1</v>
      </c>
      <c r="AG50">
        <v>0</v>
      </c>
      <c r="AH50">
        <v>62.45</v>
      </c>
      <c r="AK50" t="s">
        <v>10966</v>
      </c>
      <c r="AL50">
        <v>7800</v>
      </c>
      <c r="AR50">
        <v>3.1</v>
      </c>
      <c r="AS50" t="s">
        <v>6814</v>
      </c>
      <c r="AT50" t="s">
        <v>11190</v>
      </c>
      <c r="AU50" t="s">
        <v>11228</v>
      </c>
      <c r="AV50" t="s">
        <v>11230</v>
      </c>
      <c r="AW50" t="s">
        <v>11172</v>
      </c>
      <c r="AX50" t="s">
        <v>6814</v>
      </c>
    </row>
    <row r="51" spans="1:50">
      <c r="A51" s="1">
        <f>HYPERLINK("https://lsnyc.legalserver.org/matter/dynamic-profile/view/1897795","19-1897795")</f>
        <v>0</v>
      </c>
      <c r="B51" t="s">
        <v>82</v>
      </c>
      <c r="C51" t="s">
        <v>355</v>
      </c>
      <c r="D51" t="s">
        <v>1681</v>
      </c>
      <c r="E51" t="s">
        <v>3123</v>
      </c>
      <c r="F51" t="s">
        <v>5120</v>
      </c>
      <c r="G51" t="s">
        <v>5637</v>
      </c>
      <c r="H51">
        <v>11225</v>
      </c>
      <c r="I51" t="s">
        <v>5695</v>
      </c>
      <c r="J51" t="s">
        <v>5695</v>
      </c>
      <c r="L51" t="s">
        <v>5740</v>
      </c>
      <c r="M51" t="s">
        <v>6732</v>
      </c>
      <c r="N51" t="s">
        <v>6739</v>
      </c>
      <c r="O51" t="s">
        <v>6756</v>
      </c>
      <c r="R51" t="s">
        <v>6795</v>
      </c>
      <c r="U51">
        <v>1136</v>
      </c>
      <c r="V51" t="s">
        <v>6835</v>
      </c>
      <c r="W51" t="s">
        <v>6838</v>
      </c>
      <c r="X51" t="s">
        <v>6857</v>
      </c>
      <c r="Y51" t="s">
        <v>6919</v>
      </c>
      <c r="AA51" t="s">
        <v>9131</v>
      </c>
      <c r="AB51">
        <v>175</v>
      </c>
      <c r="AE51">
        <v>40</v>
      </c>
      <c r="AF51">
        <v>2</v>
      </c>
      <c r="AG51">
        <v>0</v>
      </c>
      <c r="AH51">
        <v>118.37</v>
      </c>
      <c r="AK51" t="s">
        <v>10966</v>
      </c>
      <c r="AL51">
        <v>20016</v>
      </c>
      <c r="AR51">
        <v>1</v>
      </c>
      <c r="AS51" t="s">
        <v>11129</v>
      </c>
      <c r="AT51" t="s">
        <v>11190</v>
      </c>
      <c r="AV51" t="s">
        <v>11230</v>
      </c>
      <c r="AW51" t="s">
        <v>11129</v>
      </c>
      <c r="AX51" t="s">
        <v>11125</v>
      </c>
    </row>
    <row r="52" spans="1:50">
      <c r="A52" s="1">
        <f>HYPERLINK("https://lsnyc.legalserver.org/matter/dynamic-profile/view/1904316","19-1904316")</f>
        <v>0</v>
      </c>
      <c r="B52" t="s">
        <v>83</v>
      </c>
      <c r="C52" t="s">
        <v>356</v>
      </c>
      <c r="D52" t="s">
        <v>1682</v>
      </c>
      <c r="E52" t="s">
        <v>3124</v>
      </c>
      <c r="F52" t="s">
        <v>5121</v>
      </c>
      <c r="G52" t="s">
        <v>5636</v>
      </c>
      <c r="H52">
        <v>10302</v>
      </c>
      <c r="I52" t="s">
        <v>5696</v>
      </c>
      <c r="J52" t="s">
        <v>5696</v>
      </c>
      <c r="L52" t="s">
        <v>5740</v>
      </c>
      <c r="M52" t="s">
        <v>6732</v>
      </c>
      <c r="N52" t="s">
        <v>6739</v>
      </c>
      <c r="O52" t="s">
        <v>6758</v>
      </c>
      <c r="P52" t="s">
        <v>5697</v>
      </c>
      <c r="R52" t="s">
        <v>6793</v>
      </c>
      <c r="U52">
        <v>0</v>
      </c>
      <c r="V52" t="s">
        <v>6835</v>
      </c>
      <c r="X52" t="s">
        <v>6857</v>
      </c>
      <c r="Y52" t="s">
        <v>6920</v>
      </c>
      <c r="AA52" t="s">
        <v>9132</v>
      </c>
      <c r="AB52">
        <v>0</v>
      </c>
      <c r="AC52" t="s">
        <v>10930</v>
      </c>
      <c r="AE52">
        <v>0</v>
      </c>
      <c r="AF52">
        <v>1</v>
      </c>
      <c r="AG52">
        <v>0</v>
      </c>
      <c r="AH52">
        <v>472.99</v>
      </c>
      <c r="AK52" t="s">
        <v>10966</v>
      </c>
      <c r="AL52">
        <v>59076</v>
      </c>
      <c r="AR52">
        <v>1.4</v>
      </c>
      <c r="AS52" t="s">
        <v>6813</v>
      </c>
      <c r="AT52" t="s">
        <v>11193</v>
      </c>
      <c r="AV52" t="s">
        <v>11230</v>
      </c>
      <c r="AW52" t="s">
        <v>6813</v>
      </c>
      <c r="AX52" t="s">
        <v>6813</v>
      </c>
    </row>
    <row r="53" spans="1:50">
      <c r="A53" s="1">
        <f>HYPERLINK("https://lsnyc.legalserver.org/matter/dynamic-profile/view/1896960","19-1896960")</f>
        <v>0</v>
      </c>
      <c r="B53" t="s">
        <v>84</v>
      </c>
      <c r="C53" t="s">
        <v>357</v>
      </c>
      <c r="D53" t="s">
        <v>1683</v>
      </c>
      <c r="E53" t="s">
        <v>3125</v>
      </c>
      <c r="G53" t="s">
        <v>5637</v>
      </c>
      <c r="H53">
        <v>11208</v>
      </c>
      <c r="I53" t="s">
        <v>5697</v>
      </c>
      <c r="J53" t="s">
        <v>5697</v>
      </c>
      <c r="K53" t="s">
        <v>5727</v>
      </c>
      <c r="L53" t="s">
        <v>5740</v>
      </c>
      <c r="M53" t="s">
        <v>6732</v>
      </c>
      <c r="N53" t="s">
        <v>6739</v>
      </c>
      <c r="O53" t="s">
        <v>6745</v>
      </c>
      <c r="P53" t="s">
        <v>5697</v>
      </c>
      <c r="R53" t="s">
        <v>6793</v>
      </c>
      <c r="S53" t="s">
        <v>6801</v>
      </c>
      <c r="U53">
        <v>700</v>
      </c>
      <c r="V53" t="s">
        <v>6835</v>
      </c>
      <c r="W53" t="s">
        <v>6843</v>
      </c>
      <c r="X53" t="s">
        <v>6857</v>
      </c>
      <c r="Y53" t="s">
        <v>6921</v>
      </c>
      <c r="AA53" t="s">
        <v>9133</v>
      </c>
      <c r="AB53">
        <v>4</v>
      </c>
      <c r="AC53" t="s">
        <v>10930</v>
      </c>
      <c r="AD53" t="s">
        <v>5741</v>
      </c>
      <c r="AE53">
        <v>1</v>
      </c>
      <c r="AF53">
        <v>1</v>
      </c>
      <c r="AG53">
        <v>0</v>
      </c>
      <c r="AH53">
        <v>114.43</v>
      </c>
      <c r="AK53" t="s">
        <v>10966</v>
      </c>
      <c r="AL53">
        <v>14292</v>
      </c>
      <c r="AM53" t="s">
        <v>10999</v>
      </c>
      <c r="AR53">
        <v>0.6</v>
      </c>
      <c r="AS53" t="s">
        <v>11130</v>
      </c>
      <c r="AT53" t="s">
        <v>84</v>
      </c>
      <c r="AU53" t="s">
        <v>5741</v>
      </c>
      <c r="AV53" t="s">
        <v>11230</v>
      </c>
      <c r="AW53" t="s">
        <v>11130</v>
      </c>
      <c r="AX53" t="s">
        <v>11117</v>
      </c>
    </row>
    <row r="54" spans="1:50">
      <c r="A54" s="1">
        <f>HYPERLINK("https://lsnyc.legalserver.org/matter/dynamic-profile/view/1896060","19-1896060")</f>
        <v>0</v>
      </c>
      <c r="B54" t="s">
        <v>85</v>
      </c>
      <c r="C54" t="s">
        <v>358</v>
      </c>
      <c r="D54" t="s">
        <v>1684</v>
      </c>
      <c r="E54" t="s">
        <v>3126</v>
      </c>
      <c r="F54" t="s">
        <v>5122</v>
      </c>
      <c r="G54" t="s">
        <v>5637</v>
      </c>
      <c r="H54">
        <v>11224</v>
      </c>
      <c r="I54" t="s">
        <v>5696</v>
      </c>
      <c r="J54" t="s">
        <v>5696</v>
      </c>
      <c r="L54" t="s">
        <v>5740</v>
      </c>
      <c r="M54" t="s">
        <v>6732</v>
      </c>
      <c r="N54" t="s">
        <v>6739</v>
      </c>
      <c r="O54" t="s">
        <v>6754</v>
      </c>
      <c r="R54" t="s">
        <v>6795</v>
      </c>
      <c r="U54">
        <v>0</v>
      </c>
      <c r="V54" t="s">
        <v>6835</v>
      </c>
      <c r="X54" t="s">
        <v>6857</v>
      </c>
      <c r="Y54" t="s">
        <v>6922</v>
      </c>
      <c r="AA54" t="s">
        <v>9134</v>
      </c>
      <c r="AB54">
        <v>0</v>
      </c>
      <c r="AC54" t="s">
        <v>10935</v>
      </c>
      <c r="AD54" t="s">
        <v>5741</v>
      </c>
      <c r="AE54">
        <v>0</v>
      </c>
      <c r="AF54">
        <v>2</v>
      </c>
      <c r="AG54">
        <v>0</v>
      </c>
      <c r="AH54">
        <v>260.2</v>
      </c>
      <c r="AK54" t="s">
        <v>10969</v>
      </c>
      <c r="AL54">
        <v>44000</v>
      </c>
      <c r="AR54">
        <v>1.5</v>
      </c>
      <c r="AS54" t="s">
        <v>11131</v>
      </c>
      <c r="AT54" t="s">
        <v>85</v>
      </c>
      <c r="AV54" t="s">
        <v>11230</v>
      </c>
      <c r="AW54" t="s">
        <v>10962</v>
      </c>
      <c r="AX54" t="s">
        <v>11131</v>
      </c>
    </row>
    <row r="55" spans="1:50">
      <c r="A55" s="1">
        <f>HYPERLINK("https://lsnyc.legalserver.org/matter/dynamic-profile/view/1901356","19-1901356")</f>
        <v>0</v>
      </c>
      <c r="B55" t="s">
        <v>68</v>
      </c>
      <c r="C55" t="s">
        <v>359</v>
      </c>
      <c r="D55" t="s">
        <v>745</v>
      </c>
      <c r="E55" t="s">
        <v>3127</v>
      </c>
      <c r="F55">
        <v>6</v>
      </c>
      <c r="G55" t="s">
        <v>5637</v>
      </c>
      <c r="H55">
        <v>11233</v>
      </c>
      <c r="I55" t="s">
        <v>5696</v>
      </c>
      <c r="J55" t="s">
        <v>5696</v>
      </c>
      <c r="L55" t="s">
        <v>5740</v>
      </c>
      <c r="M55" t="s">
        <v>6732</v>
      </c>
      <c r="N55" t="s">
        <v>6739</v>
      </c>
      <c r="O55" t="s">
        <v>6754</v>
      </c>
      <c r="R55" t="s">
        <v>6793</v>
      </c>
      <c r="U55">
        <v>1117.05</v>
      </c>
      <c r="V55" t="s">
        <v>6835</v>
      </c>
      <c r="X55" t="s">
        <v>6857</v>
      </c>
      <c r="Y55" t="s">
        <v>6923</v>
      </c>
      <c r="AA55" t="s">
        <v>9135</v>
      </c>
      <c r="AB55">
        <v>8</v>
      </c>
      <c r="AC55" t="s">
        <v>10929</v>
      </c>
      <c r="AE55">
        <v>28</v>
      </c>
      <c r="AF55">
        <v>1</v>
      </c>
      <c r="AG55">
        <v>0</v>
      </c>
      <c r="AH55">
        <v>77.73</v>
      </c>
      <c r="AK55" t="s">
        <v>10966</v>
      </c>
      <c r="AL55">
        <v>9708</v>
      </c>
      <c r="AR55">
        <v>1.25</v>
      </c>
      <c r="AS55" t="s">
        <v>11117</v>
      </c>
      <c r="AT55" t="s">
        <v>68</v>
      </c>
      <c r="AV55" t="s">
        <v>11230</v>
      </c>
      <c r="AW55" t="s">
        <v>11148</v>
      </c>
      <c r="AX55" t="s">
        <v>11117</v>
      </c>
    </row>
    <row r="56" spans="1:50">
      <c r="A56" s="1">
        <f>HYPERLINK("https://lsnyc.legalserver.org/matter/dynamic-profile/view/1900123","19-1900123")</f>
        <v>0</v>
      </c>
      <c r="B56" t="s">
        <v>78</v>
      </c>
      <c r="C56" t="s">
        <v>360</v>
      </c>
      <c r="D56" t="s">
        <v>1685</v>
      </c>
      <c r="E56" t="s">
        <v>3128</v>
      </c>
      <c r="F56" t="s">
        <v>5123</v>
      </c>
      <c r="G56" t="s">
        <v>5648</v>
      </c>
      <c r="H56">
        <v>10002</v>
      </c>
      <c r="I56" t="s">
        <v>5696</v>
      </c>
      <c r="J56" t="s">
        <v>5696</v>
      </c>
      <c r="L56" t="s">
        <v>5740</v>
      </c>
      <c r="M56" t="s">
        <v>6732</v>
      </c>
      <c r="N56" t="s">
        <v>6739</v>
      </c>
      <c r="O56" t="s">
        <v>6759</v>
      </c>
      <c r="R56" t="s">
        <v>6793</v>
      </c>
      <c r="U56">
        <v>559.8</v>
      </c>
      <c r="V56" t="s">
        <v>6836</v>
      </c>
      <c r="W56" t="s">
        <v>6845</v>
      </c>
      <c r="X56" t="s">
        <v>6857</v>
      </c>
      <c r="Y56" t="s">
        <v>6924</v>
      </c>
      <c r="AA56" t="s">
        <v>9136</v>
      </c>
      <c r="AB56">
        <v>0</v>
      </c>
      <c r="AE56">
        <v>35</v>
      </c>
      <c r="AF56">
        <v>2</v>
      </c>
      <c r="AG56">
        <v>1</v>
      </c>
      <c r="AH56">
        <v>95.64</v>
      </c>
      <c r="AK56" t="s">
        <v>10967</v>
      </c>
      <c r="AL56">
        <v>20400</v>
      </c>
      <c r="AR56">
        <v>1</v>
      </c>
      <c r="AS56" t="s">
        <v>11132</v>
      </c>
      <c r="AT56" t="s">
        <v>11194</v>
      </c>
      <c r="AV56" t="s">
        <v>11230</v>
      </c>
      <c r="AW56" t="s">
        <v>10954</v>
      </c>
      <c r="AX56" t="s">
        <v>11116</v>
      </c>
    </row>
    <row r="57" spans="1:50">
      <c r="A57" s="1">
        <f>HYPERLINK("https://lsnyc.legalserver.org/matter/dynamic-profile/view/1899561","19-1899561")</f>
        <v>0</v>
      </c>
      <c r="B57" t="s">
        <v>86</v>
      </c>
      <c r="C57" t="s">
        <v>361</v>
      </c>
      <c r="D57" t="s">
        <v>1686</v>
      </c>
      <c r="E57" t="s">
        <v>3129</v>
      </c>
      <c r="F57" t="s">
        <v>5124</v>
      </c>
      <c r="G57" t="s">
        <v>5636</v>
      </c>
      <c r="H57">
        <v>10304</v>
      </c>
      <c r="I57" t="s">
        <v>5696</v>
      </c>
      <c r="J57" t="s">
        <v>5696</v>
      </c>
      <c r="K57" t="s">
        <v>5738</v>
      </c>
      <c r="L57" t="s">
        <v>5740</v>
      </c>
      <c r="M57" t="s">
        <v>6732</v>
      </c>
      <c r="N57" t="s">
        <v>6739</v>
      </c>
      <c r="O57" t="s">
        <v>6745</v>
      </c>
      <c r="P57" t="s">
        <v>5697</v>
      </c>
      <c r="R57" t="s">
        <v>6796</v>
      </c>
      <c r="U57">
        <v>294</v>
      </c>
      <c r="V57" t="s">
        <v>6834</v>
      </c>
      <c r="W57" t="s">
        <v>6843</v>
      </c>
      <c r="X57" t="s">
        <v>6857</v>
      </c>
      <c r="Y57" t="s">
        <v>6925</v>
      </c>
      <c r="AA57" t="s">
        <v>9137</v>
      </c>
      <c r="AB57">
        <v>0</v>
      </c>
      <c r="AC57" t="s">
        <v>10934</v>
      </c>
      <c r="AD57" t="s">
        <v>5741</v>
      </c>
      <c r="AE57">
        <v>32</v>
      </c>
      <c r="AF57">
        <v>1</v>
      </c>
      <c r="AG57">
        <v>0</v>
      </c>
      <c r="AH57">
        <v>123.07</v>
      </c>
      <c r="AK57" t="s">
        <v>10966</v>
      </c>
      <c r="AL57">
        <v>15372</v>
      </c>
      <c r="AR57">
        <v>2.95</v>
      </c>
      <c r="AS57" t="s">
        <v>11133</v>
      </c>
      <c r="AT57" t="s">
        <v>11177</v>
      </c>
      <c r="AV57" t="s">
        <v>11230</v>
      </c>
      <c r="AW57" t="s">
        <v>11132</v>
      </c>
      <c r="AX57" t="s">
        <v>11132</v>
      </c>
    </row>
    <row r="58" spans="1:50">
      <c r="A58" s="1">
        <f>HYPERLINK("https://lsnyc.legalserver.org/matter/dynamic-profile/view/1897065","19-1897065")</f>
        <v>0</v>
      </c>
      <c r="B58" t="s">
        <v>77</v>
      </c>
      <c r="C58" t="s">
        <v>362</v>
      </c>
      <c r="D58" t="s">
        <v>1687</v>
      </c>
      <c r="E58" t="s">
        <v>3130</v>
      </c>
      <c r="F58" t="s">
        <v>5100</v>
      </c>
      <c r="G58" t="s">
        <v>5637</v>
      </c>
      <c r="H58">
        <v>11216</v>
      </c>
      <c r="I58" t="s">
        <v>5696</v>
      </c>
      <c r="J58" t="s">
        <v>5696</v>
      </c>
      <c r="L58" t="s">
        <v>5740</v>
      </c>
      <c r="M58" t="s">
        <v>6732</v>
      </c>
      <c r="N58" t="s">
        <v>6739</v>
      </c>
      <c r="O58" t="s">
        <v>6748</v>
      </c>
      <c r="P58" t="s">
        <v>5697</v>
      </c>
      <c r="R58" t="s">
        <v>6793</v>
      </c>
      <c r="U58">
        <v>1268</v>
      </c>
      <c r="V58" t="s">
        <v>6835</v>
      </c>
      <c r="W58" t="s">
        <v>6847</v>
      </c>
      <c r="X58" t="s">
        <v>6857</v>
      </c>
      <c r="Y58" t="s">
        <v>6926</v>
      </c>
      <c r="AA58" t="s">
        <v>9138</v>
      </c>
      <c r="AB58">
        <v>7</v>
      </c>
      <c r="AC58" t="s">
        <v>10929</v>
      </c>
      <c r="AD58" t="s">
        <v>10946</v>
      </c>
      <c r="AE58">
        <v>1</v>
      </c>
      <c r="AF58">
        <v>1</v>
      </c>
      <c r="AG58">
        <v>1</v>
      </c>
      <c r="AH58">
        <v>20.58</v>
      </c>
      <c r="AK58" t="s">
        <v>10966</v>
      </c>
      <c r="AL58">
        <v>3480</v>
      </c>
      <c r="AR58">
        <v>0.8</v>
      </c>
      <c r="AS58" t="s">
        <v>11134</v>
      </c>
      <c r="AT58" t="s">
        <v>11195</v>
      </c>
      <c r="AV58" t="s">
        <v>11230</v>
      </c>
      <c r="AW58" t="s">
        <v>10961</v>
      </c>
      <c r="AX58" t="s">
        <v>11134</v>
      </c>
    </row>
    <row r="59" spans="1:50">
      <c r="A59" s="1">
        <f>HYPERLINK("https://lsnyc.legalserver.org/matter/dynamic-profile/view/1902686","19-1902686")</f>
        <v>0</v>
      </c>
      <c r="B59" t="s">
        <v>87</v>
      </c>
      <c r="C59" t="s">
        <v>363</v>
      </c>
      <c r="D59" t="s">
        <v>1688</v>
      </c>
      <c r="E59" t="s">
        <v>3131</v>
      </c>
      <c r="F59" t="s">
        <v>5125</v>
      </c>
      <c r="G59" t="s">
        <v>5637</v>
      </c>
      <c r="H59">
        <v>11238</v>
      </c>
      <c r="I59" t="s">
        <v>5695</v>
      </c>
      <c r="J59" t="s">
        <v>5696</v>
      </c>
      <c r="L59" t="s">
        <v>5740</v>
      </c>
      <c r="M59" t="s">
        <v>6732</v>
      </c>
      <c r="N59" t="s">
        <v>6739</v>
      </c>
      <c r="O59" t="s">
        <v>6756</v>
      </c>
      <c r="R59" t="s">
        <v>6795</v>
      </c>
      <c r="U59">
        <v>700</v>
      </c>
      <c r="V59" t="s">
        <v>6835</v>
      </c>
      <c r="W59" t="s">
        <v>6838</v>
      </c>
      <c r="X59" t="s">
        <v>6857</v>
      </c>
      <c r="Y59" t="s">
        <v>6927</v>
      </c>
      <c r="AA59" t="s">
        <v>9139</v>
      </c>
      <c r="AB59">
        <v>0</v>
      </c>
      <c r="AE59">
        <v>10</v>
      </c>
      <c r="AF59">
        <v>1</v>
      </c>
      <c r="AG59">
        <v>0</v>
      </c>
      <c r="AH59">
        <v>104.34</v>
      </c>
      <c r="AK59" t="s">
        <v>10966</v>
      </c>
      <c r="AL59">
        <v>13032</v>
      </c>
      <c r="AR59">
        <v>1</v>
      </c>
      <c r="AS59" t="s">
        <v>6822</v>
      </c>
      <c r="AT59" t="s">
        <v>11190</v>
      </c>
      <c r="AU59" t="s">
        <v>11228</v>
      </c>
      <c r="AV59" t="s">
        <v>11230</v>
      </c>
      <c r="AW59" t="s">
        <v>11137</v>
      </c>
      <c r="AX59" t="s">
        <v>6822</v>
      </c>
    </row>
    <row r="60" spans="1:50">
      <c r="A60" s="1">
        <f>HYPERLINK("https://lsnyc.legalserver.org/matter/dynamic-profile/view/1901549","19-1901549")</f>
        <v>0</v>
      </c>
      <c r="B60" t="s">
        <v>88</v>
      </c>
      <c r="C60" t="s">
        <v>364</v>
      </c>
      <c r="D60" t="s">
        <v>1689</v>
      </c>
      <c r="E60" t="s">
        <v>3132</v>
      </c>
      <c r="F60" t="s">
        <v>5126</v>
      </c>
      <c r="G60" t="s">
        <v>5637</v>
      </c>
      <c r="H60">
        <v>11230</v>
      </c>
      <c r="I60" t="s">
        <v>5696</v>
      </c>
      <c r="J60" t="s">
        <v>5696</v>
      </c>
      <c r="L60" t="s">
        <v>5740</v>
      </c>
      <c r="M60" t="s">
        <v>6732</v>
      </c>
      <c r="N60" t="s">
        <v>6739</v>
      </c>
      <c r="O60" t="s">
        <v>6748</v>
      </c>
      <c r="P60" t="s">
        <v>5697</v>
      </c>
      <c r="R60" t="s">
        <v>6793</v>
      </c>
      <c r="U60">
        <v>1632</v>
      </c>
      <c r="V60" t="s">
        <v>6835</v>
      </c>
      <c r="X60" t="s">
        <v>6857</v>
      </c>
      <c r="Y60" t="s">
        <v>6928</v>
      </c>
      <c r="AA60" t="s">
        <v>9140</v>
      </c>
      <c r="AB60">
        <v>60</v>
      </c>
      <c r="AC60" t="s">
        <v>8953</v>
      </c>
      <c r="AD60" t="s">
        <v>5741</v>
      </c>
      <c r="AE60">
        <v>3</v>
      </c>
      <c r="AF60">
        <v>1</v>
      </c>
      <c r="AG60">
        <v>0</v>
      </c>
      <c r="AH60">
        <v>28.82</v>
      </c>
      <c r="AK60" t="s">
        <v>10966</v>
      </c>
      <c r="AL60">
        <v>3600</v>
      </c>
      <c r="AR60">
        <v>0.7</v>
      </c>
      <c r="AS60" t="s">
        <v>11135</v>
      </c>
      <c r="AT60" t="s">
        <v>11189</v>
      </c>
      <c r="AV60" t="s">
        <v>11230</v>
      </c>
      <c r="AW60" t="s">
        <v>11135</v>
      </c>
      <c r="AX60" t="s">
        <v>11135</v>
      </c>
    </row>
    <row r="61" spans="1:50">
      <c r="A61" s="1">
        <f>HYPERLINK("https://lsnyc.legalserver.org/matter/dynamic-profile/view/1903399","19-1903399")</f>
        <v>0</v>
      </c>
      <c r="B61" t="s">
        <v>67</v>
      </c>
      <c r="C61" t="s">
        <v>365</v>
      </c>
      <c r="D61" t="s">
        <v>1690</v>
      </c>
      <c r="E61" t="s">
        <v>3133</v>
      </c>
      <c r="G61" t="s">
        <v>5637</v>
      </c>
      <c r="H61">
        <v>11208</v>
      </c>
      <c r="I61" t="s">
        <v>5696</v>
      </c>
      <c r="J61" t="s">
        <v>5696</v>
      </c>
      <c r="K61" t="s">
        <v>5740</v>
      </c>
      <c r="L61" t="s">
        <v>5740</v>
      </c>
      <c r="M61" t="s">
        <v>6732</v>
      </c>
      <c r="N61" t="s">
        <v>6739</v>
      </c>
      <c r="O61" t="s">
        <v>6745</v>
      </c>
      <c r="P61" t="s">
        <v>5697</v>
      </c>
      <c r="R61" t="s">
        <v>6793</v>
      </c>
      <c r="U61">
        <v>710</v>
      </c>
      <c r="V61" t="s">
        <v>6835</v>
      </c>
      <c r="W61" t="s">
        <v>6843</v>
      </c>
      <c r="X61" t="s">
        <v>6857</v>
      </c>
      <c r="Y61" t="s">
        <v>6929</v>
      </c>
      <c r="AA61" t="s">
        <v>9141</v>
      </c>
      <c r="AB61">
        <v>2</v>
      </c>
      <c r="AC61" t="s">
        <v>10930</v>
      </c>
      <c r="AD61" t="s">
        <v>5741</v>
      </c>
      <c r="AE61">
        <v>3</v>
      </c>
      <c r="AF61">
        <v>1</v>
      </c>
      <c r="AG61">
        <v>0</v>
      </c>
      <c r="AH61">
        <v>124.9</v>
      </c>
      <c r="AK61" t="s">
        <v>10966</v>
      </c>
      <c r="AL61">
        <v>15600</v>
      </c>
      <c r="AR61">
        <v>0.5</v>
      </c>
      <c r="AS61" t="s">
        <v>11136</v>
      </c>
      <c r="AT61" t="s">
        <v>11180</v>
      </c>
      <c r="AV61" t="s">
        <v>11230</v>
      </c>
      <c r="AW61" t="s">
        <v>11136</v>
      </c>
      <c r="AX61" t="s">
        <v>6810</v>
      </c>
    </row>
    <row r="62" spans="1:50">
      <c r="A62" s="1">
        <f>HYPERLINK("https://lsnyc.legalserver.org/matter/dynamic-profile/view/1902334","19-1902334")</f>
        <v>0</v>
      </c>
      <c r="B62" t="s">
        <v>89</v>
      </c>
      <c r="C62" t="s">
        <v>353</v>
      </c>
      <c r="D62" t="s">
        <v>1691</v>
      </c>
      <c r="E62" t="s">
        <v>3134</v>
      </c>
      <c r="G62" t="s">
        <v>5636</v>
      </c>
      <c r="H62">
        <v>10301</v>
      </c>
      <c r="I62" t="s">
        <v>5695</v>
      </c>
      <c r="J62" t="s">
        <v>5696</v>
      </c>
      <c r="K62" t="s">
        <v>5740</v>
      </c>
      <c r="L62" t="s">
        <v>5740</v>
      </c>
      <c r="M62" t="s">
        <v>6732</v>
      </c>
      <c r="N62" t="s">
        <v>6739</v>
      </c>
      <c r="O62" t="s">
        <v>6745</v>
      </c>
      <c r="P62" t="s">
        <v>5697</v>
      </c>
      <c r="R62" t="s">
        <v>6793</v>
      </c>
      <c r="U62">
        <v>200</v>
      </c>
      <c r="V62" t="s">
        <v>6834</v>
      </c>
      <c r="W62" t="s">
        <v>6848</v>
      </c>
      <c r="X62" t="s">
        <v>6857</v>
      </c>
      <c r="Y62" t="s">
        <v>6930</v>
      </c>
      <c r="AA62" t="s">
        <v>9142</v>
      </c>
      <c r="AB62">
        <v>0</v>
      </c>
      <c r="AD62" t="s">
        <v>5741</v>
      </c>
      <c r="AE62">
        <v>10</v>
      </c>
      <c r="AF62">
        <v>1</v>
      </c>
      <c r="AG62">
        <v>0</v>
      </c>
      <c r="AH62">
        <v>80.7</v>
      </c>
      <c r="AK62" t="s">
        <v>10970</v>
      </c>
      <c r="AL62">
        <v>10080</v>
      </c>
      <c r="AO62" t="s">
        <v>6841</v>
      </c>
      <c r="AR62">
        <v>2.1</v>
      </c>
      <c r="AS62" t="s">
        <v>6819</v>
      </c>
      <c r="AT62" t="s">
        <v>11177</v>
      </c>
      <c r="AU62" t="s">
        <v>11228</v>
      </c>
      <c r="AV62" t="s">
        <v>11230</v>
      </c>
      <c r="AW62" t="s">
        <v>6815</v>
      </c>
      <c r="AX62" t="s">
        <v>6821</v>
      </c>
    </row>
    <row r="63" spans="1:50">
      <c r="A63" s="1">
        <f>HYPERLINK("https://lsnyc.legalserver.org/matter/dynamic-profile/view/1902675","19-1902675")</f>
        <v>0</v>
      </c>
      <c r="B63" t="s">
        <v>67</v>
      </c>
      <c r="C63" t="s">
        <v>321</v>
      </c>
      <c r="D63" t="s">
        <v>1692</v>
      </c>
      <c r="E63" t="s">
        <v>3135</v>
      </c>
      <c r="F63">
        <v>2</v>
      </c>
      <c r="G63" t="s">
        <v>5637</v>
      </c>
      <c r="H63">
        <v>11208</v>
      </c>
      <c r="I63" t="s">
        <v>5696</v>
      </c>
      <c r="J63" t="s">
        <v>5696</v>
      </c>
      <c r="K63" t="s">
        <v>5727</v>
      </c>
      <c r="L63" t="s">
        <v>5740</v>
      </c>
      <c r="M63" t="s">
        <v>6732</v>
      </c>
      <c r="N63" t="s">
        <v>6739</v>
      </c>
      <c r="O63" t="s">
        <v>6745</v>
      </c>
      <c r="P63" t="s">
        <v>5697</v>
      </c>
      <c r="R63" t="s">
        <v>6793</v>
      </c>
      <c r="U63">
        <v>900</v>
      </c>
      <c r="V63" t="s">
        <v>6835</v>
      </c>
      <c r="W63" t="s">
        <v>6841</v>
      </c>
      <c r="X63" t="s">
        <v>6857</v>
      </c>
      <c r="Y63" t="s">
        <v>6931</v>
      </c>
      <c r="AA63" t="s">
        <v>9143</v>
      </c>
      <c r="AB63">
        <v>0</v>
      </c>
      <c r="AC63" t="s">
        <v>10930</v>
      </c>
      <c r="AD63" t="s">
        <v>5741</v>
      </c>
      <c r="AE63">
        <v>3</v>
      </c>
      <c r="AF63">
        <v>1</v>
      </c>
      <c r="AG63">
        <v>2</v>
      </c>
      <c r="AH63">
        <v>33.76</v>
      </c>
      <c r="AK63" t="s">
        <v>10966</v>
      </c>
      <c r="AL63">
        <v>7200</v>
      </c>
      <c r="AR63">
        <v>1</v>
      </c>
      <c r="AS63" t="s">
        <v>11137</v>
      </c>
      <c r="AT63" t="s">
        <v>11186</v>
      </c>
      <c r="AV63" t="s">
        <v>11230</v>
      </c>
      <c r="AW63" t="s">
        <v>11137</v>
      </c>
      <c r="AX63" t="s">
        <v>6810</v>
      </c>
    </row>
    <row r="64" spans="1:50">
      <c r="A64" s="1">
        <f>HYPERLINK("https://lsnyc.legalserver.org/matter/dynamic-profile/view/1897895","19-1897895")</f>
        <v>0</v>
      </c>
      <c r="B64" t="s">
        <v>67</v>
      </c>
      <c r="C64" t="s">
        <v>366</v>
      </c>
      <c r="D64" t="s">
        <v>1693</v>
      </c>
      <c r="E64" t="s">
        <v>3136</v>
      </c>
      <c r="F64" t="s">
        <v>5110</v>
      </c>
      <c r="G64" t="s">
        <v>5637</v>
      </c>
      <c r="H64">
        <v>11212</v>
      </c>
      <c r="I64" t="s">
        <v>5696</v>
      </c>
      <c r="J64" t="s">
        <v>5696</v>
      </c>
      <c r="L64" t="s">
        <v>5740</v>
      </c>
      <c r="M64" t="s">
        <v>6732</v>
      </c>
      <c r="N64" t="s">
        <v>6739</v>
      </c>
      <c r="O64" t="s">
        <v>6745</v>
      </c>
      <c r="R64" t="s">
        <v>6793</v>
      </c>
      <c r="U64">
        <v>204</v>
      </c>
      <c r="V64" t="s">
        <v>6835</v>
      </c>
      <c r="X64" t="s">
        <v>6857</v>
      </c>
      <c r="Y64" t="s">
        <v>6932</v>
      </c>
      <c r="AA64" t="s">
        <v>9144</v>
      </c>
      <c r="AB64">
        <v>0</v>
      </c>
      <c r="AE64">
        <v>2</v>
      </c>
      <c r="AF64">
        <v>1</v>
      </c>
      <c r="AG64">
        <v>0</v>
      </c>
      <c r="AH64">
        <v>72.06</v>
      </c>
      <c r="AK64" t="s">
        <v>10966</v>
      </c>
      <c r="AL64">
        <v>9000</v>
      </c>
      <c r="AR64">
        <v>1.2</v>
      </c>
      <c r="AS64" t="s">
        <v>11137</v>
      </c>
      <c r="AT64" t="s">
        <v>11186</v>
      </c>
      <c r="AV64" t="s">
        <v>11230</v>
      </c>
      <c r="AW64" t="s">
        <v>11125</v>
      </c>
      <c r="AX64" t="s">
        <v>11155</v>
      </c>
    </row>
    <row r="65" spans="1:50">
      <c r="A65" s="1">
        <f>HYPERLINK("https://lsnyc.legalserver.org/matter/dynamic-profile/view/1903912","19-1903912")</f>
        <v>0</v>
      </c>
      <c r="B65" t="s">
        <v>90</v>
      </c>
      <c r="C65" t="s">
        <v>367</v>
      </c>
      <c r="D65" t="s">
        <v>1694</v>
      </c>
      <c r="E65" t="s">
        <v>3137</v>
      </c>
      <c r="F65" t="s">
        <v>5127</v>
      </c>
      <c r="G65" t="s">
        <v>5637</v>
      </c>
      <c r="H65">
        <v>11216</v>
      </c>
      <c r="I65" t="s">
        <v>5695</v>
      </c>
      <c r="J65" t="s">
        <v>5696</v>
      </c>
      <c r="L65" t="s">
        <v>5740</v>
      </c>
      <c r="M65" t="s">
        <v>6732</v>
      </c>
      <c r="N65" t="s">
        <v>6739</v>
      </c>
      <c r="O65" t="s">
        <v>6756</v>
      </c>
      <c r="R65" t="s">
        <v>6795</v>
      </c>
      <c r="U65">
        <v>729.14</v>
      </c>
      <c r="V65" t="s">
        <v>6835</v>
      </c>
      <c r="W65" t="s">
        <v>6838</v>
      </c>
      <c r="X65" t="s">
        <v>6857</v>
      </c>
      <c r="Y65" t="s">
        <v>6933</v>
      </c>
      <c r="AA65" t="s">
        <v>9145</v>
      </c>
      <c r="AB65">
        <v>18</v>
      </c>
      <c r="AE65">
        <v>36</v>
      </c>
      <c r="AF65">
        <v>2</v>
      </c>
      <c r="AG65">
        <v>0</v>
      </c>
      <c r="AH65">
        <v>169.13</v>
      </c>
      <c r="AK65" t="s">
        <v>10966</v>
      </c>
      <c r="AL65">
        <v>28600</v>
      </c>
      <c r="AR65">
        <v>1.5</v>
      </c>
      <c r="AS65" t="s">
        <v>6818</v>
      </c>
      <c r="AT65" t="s">
        <v>11190</v>
      </c>
      <c r="AU65" t="s">
        <v>11228</v>
      </c>
      <c r="AV65" t="s">
        <v>11230</v>
      </c>
      <c r="AW65" t="s">
        <v>6807</v>
      </c>
      <c r="AX65" t="s">
        <v>6818</v>
      </c>
    </row>
    <row r="66" spans="1:50">
      <c r="A66" s="1">
        <f>HYPERLINK("https://lsnyc.legalserver.org/matter/dynamic-profile/view/1900192","19-1900192")</f>
        <v>0</v>
      </c>
      <c r="B66" t="s">
        <v>91</v>
      </c>
      <c r="C66" t="s">
        <v>368</v>
      </c>
      <c r="D66" t="s">
        <v>1229</v>
      </c>
      <c r="E66" t="s">
        <v>3138</v>
      </c>
      <c r="F66" t="s">
        <v>5128</v>
      </c>
      <c r="G66" t="s">
        <v>5637</v>
      </c>
      <c r="H66">
        <v>11212</v>
      </c>
      <c r="I66" t="s">
        <v>5697</v>
      </c>
      <c r="J66" t="s">
        <v>5696</v>
      </c>
      <c r="K66" t="s">
        <v>5727</v>
      </c>
      <c r="L66" t="s">
        <v>5740</v>
      </c>
      <c r="M66" t="s">
        <v>6732</v>
      </c>
      <c r="N66" t="s">
        <v>6739</v>
      </c>
      <c r="O66" t="s">
        <v>6748</v>
      </c>
      <c r="P66" t="s">
        <v>5697</v>
      </c>
      <c r="R66" t="s">
        <v>6793</v>
      </c>
      <c r="S66" t="s">
        <v>6801</v>
      </c>
      <c r="U66">
        <v>1800</v>
      </c>
      <c r="V66" t="s">
        <v>6835</v>
      </c>
      <c r="X66" t="s">
        <v>6857</v>
      </c>
      <c r="Y66" t="s">
        <v>6934</v>
      </c>
      <c r="Z66" t="s">
        <v>8919</v>
      </c>
      <c r="AA66" t="s">
        <v>9146</v>
      </c>
      <c r="AB66">
        <v>4</v>
      </c>
      <c r="AC66" t="s">
        <v>10930</v>
      </c>
      <c r="AD66" t="s">
        <v>5741</v>
      </c>
      <c r="AE66">
        <v>1</v>
      </c>
      <c r="AF66">
        <v>3</v>
      </c>
      <c r="AG66">
        <v>0</v>
      </c>
      <c r="AH66">
        <v>112.52</v>
      </c>
      <c r="AK66" t="s">
        <v>10966</v>
      </c>
      <c r="AL66">
        <v>24000</v>
      </c>
      <c r="AR66">
        <v>3.25</v>
      </c>
      <c r="AS66" t="s">
        <v>11138</v>
      </c>
      <c r="AT66" t="s">
        <v>11185</v>
      </c>
      <c r="AU66" t="s">
        <v>5741</v>
      </c>
      <c r="AV66" t="s">
        <v>11230</v>
      </c>
      <c r="AW66" t="s">
        <v>11127</v>
      </c>
      <c r="AX66" t="s">
        <v>11138</v>
      </c>
    </row>
    <row r="67" spans="1:50">
      <c r="A67" s="1">
        <f>HYPERLINK("https://lsnyc.legalserver.org/matter/dynamic-profile/view/1900236","19-1900236")</f>
        <v>0</v>
      </c>
      <c r="B67" t="s">
        <v>56</v>
      </c>
      <c r="C67" t="s">
        <v>369</v>
      </c>
      <c r="D67" t="s">
        <v>1695</v>
      </c>
      <c r="E67" t="s">
        <v>3139</v>
      </c>
      <c r="F67" t="s">
        <v>5129</v>
      </c>
      <c r="G67" t="s">
        <v>5637</v>
      </c>
      <c r="H67">
        <v>11235</v>
      </c>
      <c r="I67" t="s">
        <v>5696</v>
      </c>
      <c r="J67" t="s">
        <v>5696</v>
      </c>
      <c r="L67" t="s">
        <v>5740</v>
      </c>
      <c r="M67" t="s">
        <v>6732</v>
      </c>
      <c r="N67" t="s">
        <v>6739</v>
      </c>
      <c r="O67" t="s">
        <v>6748</v>
      </c>
      <c r="P67" t="s">
        <v>5697</v>
      </c>
      <c r="R67" t="s">
        <v>6793</v>
      </c>
      <c r="U67">
        <v>800</v>
      </c>
      <c r="V67" t="s">
        <v>6835</v>
      </c>
      <c r="W67" t="s">
        <v>6848</v>
      </c>
      <c r="X67" t="s">
        <v>6857</v>
      </c>
      <c r="Y67" t="s">
        <v>6935</v>
      </c>
      <c r="AA67" t="s">
        <v>9147</v>
      </c>
      <c r="AB67">
        <v>0</v>
      </c>
      <c r="AC67" t="s">
        <v>8953</v>
      </c>
      <c r="AD67" t="s">
        <v>10947</v>
      </c>
      <c r="AE67">
        <v>1</v>
      </c>
      <c r="AF67">
        <v>1</v>
      </c>
      <c r="AG67">
        <v>0</v>
      </c>
      <c r="AH67">
        <v>148.25</v>
      </c>
      <c r="AK67" t="s">
        <v>10966</v>
      </c>
      <c r="AL67">
        <v>18516</v>
      </c>
      <c r="AR67">
        <v>2.56</v>
      </c>
      <c r="AS67" t="s">
        <v>11117</v>
      </c>
      <c r="AT67" t="s">
        <v>11195</v>
      </c>
      <c r="AV67" t="s">
        <v>11230</v>
      </c>
      <c r="AW67" t="s">
        <v>11127</v>
      </c>
      <c r="AX67" t="s">
        <v>11117</v>
      </c>
    </row>
    <row r="68" spans="1:50">
      <c r="A68" s="1">
        <f>HYPERLINK("https://lsnyc.legalserver.org/matter/dynamic-profile/view/1903639","19-1903639")</f>
        <v>0</v>
      </c>
      <c r="B68" t="s">
        <v>91</v>
      </c>
      <c r="C68" t="s">
        <v>370</v>
      </c>
      <c r="D68" t="s">
        <v>1696</v>
      </c>
      <c r="E68" t="s">
        <v>3140</v>
      </c>
      <c r="F68" t="s">
        <v>5130</v>
      </c>
      <c r="G68" t="s">
        <v>5637</v>
      </c>
      <c r="H68">
        <v>11212</v>
      </c>
      <c r="I68" t="s">
        <v>5697</v>
      </c>
      <c r="J68" t="s">
        <v>5696</v>
      </c>
      <c r="L68" t="s">
        <v>5740</v>
      </c>
      <c r="M68" t="s">
        <v>6732</v>
      </c>
      <c r="N68" t="s">
        <v>6739</v>
      </c>
      <c r="O68" t="s">
        <v>6745</v>
      </c>
      <c r="P68" t="s">
        <v>5697</v>
      </c>
      <c r="R68" t="s">
        <v>6793</v>
      </c>
      <c r="S68" t="s">
        <v>6801</v>
      </c>
      <c r="U68">
        <v>1008</v>
      </c>
      <c r="V68" t="s">
        <v>6835</v>
      </c>
      <c r="W68" t="s">
        <v>6849</v>
      </c>
      <c r="X68" t="s">
        <v>6857</v>
      </c>
      <c r="Y68" t="s">
        <v>6936</v>
      </c>
      <c r="Z68" t="s">
        <v>8920</v>
      </c>
      <c r="AA68" t="s">
        <v>9148</v>
      </c>
      <c r="AB68">
        <v>24</v>
      </c>
      <c r="AC68" t="s">
        <v>10929</v>
      </c>
      <c r="AD68" t="s">
        <v>10944</v>
      </c>
      <c r="AE68">
        <v>5</v>
      </c>
      <c r="AF68">
        <v>2</v>
      </c>
      <c r="AG68">
        <v>0</v>
      </c>
      <c r="AH68">
        <v>105.59</v>
      </c>
      <c r="AK68" t="s">
        <v>10966</v>
      </c>
      <c r="AL68">
        <v>17856</v>
      </c>
      <c r="AR68">
        <v>2.66</v>
      </c>
      <c r="AS68" t="s">
        <v>6818</v>
      </c>
      <c r="AT68" t="s">
        <v>11195</v>
      </c>
      <c r="AU68" t="s">
        <v>5741</v>
      </c>
      <c r="AV68" t="s">
        <v>11230</v>
      </c>
      <c r="AW68" t="s">
        <v>11144</v>
      </c>
      <c r="AX68" t="s">
        <v>6818</v>
      </c>
    </row>
    <row r="69" spans="1:50">
      <c r="A69" s="1">
        <f>HYPERLINK("https://lsnyc.legalserver.org/matter/dynamic-profile/view/1903324","19-1903324")</f>
        <v>0</v>
      </c>
      <c r="B69" t="s">
        <v>92</v>
      </c>
      <c r="C69" t="s">
        <v>371</v>
      </c>
      <c r="D69" t="s">
        <v>1697</v>
      </c>
      <c r="E69" t="s">
        <v>3141</v>
      </c>
      <c r="F69" t="s">
        <v>5131</v>
      </c>
      <c r="G69" t="s">
        <v>5637</v>
      </c>
      <c r="H69">
        <v>11206</v>
      </c>
      <c r="I69" t="s">
        <v>5695</v>
      </c>
      <c r="J69" t="s">
        <v>5696</v>
      </c>
      <c r="K69" t="s">
        <v>5741</v>
      </c>
      <c r="L69" t="s">
        <v>5740</v>
      </c>
      <c r="M69" t="s">
        <v>6732</v>
      </c>
      <c r="N69" t="s">
        <v>6739</v>
      </c>
      <c r="O69" t="s">
        <v>6756</v>
      </c>
      <c r="P69" t="s">
        <v>5697</v>
      </c>
      <c r="R69" t="s">
        <v>6795</v>
      </c>
      <c r="U69">
        <v>884</v>
      </c>
      <c r="V69" t="s">
        <v>6835</v>
      </c>
      <c r="W69" t="s">
        <v>6838</v>
      </c>
      <c r="X69" t="s">
        <v>6857</v>
      </c>
      <c r="Y69" t="s">
        <v>6937</v>
      </c>
      <c r="AA69" t="s">
        <v>9149</v>
      </c>
      <c r="AB69">
        <v>0</v>
      </c>
      <c r="AC69" t="s">
        <v>10929</v>
      </c>
      <c r="AD69" t="s">
        <v>10945</v>
      </c>
      <c r="AE69">
        <v>40</v>
      </c>
      <c r="AF69">
        <v>2</v>
      </c>
      <c r="AG69">
        <v>0</v>
      </c>
      <c r="AH69">
        <v>136.32</v>
      </c>
      <c r="AK69" t="s">
        <v>10966</v>
      </c>
      <c r="AL69">
        <v>23052</v>
      </c>
      <c r="AR69">
        <v>0.8</v>
      </c>
      <c r="AS69" t="s">
        <v>11139</v>
      </c>
      <c r="AT69" t="s">
        <v>11190</v>
      </c>
      <c r="AU69" t="s">
        <v>11228</v>
      </c>
      <c r="AV69" t="s">
        <v>11230</v>
      </c>
      <c r="AW69" t="s">
        <v>11139</v>
      </c>
      <c r="AX69" t="s">
        <v>11136</v>
      </c>
    </row>
    <row r="70" spans="1:50">
      <c r="A70" s="1">
        <f>HYPERLINK("https://lsnyc.legalserver.org/matter/dynamic-profile/view/1895446","19-1895446")</f>
        <v>0</v>
      </c>
      <c r="B70" t="s">
        <v>93</v>
      </c>
      <c r="C70" t="s">
        <v>372</v>
      </c>
      <c r="D70" t="s">
        <v>1698</v>
      </c>
      <c r="E70" t="s">
        <v>3142</v>
      </c>
      <c r="F70" t="s">
        <v>5132</v>
      </c>
      <c r="G70" t="s">
        <v>5635</v>
      </c>
      <c r="H70">
        <v>10455</v>
      </c>
      <c r="I70" t="s">
        <v>5695</v>
      </c>
      <c r="J70" t="s">
        <v>5695</v>
      </c>
      <c r="L70" t="s">
        <v>5740</v>
      </c>
      <c r="M70" t="s">
        <v>6732</v>
      </c>
      <c r="N70" t="s">
        <v>6739</v>
      </c>
      <c r="O70" t="s">
        <v>6753</v>
      </c>
      <c r="P70" t="s">
        <v>5697</v>
      </c>
      <c r="R70" t="s">
        <v>6793</v>
      </c>
      <c r="U70">
        <v>1008</v>
      </c>
      <c r="V70" t="s">
        <v>6833</v>
      </c>
      <c r="W70" t="s">
        <v>6839</v>
      </c>
      <c r="X70" t="s">
        <v>6857</v>
      </c>
      <c r="Y70" t="s">
        <v>6938</v>
      </c>
      <c r="AA70" t="s">
        <v>9150</v>
      </c>
      <c r="AB70">
        <v>143</v>
      </c>
      <c r="AC70" t="s">
        <v>10931</v>
      </c>
      <c r="AD70" t="s">
        <v>5741</v>
      </c>
      <c r="AE70">
        <v>5</v>
      </c>
      <c r="AF70">
        <v>1</v>
      </c>
      <c r="AG70">
        <v>0</v>
      </c>
      <c r="AH70">
        <v>249.8</v>
      </c>
      <c r="AK70" t="s">
        <v>10966</v>
      </c>
      <c r="AL70">
        <v>31200</v>
      </c>
      <c r="AR70">
        <v>1.75</v>
      </c>
      <c r="AS70" t="s">
        <v>10960</v>
      </c>
      <c r="AT70" t="s">
        <v>93</v>
      </c>
      <c r="AV70" t="s">
        <v>11230</v>
      </c>
      <c r="AW70" t="s">
        <v>10960</v>
      </c>
      <c r="AX70" t="s">
        <v>10956</v>
      </c>
    </row>
    <row r="71" spans="1:50">
      <c r="A71" s="1">
        <f>HYPERLINK("https://lsnyc.legalserver.org/matter/dynamic-profile/view/1899999","19-1899999")</f>
        <v>0</v>
      </c>
      <c r="B71" t="s">
        <v>85</v>
      </c>
      <c r="C71" t="s">
        <v>373</v>
      </c>
      <c r="D71" t="s">
        <v>1699</v>
      </c>
      <c r="E71" t="s">
        <v>3143</v>
      </c>
      <c r="F71" t="s">
        <v>5093</v>
      </c>
      <c r="G71" t="s">
        <v>5637</v>
      </c>
      <c r="H71">
        <v>11210</v>
      </c>
      <c r="I71" t="s">
        <v>5696</v>
      </c>
      <c r="J71" t="s">
        <v>5696</v>
      </c>
      <c r="L71" t="s">
        <v>5740</v>
      </c>
      <c r="M71" t="s">
        <v>6732</v>
      </c>
      <c r="N71" t="s">
        <v>6739</v>
      </c>
      <c r="O71" t="s">
        <v>6754</v>
      </c>
      <c r="R71" t="s">
        <v>6795</v>
      </c>
      <c r="U71">
        <v>0</v>
      </c>
      <c r="V71" t="s">
        <v>6835</v>
      </c>
      <c r="X71" t="s">
        <v>6857</v>
      </c>
      <c r="Y71" t="s">
        <v>6939</v>
      </c>
      <c r="AA71" t="s">
        <v>9151</v>
      </c>
      <c r="AB71">
        <v>0</v>
      </c>
      <c r="AC71" t="s">
        <v>10929</v>
      </c>
      <c r="AD71" t="s">
        <v>10944</v>
      </c>
      <c r="AE71">
        <v>0</v>
      </c>
      <c r="AF71">
        <v>1</v>
      </c>
      <c r="AG71">
        <v>0</v>
      </c>
      <c r="AH71">
        <v>82.43000000000001</v>
      </c>
      <c r="AK71" t="s">
        <v>10969</v>
      </c>
      <c r="AL71">
        <v>10296</v>
      </c>
      <c r="AR71">
        <v>2.25</v>
      </c>
      <c r="AS71" t="s">
        <v>6808</v>
      </c>
      <c r="AT71" t="s">
        <v>85</v>
      </c>
      <c r="AV71" t="s">
        <v>11230</v>
      </c>
      <c r="AW71" t="s">
        <v>10957</v>
      </c>
      <c r="AX71" t="s">
        <v>10957</v>
      </c>
    </row>
    <row r="72" spans="1:50">
      <c r="A72" s="1">
        <f>HYPERLINK("https://lsnyc.legalserver.org/matter/dynamic-profile/view/1902707","19-1902707")</f>
        <v>0</v>
      </c>
      <c r="B72" t="s">
        <v>87</v>
      </c>
      <c r="C72" t="s">
        <v>374</v>
      </c>
      <c r="D72" t="s">
        <v>1641</v>
      </c>
      <c r="E72" t="s">
        <v>3144</v>
      </c>
      <c r="F72" t="s">
        <v>5133</v>
      </c>
      <c r="G72" t="s">
        <v>5637</v>
      </c>
      <c r="H72">
        <v>11212</v>
      </c>
      <c r="I72" t="s">
        <v>5695</v>
      </c>
      <c r="J72" t="s">
        <v>5696</v>
      </c>
      <c r="L72" t="s">
        <v>5740</v>
      </c>
      <c r="M72" t="s">
        <v>6732</v>
      </c>
      <c r="N72" t="s">
        <v>6739</v>
      </c>
      <c r="O72" t="s">
        <v>6756</v>
      </c>
      <c r="R72" t="s">
        <v>6795</v>
      </c>
      <c r="U72">
        <v>0</v>
      </c>
      <c r="V72" t="s">
        <v>6835</v>
      </c>
      <c r="X72" t="s">
        <v>6857</v>
      </c>
      <c r="Y72" t="s">
        <v>6940</v>
      </c>
      <c r="AA72" t="s">
        <v>9152</v>
      </c>
      <c r="AB72">
        <v>0</v>
      </c>
      <c r="AE72">
        <v>1</v>
      </c>
      <c r="AF72">
        <v>1</v>
      </c>
      <c r="AG72">
        <v>0</v>
      </c>
      <c r="AH72">
        <v>111.45</v>
      </c>
      <c r="AK72" t="s">
        <v>10966</v>
      </c>
      <c r="AL72">
        <v>13920</v>
      </c>
      <c r="AR72">
        <v>0.75</v>
      </c>
      <c r="AS72" t="s">
        <v>6818</v>
      </c>
      <c r="AT72" t="s">
        <v>11190</v>
      </c>
      <c r="AU72" t="s">
        <v>11228</v>
      </c>
      <c r="AV72" t="s">
        <v>11230</v>
      </c>
      <c r="AW72" t="s">
        <v>11137</v>
      </c>
      <c r="AX72" t="s">
        <v>6818</v>
      </c>
    </row>
    <row r="73" spans="1:50">
      <c r="A73" s="1">
        <f>HYPERLINK("https://lsnyc.legalserver.org/matter/dynamic-profile/view/1903336","19-1903336")</f>
        <v>0</v>
      </c>
      <c r="B73" t="s">
        <v>92</v>
      </c>
      <c r="C73" t="s">
        <v>375</v>
      </c>
      <c r="D73" t="s">
        <v>1700</v>
      </c>
      <c r="E73" t="s">
        <v>3145</v>
      </c>
      <c r="F73" t="s">
        <v>5134</v>
      </c>
      <c r="G73" t="s">
        <v>5638</v>
      </c>
      <c r="H73">
        <v>10016</v>
      </c>
      <c r="I73" t="s">
        <v>5695</v>
      </c>
      <c r="J73" t="s">
        <v>5696</v>
      </c>
      <c r="L73" t="s">
        <v>5740</v>
      </c>
      <c r="M73" t="s">
        <v>6732</v>
      </c>
      <c r="N73" t="s">
        <v>6739</v>
      </c>
      <c r="O73" t="s">
        <v>6756</v>
      </c>
      <c r="R73" t="s">
        <v>6795</v>
      </c>
      <c r="U73">
        <v>895</v>
      </c>
      <c r="V73" t="s">
        <v>6835</v>
      </c>
      <c r="W73" t="s">
        <v>6838</v>
      </c>
      <c r="X73" t="s">
        <v>6857</v>
      </c>
      <c r="Y73" t="s">
        <v>6941</v>
      </c>
      <c r="AA73" t="s">
        <v>9153</v>
      </c>
      <c r="AB73">
        <v>0</v>
      </c>
      <c r="AD73" t="s">
        <v>10948</v>
      </c>
      <c r="AE73">
        <v>1</v>
      </c>
      <c r="AF73">
        <v>1</v>
      </c>
      <c r="AG73">
        <v>0</v>
      </c>
      <c r="AH73">
        <v>79.55</v>
      </c>
      <c r="AK73" t="s">
        <v>10966</v>
      </c>
      <c r="AL73">
        <v>9936</v>
      </c>
      <c r="AR73">
        <v>0.8</v>
      </c>
      <c r="AS73" t="s">
        <v>11139</v>
      </c>
      <c r="AT73" t="s">
        <v>11190</v>
      </c>
      <c r="AU73" t="s">
        <v>11228</v>
      </c>
      <c r="AV73" t="s">
        <v>11230</v>
      </c>
      <c r="AW73" t="s">
        <v>11139</v>
      </c>
      <c r="AX73" t="s">
        <v>11136</v>
      </c>
    </row>
    <row r="74" spans="1:50">
      <c r="A74" s="1">
        <f>HYPERLINK("https://lsnyc.legalserver.org/matter/dynamic-profile/view/1901046","19-1901046")</f>
        <v>0</v>
      </c>
      <c r="B74" t="s">
        <v>50</v>
      </c>
      <c r="C74" t="s">
        <v>376</v>
      </c>
      <c r="D74" t="s">
        <v>1701</v>
      </c>
      <c r="E74" t="s">
        <v>3146</v>
      </c>
      <c r="F74" t="s">
        <v>5105</v>
      </c>
      <c r="G74" t="s">
        <v>5635</v>
      </c>
      <c r="H74">
        <v>10452</v>
      </c>
      <c r="I74" t="s">
        <v>5695</v>
      </c>
      <c r="J74" t="s">
        <v>5696</v>
      </c>
      <c r="L74" t="s">
        <v>5740</v>
      </c>
      <c r="M74" t="s">
        <v>6732</v>
      </c>
      <c r="N74" t="s">
        <v>6739</v>
      </c>
      <c r="O74" t="s">
        <v>6753</v>
      </c>
      <c r="P74" t="s">
        <v>5697</v>
      </c>
      <c r="R74" t="s">
        <v>6793</v>
      </c>
      <c r="U74">
        <v>1250</v>
      </c>
      <c r="V74" t="s">
        <v>6833</v>
      </c>
      <c r="W74" t="s">
        <v>6850</v>
      </c>
      <c r="X74" t="s">
        <v>6857</v>
      </c>
      <c r="Y74" t="s">
        <v>6942</v>
      </c>
      <c r="AA74" t="s">
        <v>9154</v>
      </c>
      <c r="AB74">
        <v>59</v>
      </c>
      <c r="AC74" t="s">
        <v>10929</v>
      </c>
      <c r="AD74" t="s">
        <v>5741</v>
      </c>
      <c r="AE74">
        <v>6</v>
      </c>
      <c r="AF74">
        <v>1</v>
      </c>
      <c r="AG74">
        <v>0</v>
      </c>
      <c r="AH74">
        <v>327.03</v>
      </c>
      <c r="AL74">
        <v>40846</v>
      </c>
      <c r="AM74" t="s">
        <v>11000</v>
      </c>
      <c r="AR74">
        <v>1</v>
      </c>
      <c r="AS74" t="s">
        <v>11120</v>
      </c>
      <c r="AT74" t="s">
        <v>11196</v>
      </c>
      <c r="AU74" t="s">
        <v>11228</v>
      </c>
      <c r="AV74" t="s">
        <v>11230</v>
      </c>
      <c r="AW74" t="s">
        <v>11120</v>
      </c>
      <c r="AX74" t="s">
        <v>11150</v>
      </c>
    </row>
    <row r="75" spans="1:50">
      <c r="A75" s="1">
        <f>HYPERLINK("https://lsnyc.legalserver.org/matter/dynamic-profile/view/1904340","19-1904340")</f>
        <v>0</v>
      </c>
      <c r="B75" t="s">
        <v>71</v>
      </c>
      <c r="C75" t="s">
        <v>377</v>
      </c>
      <c r="D75" t="s">
        <v>1702</v>
      </c>
      <c r="E75" t="s">
        <v>3147</v>
      </c>
      <c r="F75" t="s">
        <v>5135</v>
      </c>
      <c r="G75" t="s">
        <v>5637</v>
      </c>
      <c r="H75">
        <v>11211</v>
      </c>
      <c r="I75" t="s">
        <v>5695</v>
      </c>
      <c r="J75" t="s">
        <v>5696</v>
      </c>
      <c r="L75" t="s">
        <v>5740</v>
      </c>
      <c r="M75" t="s">
        <v>6732</v>
      </c>
      <c r="N75" t="s">
        <v>6739</v>
      </c>
      <c r="O75" t="s">
        <v>6756</v>
      </c>
      <c r="P75" t="s">
        <v>5697</v>
      </c>
      <c r="R75" t="s">
        <v>6793</v>
      </c>
      <c r="T75" t="s">
        <v>6813</v>
      </c>
      <c r="U75">
        <v>1621</v>
      </c>
      <c r="V75" t="s">
        <v>6835</v>
      </c>
      <c r="W75" t="s">
        <v>6838</v>
      </c>
      <c r="X75" t="s">
        <v>6857</v>
      </c>
      <c r="Y75" t="s">
        <v>6943</v>
      </c>
      <c r="AA75" t="s">
        <v>9155</v>
      </c>
      <c r="AB75">
        <v>11</v>
      </c>
      <c r="AC75" t="s">
        <v>10929</v>
      </c>
      <c r="AE75">
        <v>26</v>
      </c>
      <c r="AF75">
        <v>1</v>
      </c>
      <c r="AG75">
        <v>0</v>
      </c>
      <c r="AH75">
        <v>160.13</v>
      </c>
      <c r="AK75" t="s">
        <v>10966</v>
      </c>
      <c r="AL75">
        <v>20000</v>
      </c>
      <c r="AR75">
        <v>0.7</v>
      </c>
      <c r="AS75" t="s">
        <v>6813</v>
      </c>
      <c r="AT75" t="s">
        <v>11190</v>
      </c>
      <c r="AU75" t="s">
        <v>11228</v>
      </c>
      <c r="AV75" t="s">
        <v>11230</v>
      </c>
      <c r="AW75" t="s">
        <v>6813</v>
      </c>
      <c r="AX75" t="s">
        <v>6815</v>
      </c>
    </row>
    <row r="76" spans="1:50">
      <c r="A76" s="1">
        <f>HYPERLINK("https://lsnyc.legalserver.org/matter/dynamic-profile/view/1900128","19-1900128")</f>
        <v>0</v>
      </c>
      <c r="B76" t="s">
        <v>78</v>
      </c>
      <c r="C76" t="s">
        <v>378</v>
      </c>
      <c r="D76" t="s">
        <v>1703</v>
      </c>
      <c r="E76" t="s">
        <v>3148</v>
      </c>
      <c r="F76" t="s">
        <v>5136</v>
      </c>
      <c r="G76" t="s">
        <v>5638</v>
      </c>
      <c r="H76">
        <v>10002</v>
      </c>
      <c r="I76" t="s">
        <v>5696</v>
      </c>
      <c r="J76" t="s">
        <v>5696</v>
      </c>
      <c r="L76" t="s">
        <v>5740</v>
      </c>
      <c r="M76" t="s">
        <v>6732</v>
      </c>
      <c r="N76" t="s">
        <v>6739</v>
      </c>
      <c r="O76" t="s">
        <v>6759</v>
      </c>
      <c r="R76" t="s">
        <v>6793</v>
      </c>
      <c r="U76">
        <v>0</v>
      </c>
      <c r="V76" t="s">
        <v>6836</v>
      </c>
      <c r="X76" t="s">
        <v>6857</v>
      </c>
      <c r="Y76" t="s">
        <v>6944</v>
      </c>
      <c r="AA76" t="s">
        <v>9156</v>
      </c>
      <c r="AB76">
        <v>0</v>
      </c>
      <c r="AE76">
        <v>38</v>
      </c>
      <c r="AF76">
        <v>2</v>
      </c>
      <c r="AG76">
        <v>0</v>
      </c>
      <c r="AH76">
        <v>114.11</v>
      </c>
      <c r="AK76" t="s">
        <v>10966</v>
      </c>
      <c r="AL76">
        <v>19296</v>
      </c>
      <c r="AR76">
        <v>1</v>
      </c>
      <c r="AS76" t="s">
        <v>11132</v>
      </c>
      <c r="AT76" t="s">
        <v>11194</v>
      </c>
      <c r="AV76" t="s">
        <v>11230</v>
      </c>
      <c r="AW76" t="s">
        <v>11132</v>
      </c>
      <c r="AX76" t="s">
        <v>11116</v>
      </c>
    </row>
    <row r="77" spans="1:50">
      <c r="A77" s="1">
        <f>HYPERLINK("https://lsnyc.legalserver.org/matter/dynamic-profile/view/1902398","19-1902398")</f>
        <v>0</v>
      </c>
      <c r="B77" t="s">
        <v>70</v>
      </c>
      <c r="C77" t="s">
        <v>379</v>
      </c>
      <c r="D77" t="s">
        <v>1704</v>
      </c>
      <c r="E77" t="s">
        <v>3149</v>
      </c>
      <c r="F77" t="s">
        <v>5122</v>
      </c>
      <c r="G77" t="s">
        <v>5637</v>
      </c>
      <c r="H77">
        <v>11215</v>
      </c>
      <c r="I77" t="s">
        <v>5696</v>
      </c>
      <c r="J77" t="s">
        <v>5696</v>
      </c>
      <c r="L77" t="s">
        <v>5740</v>
      </c>
      <c r="M77" t="s">
        <v>6732</v>
      </c>
      <c r="N77" t="s">
        <v>6739</v>
      </c>
      <c r="O77" t="s">
        <v>6756</v>
      </c>
      <c r="R77" t="s">
        <v>6793</v>
      </c>
      <c r="S77" t="s">
        <v>6801</v>
      </c>
      <c r="U77">
        <v>2500</v>
      </c>
      <c r="V77" t="s">
        <v>6835</v>
      </c>
      <c r="W77" t="s">
        <v>6838</v>
      </c>
      <c r="X77" t="s">
        <v>6857</v>
      </c>
      <c r="Y77" t="s">
        <v>6945</v>
      </c>
      <c r="AA77" t="s">
        <v>9157</v>
      </c>
      <c r="AB77">
        <v>5</v>
      </c>
      <c r="AC77" t="s">
        <v>10930</v>
      </c>
      <c r="AE77">
        <v>20</v>
      </c>
      <c r="AF77">
        <v>1</v>
      </c>
      <c r="AG77">
        <v>0</v>
      </c>
      <c r="AH77">
        <v>156.12</v>
      </c>
      <c r="AL77">
        <v>19500</v>
      </c>
      <c r="AR77">
        <v>0.5</v>
      </c>
      <c r="AS77" t="s">
        <v>11140</v>
      </c>
      <c r="AT77" t="s">
        <v>70</v>
      </c>
      <c r="AV77" t="s">
        <v>11230</v>
      </c>
      <c r="AW77" t="s">
        <v>11140</v>
      </c>
      <c r="AX77" t="s">
        <v>11117</v>
      </c>
    </row>
    <row r="78" spans="1:50">
      <c r="A78" s="1">
        <f>HYPERLINK("https://lsnyc.legalserver.org/matter/dynamic-profile/view/1904835","19-1904835")</f>
        <v>0</v>
      </c>
      <c r="B78" t="s">
        <v>80</v>
      </c>
      <c r="C78" t="s">
        <v>380</v>
      </c>
      <c r="D78" t="s">
        <v>1705</v>
      </c>
      <c r="E78" t="s">
        <v>3150</v>
      </c>
      <c r="F78" t="s">
        <v>5137</v>
      </c>
      <c r="G78" t="s">
        <v>5646</v>
      </c>
      <c r="H78">
        <v>11354</v>
      </c>
      <c r="I78" t="s">
        <v>5696</v>
      </c>
      <c r="J78" t="s">
        <v>5696</v>
      </c>
      <c r="K78" t="s">
        <v>5727</v>
      </c>
      <c r="L78" t="s">
        <v>5740</v>
      </c>
      <c r="M78" t="s">
        <v>6732</v>
      </c>
      <c r="N78" t="s">
        <v>6739</v>
      </c>
      <c r="O78" t="s">
        <v>6748</v>
      </c>
      <c r="P78" t="s">
        <v>5697</v>
      </c>
      <c r="R78" t="s">
        <v>6793</v>
      </c>
      <c r="S78" t="s">
        <v>6801</v>
      </c>
      <c r="U78">
        <v>1350</v>
      </c>
      <c r="V78" t="s">
        <v>6837</v>
      </c>
      <c r="W78" t="s">
        <v>6851</v>
      </c>
      <c r="X78" t="s">
        <v>6857</v>
      </c>
      <c r="Y78" t="s">
        <v>6946</v>
      </c>
      <c r="Z78" t="s">
        <v>5741</v>
      </c>
      <c r="AA78" t="s">
        <v>9158</v>
      </c>
      <c r="AB78">
        <v>4</v>
      </c>
      <c r="AC78" t="s">
        <v>10930</v>
      </c>
      <c r="AD78" t="s">
        <v>5741</v>
      </c>
      <c r="AE78">
        <v>-1</v>
      </c>
      <c r="AF78">
        <v>1</v>
      </c>
      <c r="AG78">
        <v>0</v>
      </c>
      <c r="AH78">
        <v>0</v>
      </c>
      <c r="AK78" t="s">
        <v>10971</v>
      </c>
      <c r="AL78">
        <v>0</v>
      </c>
      <c r="AR78">
        <v>2.3</v>
      </c>
      <c r="AS78" t="s">
        <v>6822</v>
      </c>
      <c r="AT78" t="s">
        <v>11186</v>
      </c>
      <c r="AV78" t="s">
        <v>11230</v>
      </c>
      <c r="AW78" t="s">
        <v>6816</v>
      </c>
      <c r="AX78" t="s">
        <v>6826</v>
      </c>
    </row>
    <row r="79" spans="1:50">
      <c r="A79" s="1">
        <f>HYPERLINK("https://lsnyc.legalserver.org/matter/dynamic-profile/view/1898434","19-1898434")</f>
        <v>0</v>
      </c>
      <c r="B79" t="s">
        <v>67</v>
      </c>
      <c r="C79" t="s">
        <v>359</v>
      </c>
      <c r="D79" t="s">
        <v>1706</v>
      </c>
      <c r="E79" t="s">
        <v>3151</v>
      </c>
      <c r="F79" t="s">
        <v>5138</v>
      </c>
      <c r="G79" t="s">
        <v>5637</v>
      </c>
      <c r="H79">
        <v>11212</v>
      </c>
      <c r="I79" t="s">
        <v>5696</v>
      </c>
      <c r="J79" t="s">
        <v>5696</v>
      </c>
      <c r="L79" t="s">
        <v>5740</v>
      </c>
      <c r="M79" t="s">
        <v>6732</v>
      </c>
      <c r="N79" t="s">
        <v>6739</v>
      </c>
      <c r="O79" t="s">
        <v>6745</v>
      </c>
      <c r="R79" t="s">
        <v>6793</v>
      </c>
      <c r="U79">
        <v>1098</v>
      </c>
      <c r="V79" t="s">
        <v>6835</v>
      </c>
      <c r="X79" t="s">
        <v>6857</v>
      </c>
      <c r="Y79" t="s">
        <v>6947</v>
      </c>
      <c r="AA79" t="s">
        <v>9159</v>
      </c>
      <c r="AB79">
        <v>8</v>
      </c>
      <c r="AC79" t="s">
        <v>10929</v>
      </c>
      <c r="AD79" t="s">
        <v>10946</v>
      </c>
      <c r="AE79">
        <v>14</v>
      </c>
      <c r="AF79">
        <v>1</v>
      </c>
      <c r="AG79">
        <v>2</v>
      </c>
      <c r="AH79">
        <v>27.06</v>
      </c>
      <c r="AK79" t="s">
        <v>10966</v>
      </c>
      <c r="AL79">
        <v>5772</v>
      </c>
      <c r="AR79">
        <v>1</v>
      </c>
      <c r="AS79" t="s">
        <v>11141</v>
      </c>
      <c r="AT79" t="s">
        <v>11186</v>
      </c>
      <c r="AV79" t="s">
        <v>11230</v>
      </c>
      <c r="AW79" t="s">
        <v>11141</v>
      </c>
      <c r="AX79" t="s">
        <v>11150</v>
      </c>
    </row>
    <row r="80" spans="1:50">
      <c r="A80" s="1">
        <f>HYPERLINK("https://lsnyc.legalserver.org/matter/dynamic-profile/view/1896741","19-1896741")</f>
        <v>0</v>
      </c>
      <c r="B80" t="s">
        <v>85</v>
      </c>
      <c r="C80" t="s">
        <v>381</v>
      </c>
      <c r="D80" t="s">
        <v>1707</v>
      </c>
      <c r="E80" t="s">
        <v>3152</v>
      </c>
      <c r="G80" t="s">
        <v>5637</v>
      </c>
      <c r="H80">
        <v>11235</v>
      </c>
      <c r="I80" t="s">
        <v>5696</v>
      </c>
      <c r="J80" t="s">
        <v>5696</v>
      </c>
      <c r="L80" t="s">
        <v>5740</v>
      </c>
      <c r="M80" t="s">
        <v>6732</v>
      </c>
      <c r="N80" t="s">
        <v>6739</v>
      </c>
      <c r="O80" t="s">
        <v>6754</v>
      </c>
      <c r="R80" t="s">
        <v>6795</v>
      </c>
      <c r="U80">
        <v>0</v>
      </c>
      <c r="V80" t="s">
        <v>6835</v>
      </c>
      <c r="X80" t="s">
        <v>6857</v>
      </c>
      <c r="Y80" t="s">
        <v>6948</v>
      </c>
      <c r="AA80" t="s">
        <v>9160</v>
      </c>
      <c r="AB80">
        <v>0</v>
      </c>
      <c r="AE80">
        <v>0</v>
      </c>
      <c r="AF80">
        <v>2</v>
      </c>
      <c r="AG80">
        <v>0</v>
      </c>
      <c r="AH80">
        <v>56.77</v>
      </c>
      <c r="AK80" t="s">
        <v>10969</v>
      </c>
      <c r="AL80">
        <v>9600</v>
      </c>
      <c r="AR80">
        <v>2.25</v>
      </c>
      <c r="AS80" t="s">
        <v>10957</v>
      </c>
      <c r="AT80" t="s">
        <v>85</v>
      </c>
      <c r="AV80" t="s">
        <v>11230</v>
      </c>
      <c r="AW80" t="s">
        <v>11232</v>
      </c>
      <c r="AX80" t="s">
        <v>10957</v>
      </c>
    </row>
    <row r="81" spans="1:50">
      <c r="A81" s="1">
        <f>HYPERLINK("https://lsnyc.legalserver.org/matter/dynamic-profile/view/1906127","19-1906127")</f>
        <v>0</v>
      </c>
      <c r="B81" t="s">
        <v>69</v>
      </c>
      <c r="C81" t="s">
        <v>382</v>
      </c>
      <c r="D81" t="s">
        <v>1708</v>
      </c>
      <c r="E81" t="s">
        <v>3153</v>
      </c>
      <c r="F81">
        <v>1</v>
      </c>
      <c r="G81" t="s">
        <v>5637</v>
      </c>
      <c r="H81">
        <v>11233</v>
      </c>
      <c r="I81" t="s">
        <v>5697</v>
      </c>
      <c r="J81" t="s">
        <v>5696</v>
      </c>
      <c r="K81" t="s">
        <v>5738</v>
      </c>
      <c r="L81" t="s">
        <v>5740</v>
      </c>
      <c r="M81" t="s">
        <v>6732</v>
      </c>
      <c r="N81" t="s">
        <v>6739</v>
      </c>
      <c r="O81" t="s">
        <v>6745</v>
      </c>
      <c r="P81" t="s">
        <v>5697</v>
      </c>
      <c r="R81" t="s">
        <v>6793</v>
      </c>
      <c r="S81" t="s">
        <v>6801</v>
      </c>
      <c r="U81">
        <v>1284</v>
      </c>
      <c r="V81" t="s">
        <v>6835</v>
      </c>
      <c r="W81" t="s">
        <v>6841</v>
      </c>
      <c r="X81" t="s">
        <v>6857</v>
      </c>
      <c r="Y81" t="s">
        <v>6949</v>
      </c>
      <c r="Z81" t="s">
        <v>8921</v>
      </c>
      <c r="AB81">
        <v>3</v>
      </c>
      <c r="AC81" t="s">
        <v>10930</v>
      </c>
      <c r="AD81" t="s">
        <v>10946</v>
      </c>
      <c r="AE81">
        <v>1</v>
      </c>
      <c r="AF81">
        <v>1</v>
      </c>
      <c r="AG81">
        <v>1</v>
      </c>
      <c r="AH81">
        <v>106.52</v>
      </c>
      <c r="AK81" t="s">
        <v>10966</v>
      </c>
      <c r="AL81">
        <v>18012</v>
      </c>
      <c r="AR81">
        <v>0.5</v>
      </c>
      <c r="AS81" t="s">
        <v>6820</v>
      </c>
      <c r="AT81" t="s">
        <v>11180</v>
      </c>
      <c r="AU81" t="s">
        <v>5741</v>
      </c>
      <c r="AV81" t="s">
        <v>11230</v>
      </c>
      <c r="AW81" t="s">
        <v>6820</v>
      </c>
      <c r="AX81" t="s">
        <v>6827</v>
      </c>
    </row>
    <row r="82" spans="1:50">
      <c r="A82" s="1">
        <f>HYPERLINK("https://lsnyc.legalserver.org/matter/dynamic-profile/view/1903131","19-1903131")</f>
        <v>0</v>
      </c>
      <c r="B82" t="s">
        <v>91</v>
      </c>
      <c r="C82" t="s">
        <v>383</v>
      </c>
      <c r="D82" t="s">
        <v>1709</v>
      </c>
      <c r="E82" t="s">
        <v>3154</v>
      </c>
      <c r="F82" t="s">
        <v>5098</v>
      </c>
      <c r="G82" t="s">
        <v>5637</v>
      </c>
      <c r="H82">
        <v>11212</v>
      </c>
      <c r="I82" t="s">
        <v>5697</v>
      </c>
      <c r="J82" t="s">
        <v>5696</v>
      </c>
      <c r="K82" t="s">
        <v>5741</v>
      </c>
      <c r="L82" t="s">
        <v>5740</v>
      </c>
      <c r="M82" t="s">
        <v>6732</v>
      </c>
      <c r="N82" t="s">
        <v>6739</v>
      </c>
      <c r="O82" t="s">
        <v>6745</v>
      </c>
      <c r="P82" t="s">
        <v>5697</v>
      </c>
      <c r="R82" t="s">
        <v>6793</v>
      </c>
      <c r="S82" t="s">
        <v>6801</v>
      </c>
      <c r="U82">
        <v>1235</v>
      </c>
      <c r="V82" t="s">
        <v>6835</v>
      </c>
      <c r="W82" t="s">
        <v>6842</v>
      </c>
      <c r="X82" t="s">
        <v>6857</v>
      </c>
      <c r="Y82" t="s">
        <v>6950</v>
      </c>
      <c r="Z82" t="s">
        <v>8922</v>
      </c>
      <c r="AB82">
        <v>4</v>
      </c>
      <c r="AC82" t="s">
        <v>10930</v>
      </c>
      <c r="AD82" t="s">
        <v>10947</v>
      </c>
      <c r="AE82">
        <v>30</v>
      </c>
      <c r="AF82">
        <v>1</v>
      </c>
      <c r="AG82">
        <v>0</v>
      </c>
      <c r="AH82">
        <v>151.8</v>
      </c>
      <c r="AK82" t="s">
        <v>10966</v>
      </c>
      <c r="AL82">
        <v>18960</v>
      </c>
      <c r="AR82">
        <v>2.16</v>
      </c>
      <c r="AS82" t="s">
        <v>6818</v>
      </c>
      <c r="AT82" t="s">
        <v>11195</v>
      </c>
      <c r="AU82" t="s">
        <v>5741</v>
      </c>
      <c r="AV82" t="s">
        <v>11230</v>
      </c>
      <c r="AW82" t="s">
        <v>10953</v>
      </c>
      <c r="AX82" t="s">
        <v>6818</v>
      </c>
    </row>
    <row r="83" spans="1:50">
      <c r="A83" s="1">
        <f>HYPERLINK("https://lsnyc.legalserver.org/matter/dynamic-profile/view/1902386","19-1902386")</f>
        <v>0</v>
      </c>
      <c r="B83" t="s">
        <v>70</v>
      </c>
      <c r="C83" t="s">
        <v>384</v>
      </c>
      <c r="D83" t="s">
        <v>1710</v>
      </c>
      <c r="E83" t="s">
        <v>3155</v>
      </c>
      <c r="F83">
        <v>2</v>
      </c>
      <c r="G83" t="s">
        <v>5637</v>
      </c>
      <c r="H83">
        <v>11217</v>
      </c>
      <c r="I83" t="s">
        <v>5696</v>
      </c>
      <c r="J83" t="s">
        <v>5696</v>
      </c>
      <c r="L83" t="s">
        <v>5740</v>
      </c>
      <c r="M83" t="s">
        <v>6732</v>
      </c>
      <c r="N83" t="s">
        <v>6739</v>
      </c>
      <c r="O83" t="s">
        <v>6756</v>
      </c>
      <c r="R83" t="s">
        <v>6793</v>
      </c>
      <c r="U83">
        <v>823.21</v>
      </c>
      <c r="V83" t="s">
        <v>6835</v>
      </c>
      <c r="W83" t="s">
        <v>6838</v>
      </c>
      <c r="X83" t="s">
        <v>6857</v>
      </c>
      <c r="Y83" t="s">
        <v>6951</v>
      </c>
      <c r="AB83">
        <v>4</v>
      </c>
      <c r="AC83" t="s">
        <v>10929</v>
      </c>
      <c r="AD83" t="s">
        <v>10945</v>
      </c>
      <c r="AE83">
        <v>25</v>
      </c>
      <c r="AF83">
        <v>4</v>
      </c>
      <c r="AG83">
        <v>0</v>
      </c>
      <c r="AH83">
        <v>34.25</v>
      </c>
      <c r="AK83" t="s">
        <v>10972</v>
      </c>
      <c r="AL83">
        <v>8820</v>
      </c>
      <c r="AR83">
        <v>1.8</v>
      </c>
      <c r="AS83" t="s">
        <v>11117</v>
      </c>
      <c r="AT83" t="s">
        <v>70</v>
      </c>
      <c r="AV83" t="s">
        <v>11230</v>
      </c>
      <c r="AW83" t="s">
        <v>11140</v>
      </c>
      <c r="AX83" t="s">
        <v>11117</v>
      </c>
    </row>
    <row r="84" spans="1:50">
      <c r="A84" s="1">
        <f>HYPERLINK("https://lsnyc.legalserver.org/matter/dynamic-profile/view/1900179","19-1900179")</f>
        <v>0</v>
      </c>
      <c r="B84" t="s">
        <v>78</v>
      </c>
      <c r="C84" t="s">
        <v>385</v>
      </c>
      <c r="D84" t="s">
        <v>1711</v>
      </c>
      <c r="E84" t="s">
        <v>3156</v>
      </c>
      <c r="F84" t="s">
        <v>5139</v>
      </c>
      <c r="G84" t="s">
        <v>5638</v>
      </c>
      <c r="H84">
        <v>10002</v>
      </c>
      <c r="I84" t="s">
        <v>5696</v>
      </c>
      <c r="J84" t="s">
        <v>5696</v>
      </c>
      <c r="L84" t="s">
        <v>5740</v>
      </c>
      <c r="M84" t="s">
        <v>6732</v>
      </c>
      <c r="N84" t="s">
        <v>6739</v>
      </c>
      <c r="O84" t="s">
        <v>6759</v>
      </c>
      <c r="R84" t="s">
        <v>6794</v>
      </c>
      <c r="U84">
        <v>366</v>
      </c>
      <c r="V84" t="s">
        <v>6836</v>
      </c>
      <c r="X84" t="s">
        <v>6857</v>
      </c>
      <c r="Y84" t="s">
        <v>6952</v>
      </c>
      <c r="AB84">
        <v>0</v>
      </c>
      <c r="AE84">
        <v>43</v>
      </c>
      <c r="AF84">
        <v>2</v>
      </c>
      <c r="AG84">
        <v>0</v>
      </c>
      <c r="AH84">
        <v>79.41</v>
      </c>
      <c r="AK84" t="s">
        <v>10973</v>
      </c>
      <c r="AL84">
        <v>13428</v>
      </c>
      <c r="AR84">
        <v>1</v>
      </c>
      <c r="AS84" t="s">
        <v>11132</v>
      </c>
      <c r="AT84" t="s">
        <v>11194</v>
      </c>
      <c r="AV84" t="s">
        <v>11230</v>
      </c>
      <c r="AW84" t="s">
        <v>11127</v>
      </c>
      <c r="AX84" t="s">
        <v>11116</v>
      </c>
    </row>
    <row r="85" spans="1:50">
      <c r="A85" s="1">
        <f>HYPERLINK("https://lsnyc.legalserver.org/matter/dynamic-profile/view/1901109","19-1901109")</f>
        <v>0</v>
      </c>
      <c r="B85" t="s">
        <v>69</v>
      </c>
      <c r="C85" t="s">
        <v>386</v>
      </c>
      <c r="D85" t="s">
        <v>1712</v>
      </c>
      <c r="E85" t="s">
        <v>3157</v>
      </c>
      <c r="F85" t="s">
        <v>5109</v>
      </c>
      <c r="G85" t="s">
        <v>5637</v>
      </c>
      <c r="H85">
        <v>11207</v>
      </c>
      <c r="I85" t="s">
        <v>5697</v>
      </c>
      <c r="J85" t="s">
        <v>5696</v>
      </c>
      <c r="L85" t="s">
        <v>5740</v>
      </c>
      <c r="M85" t="s">
        <v>6732</v>
      </c>
      <c r="N85" t="s">
        <v>6739</v>
      </c>
      <c r="O85" t="s">
        <v>6745</v>
      </c>
      <c r="P85" t="s">
        <v>5697</v>
      </c>
      <c r="R85" t="s">
        <v>6793</v>
      </c>
      <c r="S85" t="s">
        <v>6801</v>
      </c>
      <c r="U85">
        <v>850</v>
      </c>
      <c r="V85" t="s">
        <v>6835</v>
      </c>
      <c r="X85" t="s">
        <v>6857</v>
      </c>
      <c r="Y85" t="s">
        <v>6953</v>
      </c>
      <c r="AB85">
        <v>8</v>
      </c>
      <c r="AC85" t="s">
        <v>10929</v>
      </c>
      <c r="AD85" t="s">
        <v>5741</v>
      </c>
      <c r="AE85">
        <v>1</v>
      </c>
      <c r="AF85">
        <v>1</v>
      </c>
      <c r="AG85">
        <v>0</v>
      </c>
      <c r="AH85">
        <v>240.19</v>
      </c>
      <c r="AK85" t="s">
        <v>10966</v>
      </c>
      <c r="AL85">
        <v>30000</v>
      </c>
      <c r="AM85" t="s">
        <v>11001</v>
      </c>
      <c r="AR85">
        <v>0.9</v>
      </c>
      <c r="AS85" t="s">
        <v>11124</v>
      </c>
      <c r="AT85" t="s">
        <v>11189</v>
      </c>
      <c r="AU85" t="s">
        <v>5741</v>
      </c>
      <c r="AV85" t="s">
        <v>11230</v>
      </c>
      <c r="AW85" t="s">
        <v>11143</v>
      </c>
      <c r="AX85" t="s">
        <v>11124</v>
      </c>
    </row>
    <row r="86" spans="1:50">
      <c r="A86" s="1">
        <f>HYPERLINK("https://lsnyc.legalserver.org/matter/dynamic-profile/view/1905379","19-1905379")</f>
        <v>0</v>
      </c>
      <c r="B86" t="s">
        <v>94</v>
      </c>
      <c r="C86" t="s">
        <v>387</v>
      </c>
      <c r="D86" t="s">
        <v>1713</v>
      </c>
      <c r="E86" t="s">
        <v>3158</v>
      </c>
      <c r="G86" t="s">
        <v>5637</v>
      </c>
      <c r="H86">
        <v>11238</v>
      </c>
      <c r="I86" t="s">
        <v>5696</v>
      </c>
      <c r="J86" t="s">
        <v>5696</v>
      </c>
      <c r="L86" t="s">
        <v>5740</v>
      </c>
      <c r="M86" t="s">
        <v>6732</v>
      </c>
      <c r="N86" t="s">
        <v>6739</v>
      </c>
      <c r="O86" t="s">
        <v>6756</v>
      </c>
      <c r="P86" t="s">
        <v>5697</v>
      </c>
      <c r="R86" t="s">
        <v>6793</v>
      </c>
      <c r="U86">
        <v>0</v>
      </c>
      <c r="V86" t="s">
        <v>6835</v>
      </c>
      <c r="X86" t="s">
        <v>6857</v>
      </c>
      <c r="Y86" t="s">
        <v>6954</v>
      </c>
      <c r="AB86">
        <v>0</v>
      </c>
      <c r="AE86">
        <v>3</v>
      </c>
      <c r="AF86">
        <v>1</v>
      </c>
      <c r="AG86">
        <v>0</v>
      </c>
      <c r="AH86">
        <v>0</v>
      </c>
      <c r="AK86" t="s">
        <v>10966</v>
      </c>
      <c r="AL86">
        <v>0</v>
      </c>
      <c r="AR86">
        <v>1.25</v>
      </c>
      <c r="AS86" t="s">
        <v>6819</v>
      </c>
      <c r="AT86" t="s">
        <v>94</v>
      </c>
      <c r="AV86" t="s">
        <v>11230</v>
      </c>
      <c r="AW86" t="s">
        <v>6808</v>
      </c>
      <c r="AX86" t="s">
        <v>6828</v>
      </c>
    </row>
    <row r="87" spans="1:50">
      <c r="A87" s="1">
        <f>HYPERLINK("https://lsnyc.legalserver.org/matter/dynamic-profile/view/1904488","19-1904488")</f>
        <v>0</v>
      </c>
      <c r="B87" t="s">
        <v>67</v>
      </c>
      <c r="C87" t="s">
        <v>388</v>
      </c>
      <c r="D87" t="s">
        <v>1714</v>
      </c>
      <c r="E87" t="s">
        <v>3159</v>
      </c>
      <c r="F87" t="s">
        <v>5101</v>
      </c>
      <c r="G87" t="s">
        <v>5637</v>
      </c>
      <c r="H87">
        <v>11233</v>
      </c>
      <c r="I87" t="s">
        <v>5696</v>
      </c>
      <c r="J87" t="s">
        <v>5696</v>
      </c>
      <c r="K87" t="s">
        <v>5727</v>
      </c>
      <c r="L87" t="s">
        <v>5740</v>
      </c>
      <c r="M87" t="s">
        <v>6732</v>
      </c>
      <c r="N87" t="s">
        <v>6739</v>
      </c>
      <c r="O87" t="s">
        <v>6745</v>
      </c>
      <c r="P87" t="s">
        <v>5697</v>
      </c>
      <c r="R87" t="s">
        <v>6793</v>
      </c>
      <c r="U87">
        <v>783</v>
      </c>
      <c r="V87" t="s">
        <v>6835</v>
      </c>
      <c r="X87" t="s">
        <v>6857</v>
      </c>
      <c r="Y87" t="s">
        <v>6955</v>
      </c>
      <c r="AB87">
        <v>42</v>
      </c>
      <c r="AC87" t="s">
        <v>10936</v>
      </c>
      <c r="AD87" t="s">
        <v>5741</v>
      </c>
      <c r="AE87">
        <v>7</v>
      </c>
      <c r="AF87">
        <v>1</v>
      </c>
      <c r="AG87">
        <v>4</v>
      </c>
      <c r="AH87">
        <v>106.07</v>
      </c>
      <c r="AK87" t="s">
        <v>10966</v>
      </c>
      <c r="AL87">
        <v>32000</v>
      </c>
      <c r="AR87">
        <v>0.5</v>
      </c>
      <c r="AS87" t="s">
        <v>6810</v>
      </c>
      <c r="AT87" t="s">
        <v>11189</v>
      </c>
      <c r="AV87" t="s">
        <v>11230</v>
      </c>
      <c r="AW87" t="s">
        <v>6810</v>
      </c>
      <c r="AX87" t="s">
        <v>6810</v>
      </c>
    </row>
    <row r="88" spans="1:50">
      <c r="A88" s="1">
        <f>HYPERLINK("https://lsnyc.legalserver.org/matter/dynamic-profile/view/1900146","19-1900146")</f>
        <v>0</v>
      </c>
      <c r="B88" t="s">
        <v>78</v>
      </c>
      <c r="C88" t="s">
        <v>389</v>
      </c>
      <c r="D88" t="s">
        <v>1715</v>
      </c>
      <c r="E88" t="s">
        <v>3160</v>
      </c>
      <c r="G88" t="s">
        <v>5649</v>
      </c>
      <c r="H88">
        <v>11385</v>
      </c>
      <c r="I88" t="s">
        <v>5696</v>
      </c>
      <c r="J88" t="s">
        <v>5696</v>
      </c>
      <c r="L88" t="s">
        <v>5740</v>
      </c>
      <c r="M88" t="s">
        <v>6732</v>
      </c>
      <c r="N88" t="s">
        <v>6739</v>
      </c>
      <c r="O88" t="s">
        <v>6759</v>
      </c>
      <c r="R88" t="s">
        <v>6793</v>
      </c>
      <c r="U88">
        <v>920</v>
      </c>
      <c r="V88" t="s">
        <v>6836</v>
      </c>
      <c r="X88" t="s">
        <v>6857</v>
      </c>
      <c r="Y88" t="s">
        <v>6956</v>
      </c>
      <c r="AB88">
        <v>0</v>
      </c>
      <c r="AE88">
        <v>8</v>
      </c>
      <c r="AF88">
        <v>2</v>
      </c>
      <c r="AG88">
        <v>0</v>
      </c>
      <c r="AH88">
        <v>202.96</v>
      </c>
      <c r="AK88" t="s">
        <v>10966</v>
      </c>
      <c r="AL88">
        <v>34320</v>
      </c>
      <c r="AR88">
        <v>1</v>
      </c>
      <c r="AS88" t="s">
        <v>11132</v>
      </c>
      <c r="AT88" t="s">
        <v>11194</v>
      </c>
      <c r="AV88" t="s">
        <v>11230</v>
      </c>
      <c r="AW88" t="s">
        <v>11132</v>
      </c>
      <c r="AX88" t="s">
        <v>11116</v>
      </c>
    </row>
    <row r="89" spans="1:50">
      <c r="A89" s="1">
        <f>HYPERLINK("https://lsnyc.legalserver.org/matter/dynamic-profile/view/1898064","19-1898064")</f>
        <v>0</v>
      </c>
      <c r="B89" t="s">
        <v>70</v>
      </c>
      <c r="C89" t="s">
        <v>390</v>
      </c>
      <c r="D89" t="s">
        <v>1716</v>
      </c>
      <c r="E89" t="s">
        <v>3161</v>
      </c>
      <c r="G89" t="s">
        <v>5637</v>
      </c>
      <c r="H89">
        <v>11217</v>
      </c>
      <c r="I89" t="s">
        <v>5696</v>
      </c>
      <c r="J89" t="s">
        <v>5696</v>
      </c>
      <c r="L89" t="s">
        <v>5740</v>
      </c>
      <c r="M89" t="s">
        <v>6732</v>
      </c>
      <c r="N89" t="s">
        <v>6739</v>
      </c>
      <c r="O89" t="s">
        <v>6756</v>
      </c>
      <c r="P89" t="s">
        <v>5695</v>
      </c>
      <c r="R89" t="s">
        <v>6793</v>
      </c>
      <c r="S89" t="s">
        <v>6801</v>
      </c>
      <c r="U89">
        <v>0</v>
      </c>
      <c r="V89" t="s">
        <v>6835</v>
      </c>
      <c r="W89" t="s">
        <v>6838</v>
      </c>
      <c r="X89" t="s">
        <v>6857</v>
      </c>
      <c r="Y89" t="s">
        <v>6957</v>
      </c>
      <c r="AB89">
        <v>100</v>
      </c>
      <c r="AC89" t="s">
        <v>10929</v>
      </c>
      <c r="AE89">
        <v>20</v>
      </c>
      <c r="AF89">
        <v>1</v>
      </c>
      <c r="AG89">
        <v>0</v>
      </c>
      <c r="AH89">
        <v>280.22</v>
      </c>
      <c r="AK89" t="s">
        <v>10966</v>
      </c>
      <c r="AL89">
        <v>35000</v>
      </c>
      <c r="AR89">
        <v>2.1</v>
      </c>
      <c r="AS89" t="s">
        <v>10961</v>
      </c>
      <c r="AT89" t="s">
        <v>70</v>
      </c>
      <c r="AV89" t="s">
        <v>11230</v>
      </c>
      <c r="AW89" t="s">
        <v>11142</v>
      </c>
      <c r="AX89" t="s">
        <v>10961</v>
      </c>
    </row>
    <row r="90" spans="1:50">
      <c r="A90" s="1">
        <f>HYPERLINK("https://lsnyc.legalserver.org/matter/dynamic-profile/view/1900154","19-1900154")</f>
        <v>0</v>
      </c>
      <c r="B90" t="s">
        <v>78</v>
      </c>
      <c r="C90" t="s">
        <v>391</v>
      </c>
      <c r="D90" t="s">
        <v>1717</v>
      </c>
      <c r="E90" t="s">
        <v>3162</v>
      </c>
      <c r="F90" t="s">
        <v>5140</v>
      </c>
      <c r="G90" t="s">
        <v>5638</v>
      </c>
      <c r="H90">
        <v>10017</v>
      </c>
      <c r="I90" t="s">
        <v>5696</v>
      </c>
      <c r="J90" t="s">
        <v>5696</v>
      </c>
      <c r="L90" t="s">
        <v>5740</v>
      </c>
      <c r="M90" t="s">
        <v>6732</v>
      </c>
      <c r="N90" t="s">
        <v>6739</v>
      </c>
      <c r="O90" t="s">
        <v>6759</v>
      </c>
      <c r="R90" t="s">
        <v>6794</v>
      </c>
      <c r="U90">
        <v>1440.6</v>
      </c>
      <c r="V90" t="s">
        <v>6836</v>
      </c>
      <c r="X90" t="s">
        <v>6857</v>
      </c>
      <c r="Y90" t="s">
        <v>6958</v>
      </c>
      <c r="AB90">
        <v>0</v>
      </c>
      <c r="AE90">
        <v>33</v>
      </c>
      <c r="AF90">
        <v>3</v>
      </c>
      <c r="AG90">
        <v>1</v>
      </c>
      <c r="AH90">
        <v>0</v>
      </c>
      <c r="AK90" t="s">
        <v>10966</v>
      </c>
      <c r="AL90">
        <v>0</v>
      </c>
      <c r="AR90">
        <v>1</v>
      </c>
      <c r="AS90" t="s">
        <v>11132</v>
      </c>
      <c r="AT90" t="s">
        <v>11194</v>
      </c>
      <c r="AV90" t="s">
        <v>11230</v>
      </c>
      <c r="AW90" t="s">
        <v>10954</v>
      </c>
      <c r="AX90" t="s">
        <v>11116</v>
      </c>
    </row>
    <row r="91" spans="1:50">
      <c r="A91" s="1">
        <f>HYPERLINK("https://lsnyc.legalserver.org/matter/dynamic-profile/view/1896300","19-1896300")</f>
        <v>0</v>
      </c>
      <c r="B91" t="s">
        <v>95</v>
      </c>
      <c r="C91" t="s">
        <v>392</v>
      </c>
      <c r="D91" t="s">
        <v>1718</v>
      </c>
      <c r="E91" t="s">
        <v>3163</v>
      </c>
      <c r="F91" t="s">
        <v>5141</v>
      </c>
      <c r="G91" t="s">
        <v>5637</v>
      </c>
      <c r="H91">
        <v>11213</v>
      </c>
      <c r="I91" t="s">
        <v>5697</v>
      </c>
      <c r="J91" t="s">
        <v>5697</v>
      </c>
      <c r="L91" t="s">
        <v>5740</v>
      </c>
      <c r="M91" t="s">
        <v>6732</v>
      </c>
      <c r="N91" t="s">
        <v>6739</v>
      </c>
      <c r="O91" t="s">
        <v>6746</v>
      </c>
      <c r="R91" t="s">
        <v>6793</v>
      </c>
      <c r="U91">
        <v>800</v>
      </c>
      <c r="V91" t="s">
        <v>6835</v>
      </c>
      <c r="W91" t="s">
        <v>6845</v>
      </c>
      <c r="X91" t="s">
        <v>6857</v>
      </c>
      <c r="Y91" t="s">
        <v>6959</v>
      </c>
      <c r="AB91">
        <v>124</v>
      </c>
      <c r="AC91" t="s">
        <v>10936</v>
      </c>
      <c r="AE91">
        <v>42</v>
      </c>
      <c r="AF91">
        <v>1</v>
      </c>
      <c r="AG91">
        <v>0</v>
      </c>
      <c r="AH91">
        <v>48.04</v>
      </c>
      <c r="AK91" t="s">
        <v>10966</v>
      </c>
      <c r="AL91">
        <v>6000</v>
      </c>
      <c r="AR91">
        <v>0.25</v>
      </c>
      <c r="AS91" t="s">
        <v>11142</v>
      </c>
      <c r="AT91" t="s">
        <v>11197</v>
      </c>
      <c r="AV91" t="s">
        <v>11230</v>
      </c>
      <c r="AW91" t="s">
        <v>11164</v>
      </c>
      <c r="AX91" t="s">
        <v>11146</v>
      </c>
    </row>
    <row r="92" spans="1:50">
      <c r="A92" s="1">
        <f>HYPERLINK("https://lsnyc.legalserver.org/matter/dynamic-profile/view/1905382","19-1905382")</f>
        <v>0</v>
      </c>
      <c r="B92" t="s">
        <v>94</v>
      </c>
      <c r="C92" t="s">
        <v>393</v>
      </c>
      <c r="D92" t="s">
        <v>1719</v>
      </c>
      <c r="E92" t="s">
        <v>3164</v>
      </c>
      <c r="F92">
        <v>9</v>
      </c>
      <c r="G92" t="s">
        <v>5637</v>
      </c>
      <c r="H92">
        <v>11225</v>
      </c>
      <c r="I92" t="s">
        <v>5696</v>
      </c>
      <c r="J92" t="s">
        <v>5696</v>
      </c>
      <c r="L92" t="s">
        <v>5740</v>
      </c>
      <c r="M92" t="s">
        <v>6732</v>
      </c>
      <c r="N92" t="s">
        <v>6739</v>
      </c>
      <c r="O92" t="s">
        <v>6756</v>
      </c>
      <c r="P92" t="s">
        <v>5695</v>
      </c>
      <c r="R92" t="s">
        <v>6793</v>
      </c>
      <c r="U92">
        <v>0</v>
      </c>
      <c r="V92" t="s">
        <v>6835</v>
      </c>
      <c r="X92" t="s">
        <v>6857</v>
      </c>
      <c r="Y92" t="s">
        <v>6960</v>
      </c>
      <c r="AB92">
        <v>20</v>
      </c>
      <c r="AC92" t="s">
        <v>10929</v>
      </c>
      <c r="AE92">
        <v>0</v>
      </c>
      <c r="AF92">
        <v>2</v>
      </c>
      <c r="AG92">
        <v>0</v>
      </c>
      <c r="AH92">
        <v>275.99</v>
      </c>
      <c r="AK92" t="s">
        <v>10966</v>
      </c>
      <c r="AL92">
        <v>46670</v>
      </c>
      <c r="AR92">
        <v>0.75</v>
      </c>
      <c r="AS92" t="s">
        <v>6808</v>
      </c>
      <c r="AT92" t="s">
        <v>94</v>
      </c>
      <c r="AV92" t="s">
        <v>11230</v>
      </c>
      <c r="AW92" t="s">
        <v>6828</v>
      </c>
      <c r="AX92" t="s">
        <v>6828</v>
      </c>
    </row>
    <row r="93" spans="1:50">
      <c r="A93" s="1">
        <f>HYPERLINK("https://lsnyc.legalserver.org/matter/dynamic-profile/view/1900161","19-1900161")</f>
        <v>0</v>
      </c>
      <c r="B93" t="s">
        <v>96</v>
      </c>
      <c r="C93" t="s">
        <v>394</v>
      </c>
      <c r="D93" t="s">
        <v>1720</v>
      </c>
      <c r="E93" t="s">
        <v>3165</v>
      </c>
      <c r="F93" t="s">
        <v>5142</v>
      </c>
      <c r="G93" t="s">
        <v>5635</v>
      </c>
      <c r="H93">
        <v>10456</v>
      </c>
      <c r="I93" t="s">
        <v>5697</v>
      </c>
      <c r="J93" t="s">
        <v>5696</v>
      </c>
      <c r="L93" t="s">
        <v>5740</v>
      </c>
      <c r="M93" t="s">
        <v>6732</v>
      </c>
      <c r="N93" t="s">
        <v>6739</v>
      </c>
      <c r="O93" t="s">
        <v>6748</v>
      </c>
      <c r="P93" t="s">
        <v>5697</v>
      </c>
      <c r="R93" t="s">
        <v>6793</v>
      </c>
      <c r="U93">
        <v>1050</v>
      </c>
      <c r="V93" t="s">
        <v>6833</v>
      </c>
      <c r="W93" t="s">
        <v>6838</v>
      </c>
      <c r="X93" t="s">
        <v>6857</v>
      </c>
      <c r="Y93" t="s">
        <v>6961</v>
      </c>
      <c r="AB93">
        <v>0</v>
      </c>
      <c r="AC93" t="s">
        <v>10929</v>
      </c>
      <c r="AD93" t="s">
        <v>5741</v>
      </c>
      <c r="AE93">
        <v>8</v>
      </c>
      <c r="AF93">
        <v>1</v>
      </c>
      <c r="AG93">
        <v>3</v>
      </c>
      <c r="AH93">
        <v>76.89</v>
      </c>
      <c r="AK93" t="s">
        <v>6841</v>
      </c>
      <c r="AL93">
        <v>19800</v>
      </c>
      <c r="AM93" t="s">
        <v>11002</v>
      </c>
      <c r="AR93">
        <v>0.6</v>
      </c>
      <c r="AS93" t="s">
        <v>10954</v>
      </c>
      <c r="AT93" t="s">
        <v>96</v>
      </c>
      <c r="AU93" t="s">
        <v>11228</v>
      </c>
      <c r="AV93" t="s">
        <v>11230</v>
      </c>
      <c r="AW93" t="s">
        <v>11145</v>
      </c>
      <c r="AX93" t="s">
        <v>10954</v>
      </c>
    </row>
    <row r="94" spans="1:50">
      <c r="A94" s="1">
        <f>HYPERLINK("https://lsnyc.legalserver.org/matter/dynamic-profile/view/1896030","19-1896030")</f>
        <v>0</v>
      </c>
      <c r="B94" t="s">
        <v>85</v>
      </c>
      <c r="C94" t="s">
        <v>395</v>
      </c>
      <c r="D94" t="s">
        <v>1721</v>
      </c>
      <c r="E94" t="s">
        <v>3166</v>
      </c>
      <c r="F94" t="s">
        <v>5143</v>
      </c>
      <c r="G94" t="s">
        <v>5637</v>
      </c>
      <c r="H94">
        <v>11235</v>
      </c>
      <c r="I94" t="s">
        <v>5696</v>
      </c>
      <c r="J94" t="s">
        <v>5696</v>
      </c>
      <c r="L94" t="s">
        <v>5740</v>
      </c>
      <c r="M94" t="s">
        <v>6732</v>
      </c>
      <c r="N94" t="s">
        <v>6739</v>
      </c>
      <c r="O94" t="s">
        <v>6754</v>
      </c>
      <c r="R94" t="s">
        <v>6795</v>
      </c>
      <c r="U94">
        <v>0</v>
      </c>
      <c r="V94" t="s">
        <v>6835</v>
      </c>
      <c r="X94" t="s">
        <v>6857</v>
      </c>
      <c r="Y94" t="s">
        <v>6962</v>
      </c>
      <c r="AB94">
        <v>0</v>
      </c>
      <c r="AC94" t="s">
        <v>10929</v>
      </c>
      <c r="AD94" t="s">
        <v>5741</v>
      </c>
      <c r="AE94">
        <v>0</v>
      </c>
      <c r="AF94">
        <v>1</v>
      </c>
      <c r="AG94">
        <v>0</v>
      </c>
      <c r="AH94">
        <v>81.67</v>
      </c>
      <c r="AK94" t="s">
        <v>10969</v>
      </c>
      <c r="AL94">
        <v>10200</v>
      </c>
      <c r="AR94">
        <v>2.25</v>
      </c>
      <c r="AS94" t="s">
        <v>11143</v>
      </c>
      <c r="AT94" t="s">
        <v>85</v>
      </c>
      <c r="AV94" t="s">
        <v>11230</v>
      </c>
      <c r="AW94" t="s">
        <v>10962</v>
      </c>
      <c r="AX94" t="s">
        <v>11143</v>
      </c>
    </row>
    <row r="95" spans="1:50">
      <c r="A95" s="1">
        <f>HYPERLINK("https://lsnyc.legalserver.org/matter/dynamic-profile/view/1902979","19-1902979")</f>
        <v>0</v>
      </c>
      <c r="B95" t="s">
        <v>85</v>
      </c>
      <c r="C95" t="s">
        <v>396</v>
      </c>
      <c r="D95" t="s">
        <v>1722</v>
      </c>
      <c r="E95" t="s">
        <v>3167</v>
      </c>
      <c r="G95" t="s">
        <v>5637</v>
      </c>
      <c r="H95">
        <v>11214</v>
      </c>
      <c r="I95" t="s">
        <v>5696</v>
      </c>
      <c r="J95" t="s">
        <v>5696</v>
      </c>
      <c r="L95" t="s">
        <v>5740</v>
      </c>
      <c r="M95" t="s">
        <v>6732</v>
      </c>
      <c r="N95" t="s">
        <v>6739</v>
      </c>
      <c r="O95" t="s">
        <v>6754</v>
      </c>
      <c r="R95" t="s">
        <v>6795</v>
      </c>
      <c r="U95">
        <v>0</v>
      </c>
      <c r="V95" t="s">
        <v>6835</v>
      </c>
      <c r="X95" t="s">
        <v>6857</v>
      </c>
      <c r="Y95" t="s">
        <v>6963</v>
      </c>
      <c r="AB95">
        <v>0</v>
      </c>
      <c r="AC95" t="s">
        <v>10930</v>
      </c>
      <c r="AD95" t="s">
        <v>5741</v>
      </c>
      <c r="AE95">
        <v>0</v>
      </c>
      <c r="AF95">
        <v>1</v>
      </c>
      <c r="AG95">
        <v>0</v>
      </c>
      <c r="AH95">
        <v>82.43000000000001</v>
      </c>
      <c r="AK95" t="s">
        <v>10969</v>
      </c>
      <c r="AL95">
        <v>10296</v>
      </c>
      <c r="AR95">
        <v>2</v>
      </c>
      <c r="AS95" t="s">
        <v>6809</v>
      </c>
      <c r="AT95" t="s">
        <v>85</v>
      </c>
      <c r="AV95" t="s">
        <v>11230</v>
      </c>
      <c r="AW95" t="s">
        <v>11138</v>
      </c>
      <c r="AX95" t="s">
        <v>6825</v>
      </c>
    </row>
    <row r="96" spans="1:50">
      <c r="A96" s="1">
        <f>HYPERLINK("https://lsnyc.legalserver.org/matter/dynamic-profile/view/1904184","19-1904184")</f>
        <v>0</v>
      </c>
      <c r="B96" t="s">
        <v>85</v>
      </c>
      <c r="C96" t="s">
        <v>389</v>
      </c>
      <c r="D96" t="s">
        <v>1723</v>
      </c>
      <c r="E96" t="s">
        <v>3168</v>
      </c>
      <c r="F96" t="s">
        <v>5144</v>
      </c>
      <c r="G96" t="s">
        <v>5637</v>
      </c>
      <c r="H96">
        <v>11235</v>
      </c>
      <c r="I96" t="s">
        <v>5696</v>
      </c>
      <c r="J96" t="s">
        <v>5696</v>
      </c>
      <c r="L96" t="s">
        <v>5740</v>
      </c>
      <c r="M96" t="s">
        <v>6732</v>
      </c>
      <c r="N96" t="s">
        <v>6739</v>
      </c>
      <c r="O96" t="s">
        <v>6754</v>
      </c>
      <c r="R96" t="s">
        <v>6795</v>
      </c>
      <c r="U96">
        <v>0</v>
      </c>
      <c r="V96" t="s">
        <v>6835</v>
      </c>
      <c r="X96" t="s">
        <v>6857</v>
      </c>
      <c r="Y96" t="s">
        <v>6964</v>
      </c>
      <c r="AB96">
        <v>0</v>
      </c>
      <c r="AD96" t="s">
        <v>5741</v>
      </c>
      <c r="AE96">
        <v>0</v>
      </c>
      <c r="AF96">
        <v>1</v>
      </c>
      <c r="AG96">
        <v>0</v>
      </c>
      <c r="AH96">
        <v>82.43000000000001</v>
      </c>
      <c r="AK96" t="s">
        <v>10969</v>
      </c>
      <c r="AL96">
        <v>10296</v>
      </c>
      <c r="AR96">
        <v>2</v>
      </c>
      <c r="AS96" t="s">
        <v>6814</v>
      </c>
      <c r="AT96" t="s">
        <v>85</v>
      </c>
      <c r="AV96" t="s">
        <v>11230</v>
      </c>
      <c r="AW96" t="s">
        <v>11144</v>
      </c>
      <c r="AX96" t="s">
        <v>6814</v>
      </c>
    </row>
    <row r="97" spans="1:50">
      <c r="A97" s="1">
        <f>HYPERLINK("https://lsnyc.legalserver.org/matter/dynamic-profile/view/1902526","19-1902526")</f>
        <v>0</v>
      </c>
      <c r="B97" t="s">
        <v>85</v>
      </c>
      <c r="C97" t="s">
        <v>397</v>
      </c>
      <c r="D97" t="s">
        <v>1724</v>
      </c>
      <c r="E97" t="s">
        <v>3169</v>
      </c>
      <c r="F97" t="s">
        <v>5145</v>
      </c>
      <c r="G97" t="s">
        <v>5637</v>
      </c>
      <c r="H97">
        <v>11229</v>
      </c>
      <c r="I97" t="s">
        <v>5696</v>
      </c>
      <c r="J97" t="s">
        <v>5696</v>
      </c>
      <c r="L97" t="s">
        <v>5740</v>
      </c>
      <c r="M97" t="s">
        <v>6732</v>
      </c>
      <c r="N97" t="s">
        <v>6739</v>
      </c>
      <c r="O97" t="s">
        <v>6754</v>
      </c>
      <c r="R97" t="s">
        <v>6796</v>
      </c>
      <c r="U97">
        <v>0</v>
      </c>
      <c r="V97" t="s">
        <v>6835</v>
      </c>
      <c r="X97" t="s">
        <v>6857</v>
      </c>
      <c r="Y97" t="s">
        <v>6965</v>
      </c>
      <c r="AB97">
        <v>0</v>
      </c>
      <c r="AC97" t="s">
        <v>10929</v>
      </c>
      <c r="AD97" t="s">
        <v>10944</v>
      </c>
      <c r="AE97">
        <v>0</v>
      </c>
      <c r="AF97">
        <v>2</v>
      </c>
      <c r="AG97">
        <v>0</v>
      </c>
      <c r="AH97">
        <v>88.56</v>
      </c>
      <c r="AK97" t="s">
        <v>10969</v>
      </c>
      <c r="AL97">
        <v>14976</v>
      </c>
      <c r="AR97">
        <v>3</v>
      </c>
      <c r="AS97" t="s">
        <v>11144</v>
      </c>
      <c r="AT97" t="s">
        <v>85</v>
      </c>
      <c r="AV97" t="s">
        <v>11230</v>
      </c>
      <c r="AW97" t="s">
        <v>11117</v>
      </c>
      <c r="AX97" t="s">
        <v>11147</v>
      </c>
    </row>
    <row r="98" spans="1:50">
      <c r="A98" s="1">
        <f>HYPERLINK("https://lsnyc.legalserver.org/matter/dynamic-profile/view/1898834","19-1898834")</f>
        <v>0</v>
      </c>
      <c r="B98" t="s">
        <v>85</v>
      </c>
      <c r="C98" t="s">
        <v>398</v>
      </c>
      <c r="D98" t="s">
        <v>1725</v>
      </c>
      <c r="E98" t="s">
        <v>3170</v>
      </c>
      <c r="F98" t="s">
        <v>5142</v>
      </c>
      <c r="G98" t="s">
        <v>5637</v>
      </c>
      <c r="H98">
        <v>11235</v>
      </c>
      <c r="I98" t="s">
        <v>5696</v>
      </c>
      <c r="J98" t="s">
        <v>5696</v>
      </c>
      <c r="L98" t="s">
        <v>5740</v>
      </c>
      <c r="M98" t="s">
        <v>6732</v>
      </c>
      <c r="N98" t="s">
        <v>6739</v>
      </c>
      <c r="O98" t="s">
        <v>6754</v>
      </c>
      <c r="R98" t="s">
        <v>6796</v>
      </c>
      <c r="U98">
        <v>0</v>
      </c>
      <c r="V98" t="s">
        <v>6835</v>
      </c>
      <c r="X98" t="s">
        <v>6857</v>
      </c>
      <c r="Y98" t="s">
        <v>6966</v>
      </c>
      <c r="AB98">
        <v>0</v>
      </c>
      <c r="AC98" t="s">
        <v>10929</v>
      </c>
      <c r="AE98">
        <v>0</v>
      </c>
      <c r="AF98">
        <v>1</v>
      </c>
      <c r="AG98">
        <v>0</v>
      </c>
      <c r="AH98">
        <v>83.68000000000001</v>
      </c>
      <c r="AK98" t="s">
        <v>10969</v>
      </c>
      <c r="AL98">
        <v>10452</v>
      </c>
      <c r="AR98">
        <v>1.75</v>
      </c>
      <c r="AS98" t="s">
        <v>11143</v>
      </c>
      <c r="AT98" t="s">
        <v>85</v>
      </c>
      <c r="AV98" t="s">
        <v>11230</v>
      </c>
      <c r="AW98" t="s">
        <v>10959</v>
      </c>
      <c r="AX98" t="s">
        <v>11143</v>
      </c>
    </row>
    <row r="99" spans="1:50">
      <c r="A99" s="1">
        <f>HYPERLINK("https://lsnyc.legalserver.org/matter/dynamic-profile/view/1900545","19-1900545")</f>
        <v>0</v>
      </c>
      <c r="B99" t="s">
        <v>85</v>
      </c>
      <c r="C99" t="s">
        <v>396</v>
      </c>
      <c r="D99" t="s">
        <v>1722</v>
      </c>
      <c r="E99" t="s">
        <v>3167</v>
      </c>
      <c r="G99" t="s">
        <v>5637</v>
      </c>
      <c r="H99">
        <v>11214</v>
      </c>
      <c r="I99" t="s">
        <v>5696</v>
      </c>
      <c r="J99" t="s">
        <v>5696</v>
      </c>
      <c r="L99" t="s">
        <v>5740</v>
      </c>
      <c r="M99" t="s">
        <v>6732</v>
      </c>
      <c r="N99" t="s">
        <v>6739</v>
      </c>
      <c r="O99" t="s">
        <v>6754</v>
      </c>
      <c r="R99" t="s">
        <v>6795</v>
      </c>
      <c r="U99">
        <v>0</v>
      </c>
      <c r="V99" t="s">
        <v>6835</v>
      </c>
      <c r="X99" t="s">
        <v>6857</v>
      </c>
      <c r="Y99" t="s">
        <v>6963</v>
      </c>
      <c r="AB99">
        <v>0</v>
      </c>
      <c r="AE99">
        <v>0</v>
      </c>
      <c r="AF99">
        <v>1</v>
      </c>
      <c r="AG99">
        <v>0</v>
      </c>
      <c r="AH99">
        <v>81.76000000000001</v>
      </c>
      <c r="AK99" t="s">
        <v>10969</v>
      </c>
      <c r="AL99">
        <v>10212</v>
      </c>
      <c r="AR99">
        <v>1.25</v>
      </c>
      <c r="AS99" t="s">
        <v>11143</v>
      </c>
      <c r="AT99" t="s">
        <v>85</v>
      </c>
      <c r="AV99" t="s">
        <v>11230</v>
      </c>
      <c r="AW99" t="s">
        <v>6895</v>
      </c>
      <c r="AX99" t="s">
        <v>11143</v>
      </c>
    </row>
    <row r="100" spans="1:50">
      <c r="A100" s="1">
        <f>HYPERLINK("https://lsnyc.legalserver.org/matter/dynamic-profile/view/1896361","19-1896361")</f>
        <v>0</v>
      </c>
      <c r="B100" t="s">
        <v>97</v>
      </c>
      <c r="C100" t="s">
        <v>374</v>
      </c>
      <c r="D100" t="s">
        <v>1726</v>
      </c>
      <c r="E100" t="s">
        <v>3171</v>
      </c>
      <c r="F100" t="s">
        <v>5146</v>
      </c>
      <c r="G100" t="s">
        <v>5638</v>
      </c>
      <c r="H100">
        <v>10002</v>
      </c>
      <c r="I100" t="s">
        <v>5695</v>
      </c>
      <c r="J100" t="s">
        <v>5695</v>
      </c>
      <c r="L100" t="s">
        <v>5740</v>
      </c>
      <c r="M100" t="s">
        <v>6732</v>
      </c>
      <c r="N100" t="s">
        <v>6739</v>
      </c>
      <c r="O100" t="s">
        <v>6760</v>
      </c>
      <c r="P100" t="s">
        <v>5697</v>
      </c>
      <c r="R100" t="s">
        <v>6794</v>
      </c>
      <c r="U100">
        <v>500</v>
      </c>
      <c r="V100" t="s">
        <v>6836</v>
      </c>
      <c r="W100" t="s">
        <v>6850</v>
      </c>
      <c r="X100" t="s">
        <v>6857</v>
      </c>
      <c r="Y100" t="s">
        <v>6967</v>
      </c>
      <c r="AB100">
        <v>0</v>
      </c>
      <c r="AC100" t="s">
        <v>10931</v>
      </c>
      <c r="AD100" t="s">
        <v>5741</v>
      </c>
      <c r="AE100">
        <v>3</v>
      </c>
      <c r="AF100">
        <v>1</v>
      </c>
      <c r="AG100">
        <v>0</v>
      </c>
      <c r="AH100">
        <v>101.46</v>
      </c>
      <c r="AK100" t="s">
        <v>10967</v>
      </c>
      <c r="AL100">
        <v>12672</v>
      </c>
      <c r="AR100">
        <v>1.75</v>
      </c>
      <c r="AS100" t="s">
        <v>6825</v>
      </c>
      <c r="AT100" t="s">
        <v>305</v>
      </c>
      <c r="AV100" t="s">
        <v>11230</v>
      </c>
      <c r="AW100" t="s">
        <v>11164</v>
      </c>
      <c r="AX100" t="s">
        <v>6825</v>
      </c>
    </row>
    <row r="101" spans="1:50">
      <c r="A101" s="1">
        <f>HYPERLINK("https://lsnyc.legalserver.org/matter/dynamic-profile/view/1897987","19-1897987")</f>
        <v>0</v>
      </c>
      <c r="B101" t="s">
        <v>98</v>
      </c>
      <c r="C101" t="s">
        <v>399</v>
      </c>
      <c r="D101" t="s">
        <v>1676</v>
      </c>
      <c r="E101" t="s">
        <v>3172</v>
      </c>
      <c r="F101" t="s">
        <v>5099</v>
      </c>
      <c r="G101" t="s">
        <v>5638</v>
      </c>
      <c r="H101">
        <v>10031</v>
      </c>
      <c r="I101" t="s">
        <v>5695</v>
      </c>
      <c r="J101" t="s">
        <v>5695</v>
      </c>
      <c r="L101" t="s">
        <v>5740</v>
      </c>
      <c r="M101" t="s">
        <v>6732</v>
      </c>
      <c r="N101" t="s">
        <v>6739</v>
      </c>
      <c r="O101" t="s">
        <v>6761</v>
      </c>
      <c r="P101" t="s">
        <v>5697</v>
      </c>
      <c r="Q101" t="s">
        <v>6745</v>
      </c>
      <c r="R101" t="s">
        <v>6793</v>
      </c>
      <c r="U101">
        <v>270.96</v>
      </c>
      <c r="V101" t="s">
        <v>6836</v>
      </c>
      <c r="W101" t="s">
        <v>6848</v>
      </c>
      <c r="X101" t="s">
        <v>6857</v>
      </c>
      <c r="Y101" t="s">
        <v>6968</v>
      </c>
      <c r="AB101">
        <v>0</v>
      </c>
      <c r="AC101" t="s">
        <v>10936</v>
      </c>
      <c r="AE101">
        <v>58</v>
      </c>
      <c r="AF101">
        <v>1</v>
      </c>
      <c r="AG101">
        <v>0</v>
      </c>
      <c r="AH101">
        <v>368.29</v>
      </c>
      <c r="AL101">
        <v>46000</v>
      </c>
      <c r="AR101">
        <v>1.5</v>
      </c>
      <c r="AS101" t="s">
        <v>11125</v>
      </c>
      <c r="AT101" t="s">
        <v>229</v>
      </c>
      <c r="AV101" t="s">
        <v>11230</v>
      </c>
      <c r="AW101" t="s">
        <v>11142</v>
      </c>
      <c r="AX101" t="s">
        <v>11138</v>
      </c>
    </row>
    <row r="102" spans="1:50">
      <c r="A102" s="1">
        <f>HYPERLINK("https://lsnyc.legalserver.org/matter/dynamic-profile/view/1900085","19-1900085")</f>
        <v>0</v>
      </c>
      <c r="B102" t="s">
        <v>85</v>
      </c>
      <c r="C102" t="s">
        <v>400</v>
      </c>
      <c r="D102" t="s">
        <v>1727</v>
      </c>
      <c r="E102" t="s">
        <v>3173</v>
      </c>
      <c r="F102" t="s">
        <v>5147</v>
      </c>
      <c r="G102" t="s">
        <v>5637</v>
      </c>
      <c r="H102">
        <v>11224</v>
      </c>
      <c r="I102" t="s">
        <v>5696</v>
      </c>
      <c r="J102" t="s">
        <v>5696</v>
      </c>
      <c r="L102" t="s">
        <v>5740</v>
      </c>
      <c r="M102" t="s">
        <v>6732</v>
      </c>
      <c r="N102" t="s">
        <v>6739</v>
      </c>
      <c r="O102" t="s">
        <v>6754</v>
      </c>
      <c r="R102" t="s">
        <v>6795</v>
      </c>
      <c r="U102">
        <v>0</v>
      </c>
      <c r="V102" t="s">
        <v>6835</v>
      </c>
      <c r="X102" t="s">
        <v>6857</v>
      </c>
      <c r="Y102" t="s">
        <v>6969</v>
      </c>
      <c r="AB102">
        <v>0</v>
      </c>
      <c r="AC102" t="s">
        <v>10933</v>
      </c>
      <c r="AD102" t="s">
        <v>5741</v>
      </c>
      <c r="AE102">
        <v>0</v>
      </c>
      <c r="AF102">
        <v>2</v>
      </c>
      <c r="AG102">
        <v>0</v>
      </c>
      <c r="AH102">
        <v>88</v>
      </c>
      <c r="AL102">
        <v>14880</v>
      </c>
      <c r="AR102">
        <v>1.5</v>
      </c>
      <c r="AS102" t="s">
        <v>11127</v>
      </c>
      <c r="AT102" t="s">
        <v>85</v>
      </c>
      <c r="AV102" t="s">
        <v>11230</v>
      </c>
      <c r="AW102" t="s">
        <v>10954</v>
      </c>
      <c r="AX102" t="s">
        <v>11127</v>
      </c>
    </row>
    <row r="103" spans="1:50">
      <c r="A103" s="1">
        <f>HYPERLINK("https://lsnyc.legalserver.org/matter/dynamic-profile/view/1902928","19-1902928")</f>
        <v>0</v>
      </c>
      <c r="B103" t="s">
        <v>85</v>
      </c>
      <c r="C103" t="s">
        <v>401</v>
      </c>
      <c r="D103" t="s">
        <v>1728</v>
      </c>
      <c r="E103" t="s">
        <v>3174</v>
      </c>
      <c r="F103" t="s">
        <v>5148</v>
      </c>
      <c r="G103" t="s">
        <v>5637</v>
      </c>
      <c r="H103">
        <v>11226</v>
      </c>
      <c r="I103" t="s">
        <v>5696</v>
      </c>
      <c r="J103" t="s">
        <v>5696</v>
      </c>
      <c r="L103" t="s">
        <v>5740</v>
      </c>
      <c r="M103" t="s">
        <v>6732</v>
      </c>
      <c r="N103" t="s">
        <v>6739</v>
      </c>
      <c r="O103" t="s">
        <v>6754</v>
      </c>
      <c r="R103" t="s">
        <v>6795</v>
      </c>
      <c r="U103">
        <v>0</v>
      </c>
      <c r="V103" t="s">
        <v>6835</v>
      </c>
      <c r="X103" t="s">
        <v>6857</v>
      </c>
      <c r="Y103" t="s">
        <v>6970</v>
      </c>
      <c r="AB103">
        <v>0</v>
      </c>
      <c r="AD103" t="s">
        <v>5741</v>
      </c>
      <c r="AE103">
        <v>0</v>
      </c>
      <c r="AF103">
        <v>1</v>
      </c>
      <c r="AG103">
        <v>0</v>
      </c>
      <c r="AH103">
        <v>78.78</v>
      </c>
      <c r="AL103">
        <v>9840</v>
      </c>
      <c r="AR103">
        <v>1.75</v>
      </c>
      <c r="AS103" t="s">
        <v>11131</v>
      </c>
      <c r="AT103" t="s">
        <v>85</v>
      </c>
      <c r="AV103" t="s">
        <v>11230</v>
      </c>
      <c r="AW103" t="s">
        <v>11131</v>
      </c>
      <c r="AX103" t="s">
        <v>11131</v>
      </c>
    </row>
    <row r="104" spans="1:50">
      <c r="A104" s="1">
        <f>HYPERLINK("https://lsnyc.legalserver.org/matter/dynamic-profile/view/1905039","19-1905039")</f>
        <v>0</v>
      </c>
      <c r="B104" t="s">
        <v>89</v>
      </c>
      <c r="C104" t="s">
        <v>402</v>
      </c>
      <c r="D104" t="s">
        <v>1729</v>
      </c>
      <c r="E104" t="s">
        <v>3175</v>
      </c>
      <c r="F104" t="s">
        <v>5149</v>
      </c>
      <c r="G104" t="s">
        <v>5636</v>
      </c>
      <c r="H104">
        <v>10303</v>
      </c>
      <c r="I104" t="s">
        <v>5695</v>
      </c>
      <c r="J104" t="s">
        <v>5696</v>
      </c>
      <c r="K104" t="s">
        <v>5742</v>
      </c>
      <c r="L104" t="s">
        <v>6714</v>
      </c>
      <c r="M104" t="s">
        <v>6732</v>
      </c>
      <c r="N104" t="s">
        <v>6739</v>
      </c>
      <c r="O104" t="s">
        <v>6762</v>
      </c>
      <c r="P104" t="s">
        <v>5697</v>
      </c>
      <c r="R104" t="s">
        <v>6793</v>
      </c>
      <c r="S104" t="s">
        <v>6801</v>
      </c>
      <c r="T104" t="s">
        <v>6814</v>
      </c>
      <c r="U104">
        <v>1270</v>
      </c>
      <c r="V104" t="s">
        <v>6834</v>
      </c>
      <c r="W104" t="s">
        <v>6839</v>
      </c>
      <c r="X104" t="s">
        <v>6857</v>
      </c>
      <c r="Y104" t="s">
        <v>6971</v>
      </c>
      <c r="AA104" t="s">
        <v>9161</v>
      </c>
      <c r="AB104">
        <v>0</v>
      </c>
      <c r="AC104" t="s">
        <v>10934</v>
      </c>
      <c r="AD104" t="s">
        <v>5741</v>
      </c>
      <c r="AE104">
        <v>12</v>
      </c>
      <c r="AF104">
        <v>1</v>
      </c>
      <c r="AG104">
        <v>2</v>
      </c>
      <c r="AH104">
        <v>243.79</v>
      </c>
      <c r="AK104" t="s">
        <v>10966</v>
      </c>
      <c r="AL104">
        <v>51999.96</v>
      </c>
      <c r="AN104" t="s">
        <v>11080</v>
      </c>
      <c r="AO104" t="s">
        <v>6841</v>
      </c>
      <c r="AP104" t="s">
        <v>11098</v>
      </c>
      <c r="AQ104" t="s">
        <v>11100</v>
      </c>
      <c r="AR104">
        <v>0.5</v>
      </c>
      <c r="AS104" t="s">
        <v>6819</v>
      </c>
      <c r="AT104" t="s">
        <v>11177</v>
      </c>
      <c r="AU104" t="s">
        <v>11228</v>
      </c>
      <c r="AV104" t="s">
        <v>11230</v>
      </c>
      <c r="AW104" t="s">
        <v>6814</v>
      </c>
      <c r="AX104" t="s">
        <v>6827</v>
      </c>
    </row>
    <row r="105" spans="1:50">
      <c r="A105" s="1">
        <f>HYPERLINK("https://lsnyc.legalserver.org/matter/dynamic-profile/view/1899641","19-1899641")</f>
        <v>0</v>
      </c>
      <c r="B105" t="s">
        <v>99</v>
      </c>
      <c r="C105" t="s">
        <v>403</v>
      </c>
      <c r="D105" t="s">
        <v>1730</v>
      </c>
      <c r="E105" t="s">
        <v>3176</v>
      </c>
      <c r="F105" t="s">
        <v>5150</v>
      </c>
      <c r="G105" t="s">
        <v>5637</v>
      </c>
      <c r="H105">
        <v>11223</v>
      </c>
      <c r="I105" t="s">
        <v>5695</v>
      </c>
      <c r="J105" t="s">
        <v>5696</v>
      </c>
      <c r="K105" t="s">
        <v>5743</v>
      </c>
      <c r="L105" t="s">
        <v>6714</v>
      </c>
      <c r="M105" t="s">
        <v>6732</v>
      </c>
      <c r="N105" t="s">
        <v>6739</v>
      </c>
      <c r="O105" t="s">
        <v>6754</v>
      </c>
      <c r="R105" t="s">
        <v>6793</v>
      </c>
      <c r="U105">
        <v>830</v>
      </c>
      <c r="V105" t="s">
        <v>6835</v>
      </c>
      <c r="W105" t="s">
        <v>6849</v>
      </c>
      <c r="X105" t="s">
        <v>6857</v>
      </c>
      <c r="Y105" t="s">
        <v>6972</v>
      </c>
      <c r="AA105" t="s">
        <v>9162</v>
      </c>
      <c r="AB105">
        <v>3</v>
      </c>
      <c r="AC105" t="s">
        <v>8953</v>
      </c>
      <c r="AE105">
        <v>5</v>
      </c>
      <c r="AF105">
        <v>1</v>
      </c>
      <c r="AG105">
        <v>0</v>
      </c>
      <c r="AH105">
        <v>110.39</v>
      </c>
      <c r="AK105" t="s">
        <v>10967</v>
      </c>
      <c r="AL105">
        <v>13788</v>
      </c>
      <c r="AR105">
        <v>3</v>
      </c>
      <c r="AS105" t="s">
        <v>11140</v>
      </c>
      <c r="AT105" t="s">
        <v>11198</v>
      </c>
      <c r="AV105" t="s">
        <v>11230</v>
      </c>
      <c r="AW105" t="s">
        <v>11128</v>
      </c>
      <c r="AX105" t="s">
        <v>11140</v>
      </c>
    </row>
    <row r="106" spans="1:50">
      <c r="A106" s="1">
        <f>HYPERLINK("https://lsnyc.legalserver.org/matter/dynamic-profile/view/1895891","19-1895891")</f>
        <v>0</v>
      </c>
      <c r="B106" t="s">
        <v>61</v>
      </c>
      <c r="C106" t="s">
        <v>404</v>
      </c>
      <c r="D106" t="s">
        <v>1731</v>
      </c>
      <c r="E106" t="s">
        <v>3177</v>
      </c>
      <c r="F106" t="s">
        <v>5151</v>
      </c>
      <c r="G106" t="s">
        <v>5644</v>
      </c>
      <c r="H106">
        <v>11433</v>
      </c>
      <c r="I106" t="s">
        <v>5696</v>
      </c>
      <c r="J106" t="s">
        <v>5696</v>
      </c>
      <c r="K106" t="s">
        <v>5744</v>
      </c>
      <c r="L106" t="s">
        <v>6714</v>
      </c>
      <c r="M106" t="s">
        <v>6732</v>
      </c>
      <c r="N106" t="s">
        <v>6739</v>
      </c>
      <c r="O106" t="s">
        <v>6753</v>
      </c>
      <c r="R106" t="s">
        <v>6794</v>
      </c>
      <c r="U106">
        <v>1226</v>
      </c>
      <c r="V106" t="s">
        <v>6837</v>
      </c>
      <c r="X106" t="s">
        <v>6857</v>
      </c>
      <c r="Y106" t="s">
        <v>6973</v>
      </c>
      <c r="AA106" t="s">
        <v>9163</v>
      </c>
      <c r="AB106">
        <v>45</v>
      </c>
      <c r="AE106">
        <v>4</v>
      </c>
      <c r="AF106">
        <v>1</v>
      </c>
      <c r="AG106">
        <v>0</v>
      </c>
      <c r="AH106">
        <v>368.29</v>
      </c>
      <c r="AK106" t="s">
        <v>10966</v>
      </c>
      <c r="AL106">
        <v>46000</v>
      </c>
      <c r="AR106">
        <v>1.4</v>
      </c>
      <c r="AS106" t="s">
        <v>11145</v>
      </c>
      <c r="AT106" t="s">
        <v>11181</v>
      </c>
      <c r="AV106" t="s">
        <v>11230</v>
      </c>
      <c r="AW106" t="s">
        <v>11170</v>
      </c>
      <c r="AX106" t="s">
        <v>11165</v>
      </c>
    </row>
    <row r="107" spans="1:50">
      <c r="A107" s="1">
        <f>HYPERLINK("https://lsnyc.legalserver.org/matter/dynamic-profile/view/1897659","19-1897659")</f>
        <v>0</v>
      </c>
      <c r="B107" t="s">
        <v>100</v>
      </c>
      <c r="C107" t="s">
        <v>405</v>
      </c>
      <c r="D107" t="s">
        <v>1732</v>
      </c>
      <c r="E107" t="s">
        <v>3178</v>
      </c>
      <c r="F107" t="s">
        <v>5152</v>
      </c>
      <c r="G107" t="s">
        <v>5635</v>
      </c>
      <c r="H107">
        <v>10451</v>
      </c>
      <c r="I107" t="s">
        <v>5695</v>
      </c>
      <c r="J107" t="s">
        <v>5697</v>
      </c>
      <c r="L107" t="s">
        <v>6714</v>
      </c>
      <c r="M107" t="s">
        <v>6732</v>
      </c>
      <c r="N107" t="s">
        <v>6739</v>
      </c>
      <c r="O107" t="s">
        <v>6747</v>
      </c>
      <c r="P107" t="s">
        <v>5697</v>
      </c>
      <c r="R107" t="s">
        <v>6793</v>
      </c>
      <c r="U107">
        <v>1021</v>
      </c>
      <c r="V107" t="s">
        <v>6833</v>
      </c>
      <c r="W107" t="s">
        <v>6839</v>
      </c>
      <c r="X107" t="s">
        <v>6857</v>
      </c>
      <c r="Y107" t="s">
        <v>6974</v>
      </c>
      <c r="AA107" t="s">
        <v>9164</v>
      </c>
      <c r="AB107">
        <v>93</v>
      </c>
      <c r="AC107" t="s">
        <v>10929</v>
      </c>
      <c r="AE107">
        <v>8</v>
      </c>
      <c r="AF107">
        <v>1</v>
      </c>
      <c r="AG107">
        <v>2</v>
      </c>
      <c r="AH107">
        <v>0</v>
      </c>
      <c r="AK107" t="s">
        <v>10966</v>
      </c>
      <c r="AL107">
        <v>0</v>
      </c>
      <c r="AM107" t="s">
        <v>11003</v>
      </c>
      <c r="AR107">
        <v>1.5</v>
      </c>
      <c r="AS107" t="s">
        <v>11146</v>
      </c>
      <c r="AT107" t="s">
        <v>11187</v>
      </c>
      <c r="AV107" t="s">
        <v>11230</v>
      </c>
      <c r="AW107" t="s">
        <v>11159</v>
      </c>
      <c r="AX107" t="s">
        <v>11150</v>
      </c>
    </row>
    <row r="108" spans="1:50">
      <c r="A108" s="1">
        <f>HYPERLINK("https://lsnyc.legalserver.org/matter/dynamic-profile/view/1898767","19-1898767")</f>
        <v>0</v>
      </c>
      <c r="B108" t="s">
        <v>101</v>
      </c>
      <c r="C108" t="s">
        <v>406</v>
      </c>
      <c r="D108" t="s">
        <v>1733</v>
      </c>
      <c r="E108" t="s">
        <v>3179</v>
      </c>
      <c r="F108" t="s">
        <v>5153</v>
      </c>
      <c r="G108" t="s">
        <v>5636</v>
      </c>
      <c r="H108">
        <v>10306</v>
      </c>
      <c r="I108" t="s">
        <v>5695</v>
      </c>
      <c r="J108" t="s">
        <v>5696</v>
      </c>
      <c r="K108" t="s">
        <v>5745</v>
      </c>
      <c r="L108" t="s">
        <v>6714</v>
      </c>
      <c r="M108" t="s">
        <v>6732</v>
      </c>
      <c r="N108" t="s">
        <v>6739</v>
      </c>
      <c r="O108" t="s">
        <v>6751</v>
      </c>
      <c r="P108" t="s">
        <v>5697</v>
      </c>
      <c r="R108" t="s">
        <v>6793</v>
      </c>
      <c r="S108" t="s">
        <v>6801</v>
      </c>
      <c r="U108">
        <v>1395</v>
      </c>
      <c r="V108" t="s">
        <v>6834</v>
      </c>
      <c r="W108" t="s">
        <v>6839</v>
      </c>
      <c r="X108" t="s">
        <v>6857</v>
      </c>
      <c r="Y108" t="s">
        <v>6975</v>
      </c>
      <c r="AA108" t="s">
        <v>9165</v>
      </c>
      <c r="AB108">
        <v>4</v>
      </c>
      <c r="AC108" t="s">
        <v>10929</v>
      </c>
      <c r="AD108" t="s">
        <v>5741</v>
      </c>
      <c r="AE108">
        <v>1</v>
      </c>
      <c r="AF108">
        <v>1</v>
      </c>
      <c r="AG108">
        <v>0</v>
      </c>
      <c r="AH108">
        <v>124.9</v>
      </c>
      <c r="AK108" t="s">
        <v>10966</v>
      </c>
      <c r="AL108">
        <v>15600</v>
      </c>
      <c r="AR108">
        <v>1.1</v>
      </c>
      <c r="AS108" t="s">
        <v>11128</v>
      </c>
      <c r="AT108" t="s">
        <v>11177</v>
      </c>
      <c r="AU108" t="s">
        <v>11228</v>
      </c>
      <c r="AV108" t="s">
        <v>11230</v>
      </c>
      <c r="AW108" t="s">
        <v>11158</v>
      </c>
      <c r="AX108" t="s">
        <v>10957</v>
      </c>
    </row>
    <row r="109" spans="1:50">
      <c r="A109" s="1">
        <f>HYPERLINK("https://lsnyc.legalserver.org/matter/dynamic-profile/view/1902406","19-1902406")</f>
        <v>0</v>
      </c>
      <c r="B109" t="s">
        <v>63</v>
      </c>
      <c r="C109" t="s">
        <v>407</v>
      </c>
      <c r="D109" t="s">
        <v>745</v>
      </c>
      <c r="E109" t="s">
        <v>3180</v>
      </c>
      <c r="F109" t="s">
        <v>5098</v>
      </c>
      <c r="G109" t="s">
        <v>5649</v>
      </c>
      <c r="H109">
        <v>11385</v>
      </c>
      <c r="I109" t="s">
        <v>5695</v>
      </c>
      <c r="J109" t="s">
        <v>5696</v>
      </c>
      <c r="K109" t="s">
        <v>5746</v>
      </c>
      <c r="L109" t="s">
        <v>6714</v>
      </c>
      <c r="M109" t="s">
        <v>6732</v>
      </c>
      <c r="N109" t="s">
        <v>6739</v>
      </c>
      <c r="O109" t="s">
        <v>6752</v>
      </c>
      <c r="P109" t="s">
        <v>5697</v>
      </c>
      <c r="R109" t="s">
        <v>6793</v>
      </c>
      <c r="T109" t="s">
        <v>6811</v>
      </c>
      <c r="U109">
        <v>2000</v>
      </c>
      <c r="V109" t="s">
        <v>6837</v>
      </c>
      <c r="W109" t="s">
        <v>6840</v>
      </c>
      <c r="X109" t="s">
        <v>6857</v>
      </c>
      <c r="Y109" t="s">
        <v>6976</v>
      </c>
      <c r="Z109" t="s">
        <v>5741</v>
      </c>
      <c r="AA109" t="s">
        <v>9166</v>
      </c>
      <c r="AB109">
        <v>2</v>
      </c>
      <c r="AC109" t="s">
        <v>8953</v>
      </c>
      <c r="AD109" t="s">
        <v>5741</v>
      </c>
      <c r="AE109">
        <v>1</v>
      </c>
      <c r="AF109">
        <v>2</v>
      </c>
      <c r="AG109">
        <v>0</v>
      </c>
      <c r="AH109">
        <v>199.05</v>
      </c>
      <c r="AK109" t="s">
        <v>10966</v>
      </c>
      <c r="AL109">
        <v>33660</v>
      </c>
      <c r="AR109">
        <v>2.38</v>
      </c>
      <c r="AS109" t="s">
        <v>6809</v>
      </c>
      <c r="AT109" t="s">
        <v>11184</v>
      </c>
      <c r="AU109" t="s">
        <v>11228</v>
      </c>
      <c r="AV109" t="s">
        <v>11230</v>
      </c>
      <c r="AW109" t="s">
        <v>11140</v>
      </c>
      <c r="AX109" t="s">
        <v>6809</v>
      </c>
    </row>
    <row r="110" spans="1:50">
      <c r="A110" s="1">
        <f>HYPERLINK("https://lsnyc.legalserver.org/matter/dynamic-profile/view/1904633","19-1904633")</f>
        <v>0</v>
      </c>
      <c r="B110" t="s">
        <v>53</v>
      </c>
      <c r="C110" t="s">
        <v>408</v>
      </c>
      <c r="D110" t="s">
        <v>1734</v>
      </c>
      <c r="E110" t="s">
        <v>3181</v>
      </c>
      <c r="F110" t="s">
        <v>5154</v>
      </c>
      <c r="G110" t="s">
        <v>5635</v>
      </c>
      <c r="H110">
        <v>10455</v>
      </c>
      <c r="I110" t="s">
        <v>5695</v>
      </c>
      <c r="J110" t="s">
        <v>5696</v>
      </c>
      <c r="K110" t="s">
        <v>5747</v>
      </c>
      <c r="L110" t="s">
        <v>6714</v>
      </c>
      <c r="M110" t="s">
        <v>6732</v>
      </c>
      <c r="N110" t="s">
        <v>6739</v>
      </c>
      <c r="O110" t="s">
        <v>6747</v>
      </c>
      <c r="R110" t="s">
        <v>6793</v>
      </c>
      <c r="S110" t="s">
        <v>6803</v>
      </c>
      <c r="U110">
        <v>836.16</v>
      </c>
      <c r="V110" t="s">
        <v>6833</v>
      </c>
      <c r="W110" t="s">
        <v>6840</v>
      </c>
      <c r="X110" t="s">
        <v>6857</v>
      </c>
      <c r="Y110" t="s">
        <v>6977</v>
      </c>
      <c r="AA110" t="s">
        <v>9167</v>
      </c>
      <c r="AB110">
        <v>8</v>
      </c>
      <c r="AC110" t="s">
        <v>10937</v>
      </c>
      <c r="AE110">
        <v>17</v>
      </c>
      <c r="AF110">
        <v>3</v>
      </c>
      <c r="AG110">
        <v>0</v>
      </c>
      <c r="AH110">
        <v>13.31</v>
      </c>
      <c r="AK110" t="s">
        <v>10966</v>
      </c>
      <c r="AL110">
        <v>2838.72</v>
      </c>
      <c r="AR110">
        <v>0.5</v>
      </c>
      <c r="AS110" t="s">
        <v>6819</v>
      </c>
      <c r="AT110" t="s">
        <v>139</v>
      </c>
      <c r="AU110" t="s">
        <v>11228</v>
      </c>
      <c r="AV110" t="s">
        <v>11230</v>
      </c>
      <c r="AW110" t="s">
        <v>6809</v>
      </c>
      <c r="AX110" t="s">
        <v>6819</v>
      </c>
    </row>
    <row r="111" spans="1:50">
      <c r="A111" s="1">
        <f>HYPERLINK("https://lsnyc.legalserver.org/matter/dynamic-profile/view/1904561","19-1904561")</f>
        <v>0</v>
      </c>
      <c r="B111" t="s">
        <v>71</v>
      </c>
      <c r="C111" t="s">
        <v>409</v>
      </c>
      <c r="D111" t="s">
        <v>1735</v>
      </c>
      <c r="E111" t="s">
        <v>3182</v>
      </c>
      <c r="F111" t="s">
        <v>5155</v>
      </c>
      <c r="G111" t="s">
        <v>5637</v>
      </c>
      <c r="H111">
        <v>11235</v>
      </c>
      <c r="I111" t="s">
        <v>5695</v>
      </c>
      <c r="J111" t="s">
        <v>5696</v>
      </c>
      <c r="K111" t="s">
        <v>5748</v>
      </c>
      <c r="L111" t="s">
        <v>6714</v>
      </c>
      <c r="M111" t="s">
        <v>6732</v>
      </c>
      <c r="N111" t="s">
        <v>6739</v>
      </c>
      <c r="O111" t="s">
        <v>6746</v>
      </c>
      <c r="P111" t="s">
        <v>5697</v>
      </c>
      <c r="R111" t="s">
        <v>6793</v>
      </c>
      <c r="S111" t="s">
        <v>6804</v>
      </c>
      <c r="T111" t="s">
        <v>6810</v>
      </c>
      <c r="U111">
        <v>1504.6</v>
      </c>
      <c r="V111" t="s">
        <v>6835</v>
      </c>
      <c r="W111" t="s">
        <v>6839</v>
      </c>
      <c r="X111" t="s">
        <v>6857</v>
      </c>
      <c r="Y111" t="s">
        <v>6978</v>
      </c>
      <c r="AA111" t="s">
        <v>9168</v>
      </c>
      <c r="AB111">
        <v>108</v>
      </c>
      <c r="AE111">
        <v>15</v>
      </c>
      <c r="AF111">
        <v>1</v>
      </c>
      <c r="AG111">
        <v>0</v>
      </c>
      <c r="AH111">
        <v>96.08</v>
      </c>
      <c r="AK111" t="s">
        <v>10966</v>
      </c>
      <c r="AL111">
        <v>12000</v>
      </c>
      <c r="AR111">
        <v>2.3</v>
      </c>
      <c r="AS111" t="s">
        <v>6828</v>
      </c>
      <c r="AT111" t="s">
        <v>11190</v>
      </c>
      <c r="AU111" t="s">
        <v>11228</v>
      </c>
      <c r="AV111" t="s">
        <v>11230</v>
      </c>
      <c r="AW111" t="s">
        <v>6810</v>
      </c>
      <c r="AX111" t="s">
        <v>6809</v>
      </c>
    </row>
    <row r="112" spans="1:50">
      <c r="A112" s="1">
        <f>HYPERLINK("https://lsnyc.legalserver.org/matter/dynamic-profile/view/1902726","19-1902726")</f>
        <v>0</v>
      </c>
      <c r="B112" t="s">
        <v>56</v>
      </c>
      <c r="C112" t="s">
        <v>410</v>
      </c>
      <c r="D112" t="s">
        <v>1679</v>
      </c>
      <c r="E112" t="s">
        <v>3183</v>
      </c>
      <c r="F112" t="s">
        <v>5156</v>
      </c>
      <c r="G112" t="s">
        <v>5637</v>
      </c>
      <c r="H112">
        <v>11226</v>
      </c>
      <c r="I112" t="s">
        <v>5696</v>
      </c>
      <c r="J112" t="s">
        <v>5696</v>
      </c>
      <c r="K112" t="s">
        <v>5749</v>
      </c>
      <c r="L112" t="s">
        <v>6714</v>
      </c>
      <c r="M112" t="s">
        <v>6732</v>
      </c>
      <c r="N112" t="s">
        <v>6739</v>
      </c>
      <c r="O112" t="s">
        <v>6753</v>
      </c>
      <c r="R112" t="s">
        <v>6793</v>
      </c>
      <c r="U112">
        <v>1200</v>
      </c>
      <c r="V112" t="s">
        <v>6835</v>
      </c>
      <c r="X112" t="s">
        <v>6857</v>
      </c>
      <c r="Y112" t="s">
        <v>6979</v>
      </c>
      <c r="AA112" t="s">
        <v>9169</v>
      </c>
      <c r="AB112">
        <v>0</v>
      </c>
      <c r="AC112" t="s">
        <v>8953</v>
      </c>
      <c r="AD112" t="s">
        <v>10943</v>
      </c>
      <c r="AE112">
        <v>8</v>
      </c>
      <c r="AF112">
        <v>1</v>
      </c>
      <c r="AG112">
        <v>0</v>
      </c>
      <c r="AH112">
        <v>312.25</v>
      </c>
      <c r="AK112" t="s">
        <v>10966</v>
      </c>
      <c r="AL112">
        <v>39000</v>
      </c>
      <c r="AR112">
        <v>3.5</v>
      </c>
      <c r="AS112" t="s">
        <v>11147</v>
      </c>
      <c r="AT112" t="s">
        <v>11186</v>
      </c>
      <c r="AV112" t="s">
        <v>11230</v>
      </c>
      <c r="AW112" t="s">
        <v>11133</v>
      </c>
      <c r="AX112" t="s">
        <v>11147</v>
      </c>
    </row>
    <row r="113" spans="1:50">
      <c r="A113" s="1">
        <f>HYPERLINK("https://lsnyc.legalserver.org/matter/dynamic-profile/view/1897859","19-1897859")</f>
        <v>0</v>
      </c>
      <c r="B113" t="s">
        <v>63</v>
      </c>
      <c r="C113" t="s">
        <v>411</v>
      </c>
      <c r="D113" t="s">
        <v>1736</v>
      </c>
      <c r="E113" t="s">
        <v>3184</v>
      </c>
      <c r="F113" t="s">
        <v>5157</v>
      </c>
      <c r="G113" t="s">
        <v>5650</v>
      </c>
      <c r="H113">
        <v>11365</v>
      </c>
      <c r="I113" t="s">
        <v>5695</v>
      </c>
      <c r="J113" t="s">
        <v>5695</v>
      </c>
      <c r="K113" t="s">
        <v>5750</v>
      </c>
      <c r="L113" t="s">
        <v>6714</v>
      </c>
      <c r="M113" t="s">
        <v>6732</v>
      </c>
      <c r="N113" t="s">
        <v>6739</v>
      </c>
      <c r="O113" t="s">
        <v>6750</v>
      </c>
      <c r="P113" t="s">
        <v>5697</v>
      </c>
      <c r="R113" t="s">
        <v>6793</v>
      </c>
      <c r="S113" t="s">
        <v>6804</v>
      </c>
      <c r="U113">
        <v>1850</v>
      </c>
      <c r="V113" t="s">
        <v>6837</v>
      </c>
      <c r="W113" t="s">
        <v>6840</v>
      </c>
      <c r="X113" t="s">
        <v>6857</v>
      </c>
      <c r="Y113" t="s">
        <v>6980</v>
      </c>
      <c r="AA113" t="s">
        <v>9170</v>
      </c>
      <c r="AB113">
        <v>8</v>
      </c>
      <c r="AC113" t="s">
        <v>10930</v>
      </c>
      <c r="AD113" t="s">
        <v>5741</v>
      </c>
      <c r="AE113">
        <v>2</v>
      </c>
      <c r="AF113">
        <v>4</v>
      </c>
      <c r="AG113">
        <v>0</v>
      </c>
      <c r="AH113">
        <v>175.64</v>
      </c>
      <c r="AK113" t="s">
        <v>10966</v>
      </c>
      <c r="AL113">
        <v>45227.85</v>
      </c>
      <c r="AR113">
        <v>1.65</v>
      </c>
      <c r="AS113" t="s">
        <v>11132</v>
      </c>
      <c r="AT113" t="s">
        <v>63</v>
      </c>
      <c r="AV113" t="s">
        <v>11230</v>
      </c>
      <c r="AW113" t="s">
        <v>11125</v>
      </c>
      <c r="AX113" t="s">
        <v>11132</v>
      </c>
    </row>
    <row r="114" spans="1:50">
      <c r="A114" s="1">
        <f>HYPERLINK("https://lsnyc.legalserver.org/matter/dynamic-profile/view/1904402","19-1904402")</f>
        <v>0</v>
      </c>
      <c r="B114" t="s">
        <v>102</v>
      </c>
      <c r="C114" t="s">
        <v>412</v>
      </c>
      <c r="D114" t="s">
        <v>1642</v>
      </c>
      <c r="E114" t="s">
        <v>3185</v>
      </c>
      <c r="F114" t="s">
        <v>5093</v>
      </c>
      <c r="G114" t="s">
        <v>5638</v>
      </c>
      <c r="H114">
        <v>10031</v>
      </c>
      <c r="I114" t="s">
        <v>5695</v>
      </c>
      <c r="J114" t="s">
        <v>5696</v>
      </c>
      <c r="K114" t="s">
        <v>5751</v>
      </c>
      <c r="L114" t="s">
        <v>6714</v>
      </c>
      <c r="M114" t="s">
        <v>6732</v>
      </c>
      <c r="N114" t="s">
        <v>6739</v>
      </c>
      <c r="O114" t="s">
        <v>6759</v>
      </c>
      <c r="P114" t="s">
        <v>5697</v>
      </c>
      <c r="R114" t="s">
        <v>6796</v>
      </c>
      <c r="S114" t="s">
        <v>6801</v>
      </c>
      <c r="T114" t="s">
        <v>6815</v>
      </c>
      <c r="U114">
        <v>538</v>
      </c>
      <c r="V114" t="s">
        <v>6836</v>
      </c>
      <c r="W114" t="s">
        <v>6839</v>
      </c>
      <c r="X114" t="s">
        <v>6857</v>
      </c>
      <c r="Y114" t="s">
        <v>6981</v>
      </c>
      <c r="AA114" t="s">
        <v>9171</v>
      </c>
      <c r="AB114">
        <v>0</v>
      </c>
      <c r="AC114" t="s">
        <v>10934</v>
      </c>
      <c r="AD114" t="s">
        <v>10944</v>
      </c>
      <c r="AE114">
        <v>15</v>
      </c>
      <c r="AF114">
        <v>1</v>
      </c>
      <c r="AG114">
        <v>0</v>
      </c>
      <c r="AH114">
        <v>307.45</v>
      </c>
      <c r="AK114" t="s">
        <v>10966</v>
      </c>
      <c r="AL114">
        <v>38400</v>
      </c>
      <c r="AR114">
        <v>0.8</v>
      </c>
      <c r="AS114" t="s">
        <v>6815</v>
      </c>
      <c r="AT114" t="s">
        <v>305</v>
      </c>
      <c r="AU114" t="s">
        <v>11228</v>
      </c>
      <c r="AV114" t="s">
        <v>11230</v>
      </c>
      <c r="AW114" t="s">
        <v>6815</v>
      </c>
      <c r="AX114" t="s">
        <v>6809</v>
      </c>
    </row>
    <row r="115" spans="1:50">
      <c r="A115" s="1">
        <f>HYPERLINK("https://lsnyc.legalserver.org/matter/dynamic-profile/view/1904069","19-1904069")</f>
        <v>0</v>
      </c>
      <c r="B115" t="s">
        <v>53</v>
      </c>
      <c r="C115" t="s">
        <v>413</v>
      </c>
      <c r="D115" t="s">
        <v>1737</v>
      </c>
      <c r="E115" t="s">
        <v>3186</v>
      </c>
      <c r="F115" t="s">
        <v>5143</v>
      </c>
      <c r="G115" t="s">
        <v>5635</v>
      </c>
      <c r="H115">
        <v>10473</v>
      </c>
      <c r="I115" t="s">
        <v>5695</v>
      </c>
      <c r="J115" t="s">
        <v>5696</v>
      </c>
      <c r="K115" t="s">
        <v>5752</v>
      </c>
      <c r="L115" t="s">
        <v>6714</v>
      </c>
      <c r="M115" t="s">
        <v>6732</v>
      </c>
      <c r="N115" t="s">
        <v>6739</v>
      </c>
      <c r="O115" t="s">
        <v>6747</v>
      </c>
      <c r="P115" t="s">
        <v>5697</v>
      </c>
      <c r="R115" t="s">
        <v>6793</v>
      </c>
      <c r="S115" t="s">
        <v>6801</v>
      </c>
      <c r="U115">
        <v>231</v>
      </c>
      <c r="V115" t="s">
        <v>6833</v>
      </c>
      <c r="W115" t="s">
        <v>6839</v>
      </c>
      <c r="X115" t="s">
        <v>6857</v>
      </c>
      <c r="Y115" t="s">
        <v>6982</v>
      </c>
      <c r="AA115" t="s">
        <v>9172</v>
      </c>
      <c r="AB115">
        <v>54</v>
      </c>
      <c r="AC115" t="s">
        <v>10931</v>
      </c>
      <c r="AD115" t="s">
        <v>5741</v>
      </c>
      <c r="AE115">
        <v>29</v>
      </c>
      <c r="AF115">
        <v>2</v>
      </c>
      <c r="AG115">
        <v>0</v>
      </c>
      <c r="AH115">
        <v>42.79</v>
      </c>
      <c r="AK115" t="s">
        <v>10966</v>
      </c>
      <c r="AL115">
        <v>7236.32</v>
      </c>
      <c r="AR115">
        <v>1.5</v>
      </c>
      <c r="AS115" t="s">
        <v>6808</v>
      </c>
      <c r="AT115" t="s">
        <v>11179</v>
      </c>
      <c r="AU115" t="s">
        <v>11228</v>
      </c>
      <c r="AV115" t="s">
        <v>11230</v>
      </c>
      <c r="AW115" t="s">
        <v>6817</v>
      </c>
      <c r="AX115" t="s">
        <v>6808</v>
      </c>
    </row>
    <row r="116" spans="1:50">
      <c r="A116" s="1">
        <f>HYPERLINK("https://lsnyc.legalserver.org/matter/dynamic-profile/view/1897266","19-1897266")</f>
        <v>0</v>
      </c>
      <c r="B116" t="s">
        <v>103</v>
      </c>
      <c r="C116" t="s">
        <v>414</v>
      </c>
      <c r="D116" t="s">
        <v>1738</v>
      </c>
      <c r="E116" t="s">
        <v>3187</v>
      </c>
      <c r="F116">
        <v>535</v>
      </c>
      <c r="G116" t="s">
        <v>5635</v>
      </c>
      <c r="H116">
        <v>10451</v>
      </c>
      <c r="I116" t="s">
        <v>5695</v>
      </c>
      <c r="J116" t="s">
        <v>5695</v>
      </c>
      <c r="K116" t="s">
        <v>5753</v>
      </c>
      <c r="L116" t="s">
        <v>6714</v>
      </c>
      <c r="M116" t="s">
        <v>6732</v>
      </c>
      <c r="N116" t="s">
        <v>6739</v>
      </c>
      <c r="O116" t="s">
        <v>6747</v>
      </c>
      <c r="P116" t="s">
        <v>5697</v>
      </c>
      <c r="R116" t="s">
        <v>6793</v>
      </c>
      <c r="S116" t="s">
        <v>6801</v>
      </c>
      <c r="U116">
        <v>1098</v>
      </c>
      <c r="V116" t="s">
        <v>6833</v>
      </c>
      <c r="W116" t="s">
        <v>6845</v>
      </c>
      <c r="X116" t="s">
        <v>6857</v>
      </c>
      <c r="Y116" t="s">
        <v>6983</v>
      </c>
      <c r="AA116" t="s">
        <v>9173</v>
      </c>
      <c r="AB116">
        <v>216</v>
      </c>
      <c r="AC116" t="s">
        <v>10934</v>
      </c>
      <c r="AE116">
        <v>23</v>
      </c>
      <c r="AF116">
        <v>1</v>
      </c>
      <c r="AG116">
        <v>0</v>
      </c>
      <c r="AH116">
        <v>208.17</v>
      </c>
      <c r="AK116" t="s">
        <v>10966</v>
      </c>
      <c r="AL116">
        <v>26000</v>
      </c>
      <c r="AM116" t="s">
        <v>11004</v>
      </c>
      <c r="AR116">
        <v>1.2</v>
      </c>
      <c r="AS116" t="s">
        <v>11116</v>
      </c>
      <c r="AT116" t="s">
        <v>11179</v>
      </c>
      <c r="AV116" t="s">
        <v>11230</v>
      </c>
      <c r="AW116" t="s">
        <v>11151</v>
      </c>
      <c r="AX116" t="s">
        <v>11116</v>
      </c>
    </row>
    <row r="117" spans="1:50">
      <c r="A117" s="1">
        <f>HYPERLINK("https://lsnyc.legalserver.org/matter/dynamic-profile/view/1902978","19-1902978")</f>
        <v>0</v>
      </c>
      <c r="B117" t="s">
        <v>53</v>
      </c>
      <c r="C117" t="s">
        <v>415</v>
      </c>
      <c r="D117" t="s">
        <v>1739</v>
      </c>
      <c r="E117" t="s">
        <v>3188</v>
      </c>
      <c r="F117" t="s">
        <v>5158</v>
      </c>
      <c r="G117" t="s">
        <v>5635</v>
      </c>
      <c r="H117">
        <v>10461</v>
      </c>
      <c r="I117" t="s">
        <v>5695</v>
      </c>
      <c r="J117" t="s">
        <v>5696</v>
      </c>
      <c r="K117" t="s">
        <v>5754</v>
      </c>
      <c r="L117" t="s">
        <v>6714</v>
      </c>
      <c r="M117" t="s">
        <v>6732</v>
      </c>
      <c r="N117" t="s">
        <v>6739</v>
      </c>
      <c r="O117" t="s">
        <v>6747</v>
      </c>
      <c r="P117" t="s">
        <v>5697</v>
      </c>
      <c r="R117" t="s">
        <v>6793</v>
      </c>
      <c r="S117" t="s">
        <v>6804</v>
      </c>
      <c r="U117">
        <v>1400</v>
      </c>
      <c r="V117" t="s">
        <v>6833</v>
      </c>
      <c r="W117" t="s">
        <v>6839</v>
      </c>
      <c r="X117" t="s">
        <v>6857</v>
      </c>
      <c r="Y117" t="s">
        <v>6984</v>
      </c>
      <c r="AA117" t="s">
        <v>9174</v>
      </c>
      <c r="AB117">
        <v>0</v>
      </c>
      <c r="AC117" t="s">
        <v>10929</v>
      </c>
      <c r="AE117">
        <v>1</v>
      </c>
      <c r="AF117">
        <v>2</v>
      </c>
      <c r="AG117">
        <v>1</v>
      </c>
      <c r="AH117">
        <v>152.86</v>
      </c>
      <c r="AK117" t="s">
        <v>10966</v>
      </c>
      <c r="AL117">
        <v>32604</v>
      </c>
      <c r="AR117">
        <v>0.7</v>
      </c>
      <c r="AS117" t="s">
        <v>6809</v>
      </c>
      <c r="AT117" t="s">
        <v>288</v>
      </c>
      <c r="AU117" t="s">
        <v>11228</v>
      </c>
      <c r="AV117" t="s">
        <v>11230</v>
      </c>
      <c r="AW117" t="s">
        <v>11138</v>
      </c>
      <c r="AX117" t="s">
        <v>6809</v>
      </c>
    </row>
    <row r="118" spans="1:50">
      <c r="A118" s="1">
        <f>HYPERLINK("https://lsnyc.legalserver.org/matter/dynamic-profile/view/1905314","19-1905314")</f>
        <v>0</v>
      </c>
      <c r="B118" t="s">
        <v>53</v>
      </c>
      <c r="C118" t="s">
        <v>416</v>
      </c>
      <c r="D118" t="s">
        <v>1652</v>
      </c>
      <c r="E118" t="s">
        <v>3189</v>
      </c>
      <c r="G118" t="s">
        <v>5635</v>
      </c>
      <c r="H118">
        <v>10458</v>
      </c>
      <c r="I118" t="s">
        <v>5695</v>
      </c>
      <c r="J118" t="s">
        <v>5696</v>
      </c>
      <c r="K118" t="s">
        <v>5755</v>
      </c>
      <c r="L118" t="s">
        <v>6714</v>
      </c>
      <c r="M118" t="s">
        <v>6732</v>
      </c>
      <c r="N118" t="s">
        <v>6739</v>
      </c>
      <c r="O118" t="s">
        <v>6747</v>
      </c>
      <c r="P118" t="s">
        <v>5697</v>
      </c>
      <c r="R118" t="s">
        <v>6793</v>
      </c>
      <c r="S118" t="s">
        <v>6801</v>
      </c>
      <c r="T118" t="s">
        <v>6808</v>
      </c>
      <c r="U118">
        <v>1054</v>
      </c>
      <c r="V118" t="s">
        <v>6833</v>
      </c>
      <c r="W118" t="s">
        <v>6839</v>
      </c>
      <c r="X118" t="s">
        <v>6857</v>
      </c>
      <c r="Y118" t="s">
        <v>6985</v>
      </c>
      <c r="AA118" t="s">
        <v>9175</v>
      </c>
      <c r="AB118">
        <v>51</v>
      </c>
      <c r="AC118" t="s">
        <v>8953</v>
      </c>
      <c r="AD118" t="s">
        <v>5741</v>
      </c>
      <c r="AE118">
        <v>17</v>
      </c>
      <c r="AF118">
        <v>2</v>
      </c>
      <c r="AG118">
        <v>1</v>
      </c>
      <c r="AH118">
        <v>160.34</v>
      </c>
      <c r="AK118" t="s">
        <v>10966</v>
      </c>
      <c r="AL118">
        <v>34200</v>
      </c>
      <c r="AR118">
        <v>0.5</v>
      </c>
      <c r="AS118" t="s">
        <v>6820</v>
      </c>
      <c r="AT118" t="s">
        <v>11187</v>
      </c>
      <c r="AU118" t="s">
        <v>11228</v>
      </c>
      <c r="AV118" t="s">
        <v>11230</v>
      </c>
      <c r="AW118" t="s">
        <v>6808</v>
      </c>
      <c r="AX118" t="s">
        <v>6820</v>
      </c>
    </row>
    <row r="119" spans="1:50">
      <c r="A119" s="1">
        <f>HYPERLINK("https://lsnyc.legalserver.org/matter/dynamic-profile/view/1897082","19-1897082")</f>
        <v>0</v>
      </c>
      <c r="B119" t="s">
        <v>55</v>
      </c>
      <c r="C119" t="s">
        <v>417</v>
      </c>
      <c r="D119" t="s">
        <v>1740</v>
      </c>
      <c r="E119" t="s">
        <v>3190</v>
      </c>
      <c r="F119" t="s">
        <v>5159</v>
      </c>
      <c r="G119" t="s">
        <v>5638</v>
      </c>
      <c r="H119">
        <v>10027</v>
      </c>
      <c r="I119" t="s">
        <v>5695</v>
      </c>
      <c r="J119" t="s">
        <v>5695</v>
      </c>
      <c r="K119" t="s">
        <v>5756</v>
      </c>
      <c r="L119" t="s">
        <v>6714</v>
      </c>
      <c r="M119" t="s">
        <v>6732</v>
      </c>
      <c r="N119" t="s">
        <v>6739</v>
      </c>
      <c r="O119" t="s">
        <v>6749</v>
      </c>
      <c r="P119" t="s">
        <v>5697</v>
      </c>
      <c r="R119" t="s">
        <v>6794</v>
      </c>
      <c r="U119">
        <v>214</v>
      </c>
      <c r="V119" t="s">
        <v>6836</v>
      </c>
      <c r="X119" t="s">
        <v>6857</v>
      </c>
      <c r="Y119" t="s">
        <v>6986</v>
      </c>
      <c r="AA119" t="s">
        <v>9176</v>
      </c>
      <c r="AB119">
        <v>0</v>
      </c>
      <c r="AE119">
        <v>1</v>
      </c>
      <c r="AF119">
        <v>2</v>
      </c>
      <c r="AG119">
        <v>0</v>
      </c>
      <c r="AH119">
        <v>76.88</v>
      </c>
      <c r="AK119" t="s">
        <v>10966</v>
      </c>
      <c r="AL119">
        <v>13000</v>
      </c>
      <c r="AR119">
        <v>1.1</v>
      </c>
      <c r="AS119" t="s">
        <v>11116</v>
      </c>
      <c r="AT119" t="s">
        <v>11199</v>
      </c>
      <c r="AV119" t="s">
        <v>11230</v>
      </c>
      <c r="AW119" t="s">
        <v>11121</v>
      </c>
      <c r="AX119" t="s">
        <v>11137</v>
      </c>
    </row>
    <row r="120" spans="1:50">
      <c r="A120" s="1">
        <f>HYPERLINK("https://lsnyc.legalserver.org/matter/dynamic-profile/view/1901353","19-1901353")</f>
        <v>0</v>
      </c>
      <c r="B120" t="s">
        <v>69</v>
      </c>
      <c r="C120" t="s">
        <v>418</v>
      </c>
      <c r="D120" t="s">
        <v>1741</v>
      </c>
      <c r="E120" t="s">
        <v>3191</v>
      </c>
      <c r="F120" t="s">
        <v>5160</v>
      </c>
      <c r="G120" t="s">
        <v>5637</v>
      </c>
      <c r="H120">
        <v>11233</v>
      </c>
      <c r="I120" t="s">
        <v>5697</v>
      </c>
      <c r="J120" t="s">
        <v>5696</v>
      </c>
      <c r="K120" t="s">
        <v>5757</v>
      </c>
      <c r="L120" t="s">
        <v>6714</v>
      </c>
      <c r="M120" t="s">
        <v>6732</v>
      </c>
      <c r="N120" t="s">
        <v>6739</v>
      </c>
      <c r="O120" t="s">
        <v>6745</v>
      </c>
      <c r="P120" t="s">
        <v>5697</v>
      </c>
      <c r="R120" t="s">
        <v>6793</v>
      </c>
      <c r="S120" t="s">
        <v>6801</v>
      </c>
      <c r="U120">
        <v>1030.12</v>
      </c>
      <c r="V120" t="s">
        <v>6835</v>
      </c>
      <c r="W120" t="s">
        <v>6842</v>
      </c>
      <c r="X120" t="s">
        <v>6857</v>
      </c>
      <c r="Y120" t="s">
        <v>6987</v>
      </c>
      <c r="Z120" t="s">
        <v>5741</v>
      </c>
      <c r="AA120" t="s">
        <v>9177</v>
      </c>
      <c r="AB120">
        <v>60</v>
      </c>
      <c r="AC120" t="s">
        <v>8953</v>
      </c>
      <c r="AD120" t="s">
        <v>5741</v>
      </c>
      <c r="AE120">
        <v>4</v>
      </c>
      <c r="AF120">
        <v>2</v>
      </c>
      <c r="AG120">
        <v>0</v>
      </c>
      <c r="AH120">
        <v>80.76000000000001</v>
      </c>
      <c r="AK120" t="s">
        <v>10966</v>
      </c>
      <c r="AL120">
        <v>13656</v>
      </c>
      <c r="AM120" t="s">
        <v>11005</v>
      </c>
      <c r="AR120">
        <v>0.5</v>
      </c>
      <c r="AS120" t="s">
        <v>11148</v>
      </c>
      <c r="AT120" t="s">
        <v>11189</v>
      </c>
      <c r="AU120" t="s">
        <v>5741</v>
      </c>
      <c r="AV120" t="s">
        <v>11230</v>
      </c>
      <c r="AW120" t="s">
        <v>11148</v>
      </c>
      <c r="AX120" t="s">
        <v>11133</v>
      </c>
    </row>
    <row r="121" spans="1:50">
      <c r="A121" s="1">
        <f>HYPERLINK("https://lsnyc.legalserver.org/matter/dynamic-profile/view/1897290","19-1897290")</f>
        <v>0</v>
      </c>
      <c r="B121" t="s">
        <v>85</v>
      </c>
      <c r="C121" t="s">
        <v>419</v>
      </c>
      <c r="D121" t="s">
        <v>1742</v>
      </c>
      <c r="E121" t="s">
        <v>3192</v>
      </c>
      <c r="F121">
        <v>212</v>
      </c>
      <c r="G121" t="s">
        <v>5637</v>
      </c>
      <c r="H121">
        <v>11235</v>
      </c>
      <c r="I121" t="s">
        <v>5696</v>
      </c>
      <c r="J121" t="s">
        <v>5696</v>
      </c>
      <c r="L121" t="s">
        <v>6714</v>
      </c>
      <c r="M121" t="s">
        <v>6732</v>
      </c>
      <c r="N121" t="s">
        <v>6739</v>
      </c>
      <c r="O121" t="s">
        <v>6754</v>
      </c>
      <c r="R121" t="s">
        <v>6793</v>
      </c>
      <c r="U121">
        <v>0</v>
      </c>
      <c r="V121" t="s">
        <v>6835</v>
      </c>
      <c r="X121" t="s">
        <v>6857</v>
      </c>
      <c r="Y121" t="s">
        <v>6988</v>
      </c>
      <c r="AA121" t="s">
        <v>9178</v>
      </c>
      <c r="AB121">
        <v>0</v>
      </c>
      <c r="AC121" t="s">
        <v>10929</v>
      </c>
      <c r="AD121" t="s">
        <v>10945</v>
      </c>
      <c r="AE121">
        <v>0</v>
      </c>
      <c r="AF121">
        <v>1</v>
      </c>
      <c r="AG121">
        <v>0</v>
      </c>
      <c r="AH121">
        <v>115.29</v>
      </c>
      <c r="AK121" t="s">
        <v>10966</v>
      </c>
      <c r="AL121">
        <v>14400</v>
      </c>
      <c r="AR121">
        <v>3.75</v>
      </c>
      <c r="AS121" t="s">
        <v>10957</v>
      </c>
      <c r="AT121" t="s">
        <v>85</v>
      </c>
      <c r="AV121" t="s">
        <v>11230</v>
      </c>
      <c r="AW121" t="s">
        <v>11130</v>
      </c>
      <c r="AX121" t="s">
        <v>10957</v>
      </c>
    </row>
    <row r="122" spans="1:50">
      <c r="A122" s="1">
        <f>HYPERLINK("https://lsnyc.legalserver.org/matter/dynamic-profile/view/1905740","19-1905740")</f>
        <v>0</v>
      </c>
      <c r="B122" t="s">
        <v>104</v>
      </c>
      <c r="C122" t="s">
        <v>420</v>
      </c>
      <c r="D122" t="s">
        <v>1657</v>
      </c>
      <c r="E122" t="s">
        <v>3193</v>
      </c>
      <c r="F122" t="s">
        <v>5160</v>
      </c>
      <c r="G122" t="s">
        <v>5635</v>
      </c>
      <c r="H122">
        <v>10453</v>
      </c>
      <c r="I122" t="s">
        <v>5696</v>
      </c>
      <c r="J122" t="s">
        <v>5696</v>
      </c>
      <c r="K122" t="s">
        <v>5758</v>
      </c>
      <c r="L122" t="s">
        <v>6714</v>
      </c>
      <c r="M122" t="s">
        <v>6732</v>
      </c>
      <c r="N122" t="s">
        <v>6739</v>
      </c>
      <c r="O122" t="s">
        <v>6758</v>
      </c>
      <c r="P122" t="s">
        <v>5697</v>
      </c>
      <c r="R122" t="s">
        <v>6793</v>
      </c>
      <c r="S122" t="s">
        <v>6802</v>
      </c>
      <c r="U122">
        <v>1250</v>
      </c>
      <c r="V122" t="s">
        <v>6833</v>
      </c>
      <c r="W122" t="s">
        <v>6838</v>
      </c>
      <c r="X122" t="s">
        <v>6857</v>
      </c>
      <c r="Y122" t="s">
        <v>6989</v>
      </c>
      <c r="Z122" t="s">
        <v>8923</v>
      </c>
      <c r="AA122" t="s">
        <v>9179</v>
      </c>
      <c r="AB122">
        <v>50</v>
      </c>
      <c r="AC122" t="s">
        <v>10929</v>
      </c>
      <c r="AD122" t="s">
        <v>10949</v>
      </c>
      <c r="AE122">
        <v>2</v>
      </c>
      <c r="AF122">
        <v>1</v>
      </c>
      <c r="AG122">
        <v>0</v>
      </c>
      <c r="AH122">
        <v>33.82</v>
      </c>
      <c r="AK122" t="s">
        <v>10966</v>
      </c>
      <c r="AL122">
        <v>4224</v>
      </c>
      <c r="AR122">
        <v>1.25</v>
      </c>
      <c r="AS122" t="s">
        <v>6824</v>
      </c>
      <c r="AT122" t="s">
        <v>104</v>
      </c>
      <c r="AV122" t="s">
        <v>11230</v>
      </c>
      <c r="AW122" t="s">
        <v>6823</v>
      </c>
      <c r="AX122" t="s">
        <v>6824</v>
      </c>
    </row>
    <row r="123" spans="1:50">
      <c r="A123" s="1">
        <f>HYPERLINK("https://lsnyc.legalserver.org/matter/dynamic-profile/view/1900208","19-1900208")</f>
        <v>0</v>
      </c>
      <c r="B123" t="s">
        <v>105</v>
      </c>
      <c r="C123" t="s">
        <v>421</v>
      </c>
      <c r="D123" t="s">
        <v>1743</v>
      </c>
      <c r="E123" t="s">
        <v>3194</v>
      </c>
      <c r="F123" t="s">
        <v>5161</v>
      </c>
      <c r="G123" t="s">
        <v>5635</v>
      </c>
      <c r="H123">
        <v>10457</v>
      </c>
      <c r="I123" t="s">
        <v>5695</v>
      </c>
      <c r="J123" t="s">
        <v>5696</v>
      </c>
      <c r="K123" t="s">
        <v>5759</v>
      </c>
      <c r="L123" t="s">
        <v>6714</v>
      </c>
      <c r="M123" t="s">
        <v>6732</v>
      </c>
      <c r="N123" t="s">
        <v>6739</v>
      </c>
      <c r="O123" t="s">
        <v>6747</v>
      </c>
      <c r="P123" t="s">
        <v>5697</v>
      </c>
      <c r="R123" t="s">
        <v>6793</v>
      </c>
      <c r="S123" t="s">
        <v>6805</v>
      </c>
      <c r="U123">
        <v>1286</v>
      </c>
      <c r="V123" t="s">
        <v>6833</v>
      </c>
      <c r="W123" t="s">
        <v>6839</v>
      </c>
      <c r="X123" t="s">
        <v>6860</v>
      </c>
      <c r="Y123" t="s">
        <v>6990</v>
      </c>
      <c r="AA123" t="s">
        <v>9180</v>
      </c>
      <c r="AB123">
        <v>0</v>
      </c>
      <c r="AD123" t="s">
        <v>10950</v>
      </c>
      <c r="AE123">
        <v>2</v>
      </c>
      <c r="AF123">
        <v>2</v>
      </c>
      <c r="AG123">
        <v>0</v>
      </c>
      <c r="AH123">
        <v>0</v>
      </c>
      <c r="AK123" t="s">
        <v>10966</v>
      </c>
      <c r="AL123">
        <v>0</v>
      </c>
      <c r="AM123" t="s">
        <v>11006</v>
      </c>
      <c r="AR123">
        <v>3</v>
      </c>
      <c r="AS123" t="s">
        <v>11131</v>
      </c>
      <c r="AT123" t="s">
        <v>11187</v>
      </c>
      <c r="AU123" t="s">
        <v>11228</v>
      </c>
      <c r="AV123" t="s">
        <v>11230</v>
      </c>
      <c r="AW123" t="s">
        <v>11127</v>
      </c>
      <c r="AX123" t="s">
        <v>11163</v>
      </c>
    </row>
    <row r="124" spans="1:50">
      <c r="A124" s="1">
        <f>HYPERLINK("https://lsnyc.legalserver.org/matter/dynamic-profile/view/1904816","19-1904816")</f>
        <v>0</v>
      </c>
      <c r="B124" t="s">
        <v>103</v>
      </c>
      <c r="C124" t="s">
        <v>422</v>
      </c>
      <c r="D124" t="s">
        <v>1744</v>
      </c>
      <c r="E124" t="s">
        <v>3195</v>
      </c>
      <c r="G124" t="s">
        <v>5635</v>
      </c>
      <c r="H124">
        <v>10453</v>
      </c>
      <c r="I124" t="s">
        <v>5695</v>
      </c>
      <c r="J124" t="s">
        <v>5696</v>
      </c>
      <c r="K124" t="s">
        <v>5760</v>
      </c>
      <c r="L124" t="s">
        <v>6714</v>
      </c>
      <c r="M124" t="s">
        <v>6732</v>
      </c>
      <c r="N124" t="s">
        <v>6739</v>
      </c>
      <c r="O124" t="s">
        <v>6747</v>
      </c>
      <c r="P124" t="s">
        <v>5697</v>
      </c>
      <c r="R124" t="s">
        <v>6793</v>
      </c>
      <c r="T124" t="s">
        <v>6816</v>
      </c>
      <c r="U124">
        <v>840</v>
      </c>
      <c r="V124" t="s">
        <v>6833</v>
      </c>
      <c r="W124" t="s">
        <v>6838</v>
      </c>
      <c r="X124" t="s">
        <v>6857</v>
      </c>
      <c r="Y124" t="s">
        <v>6991</v>
      </c>
      <c r="Z124">
        <v>37661359</v>
      </c>
      <c r="AA124" t="s">
        <v>9181</v>
      </c>
      <c r="AB124">
        <v>0</v>
      </c>
      <c r="AC124" t="s">
        <v>10929</v>
      </c>
      <c r="AD124" t="s">
        <v>5741</v>
      </c>
      <c r="AE124">
        <v>3</v>
      </c>
      <c r="AF124">
        <v>1</v>
      </c>
      <c r="AG124">
        <v>0</v>
      </c>
      <c r="AH124">
        <v>0</v>
      </c>
      <c r="AK124" t="s">
        <v>10966</v>
      </c>
      <c r="AL124">
        <v>0</v>
      </c>
      <c r="AR124">
        <v>2.4</v>
      </c>
      <c r="AS124" t="s">
        <v>6822</v>
      </c>
      <c r="AT124" t="s">
        <v>11187</v>
      </c>
      <c r="AU124" t="s">
        <v>11228</v>
      </c>
      <c r="AV124" t="s">
        <v>11230</v>
      </c>
      <c r="AW124" t="s">
        <v>6816</v>
      </c>
      <c r="AX124" t="s">
        <v>6819</v>
      </c>
    </row>
    <row r="125" spans="1:50">
      <c r="A125" s="1">
        <f>HYPERLINK("https://lsnyc.legalserver.org/matter/dynamic-profile/view/1896705","19-1896705")</f>
        <v>0</v>
      </c>
      <c r="B125" t="s">
        <v>103</v>
      </c>
      <c r="C125" t="s">
        <v>423</v>
      </c>
      <c r="D125" t="s">
        <v>1641</v>
      </c>
      <c r="E125" t="s">
        <v>3196</v>
      </c>
      <c r="F125" t="s">
        <v>5142</v>
      </c>
      <c r="G125" t="s">
        <v>5635</v>
      </c>
      <c r="H125">
        <v>10462</v>
      </c>
      <c r="I125" t="s">
        <v>5695</v>
      </c>
      <c r="J125" t="s">
        <v>5695</v>
      </c>
      <c r="K125" t="s">
        <v>5761</v>
      </c>
      <c r="L125" t="s">
        <v>6714</v>
      </c>
      <c r="M125" t="s">
        <v>6732</v>
      </c>
      <c r="N125" t="s">
        <v>6739</v>
      </c>
      <c r="O125" t="s">
        <v>6763</v>
      </c>
      <c r="P125" t="s">
        <v>5697</v>
      </c>
      <c r="R125" t="s">
        <v>6793</v>
      </c>
      <c r="S125" t="s">
        <v>6801</v>
      </c>
      <c r="U125">
        <v>1525.4</v>
      </c>
      <c r="V125" t="s">
        <v>6833</v>
      </c>
      <c r="W125" t="s">
        <v>6839</v>
      </c>
      <c r="X125" t="s">
        <v>6857</v>
      </c>
      <c r="Y125" t="s">
        <v>6992</v>
      </c>
      <c r="AA125" t="s">
        <v>9182</v>
      </c>
      <c r="AB125">
        <v>71</v>
      </c>
      <c r="AC125" t="s">
        <v>10929</v>
      </c>
      <c r="AD125" t="s">
        <v>5741</v>
      </c>
      <c r="AE125">
        <v>12</v>
      </c>
      <c r="AF125">
        <v>2</v>
      </c>
      <c r="AG125">
        <v>0</v>
      </c>
      <c r="AH125">
        <v>231.98</v>
      </c>
      <c r="AK125" t="s">
        <v>10967</v>
      </c>
      <c r="AL125">
        <v>39228</v>
      </c>
      <c r="AM125" t="s">
        <v>11007</v>
      </c>
      <c r="AR125">
        <v>4.1</v>
      </c>
      <c r="AS125" t="s">
        <v>11140</v>
      </c>
      <c r="AT125" t="s">
        <v>11179</v>
      </c>
      <c r="AV125" t="s">
        <v>11230</v>
      </c>
      <c r="AW125" t="s">
        <v>11122</v>
      </c>
      <c r="AX125" t="s">
        <v>11117</v>
      </c>
    </row>
    <row r="126" spans="1:50">
      <c r="A126" s="1">
        <f>HYPERLINK("https://lsnyc.legalserver.org/matter/dynamic-profile/view/1904413","19-1904413")</f>
        <v>0</v>
      </c>
      <c r="B126" t="s">
        <v>53</v>
      </c>
      <c r="C126" t="s">
        <v>424</v>
      </c>
      <c r="D126" t="s">
        <v>1745</v>
      </c>
      <c r="E126" t="s">
        <v>3197</v>
      </c>
      <c r="F126">
        <v>2</v>
      </c>
      <c r="G126" t="s">
        <v>5635</v>
      </c>
      <c r="H126">
        <v>10461</v>
      </c>
      <c r="I126" t="s">
        <v>5695</v>
      </c>
      <c r="J126" t="s">
        <v>5696</v>
      </c>
      <c r="K126" t="s">
        <v>5762</v>
      </c>
      <c r="L126" t="s">
        <v>6714</v>
      </c>
      <c r="M126" t="s">
        <v>6732</v>
      </c>
      <c r="N126" t="s">
        <v>6739</v>
      </c>
      <c r="O126" t="s">
        <v>6747</v>
      </c>
      <c r="R126" t="s">
        <v>6793</v>
      </c>
      <c r="S126" t="s">
        <v>6804</v>
      </c>
      <c r="U126">
        <v>1900</v>
      </c>
      <c r="V126" t="s">
        <v>6833</v>
      </c>
      <c r="W126" t="s">
        <v>6839</v>
      </c>
      <c r="X126" t="s">
        <v>6857</v>
      </c>
      <c r="Y126" t="s">
        <v>6993</v>
      </c>
      <c r="AA126" t="s">
        <v>9183</v>
      </c>
      <c r="AB126">
        <v>3</v>
      </c>
      <c r="AC126" t="s">
        <v>10930</v>
      </c>
      <c r="AE126">
        <v>1</v>
      </c>
      <c r="AF126">
        <v>2</v>
      </c>
      <c r="AG126">
        <v>1</v>
      </c>
      <c r="AH126">
        <v>48.76</v>
      </c>
      <c r="AK126" t="s">
        <v>10966</v>
      </c>
      <c r="AL126">
        <v>10400</v>
      </c>
      <c r="AR126">
        <v>0.4</v>
      </c>
      <c r="AS126" t="s">
        <v>6819</v>
      </c>
      <c r="AT126" t="s">
        <v>139</v>
      </c>
      <c r="AU126" t="s">
        <v>11228</v>
      </c>
      <c r="AV126" t="s">
        <v>11230</v>
      </c>
      <c r="AW126" t="s">
        <v>6815</v>
      </c>
      <c r="AX126" t="s">
        <v>6819</v>
      </c>
    </row>
    <row r="127" spans="1:50">
      <c r="A127" s="1">
        <f>HYPERLINK("https://lsnyc.legalserver.org/matter/dynamic-profile/view/1900077","19-1900077")</f>
        <v>0</v>
      </c>
      <c r="B127" t="s">
        <v>61</v>
      </c>
      <c r="C127" t="s">
        <v>425</v>
      </c>
      <c r="D127" t="s">
        <v>1746</v>
      </c>
      <c r="E127" t="s">
        <v>3198</v>
      </c>
      <c r="G127" t="s">
        <v>5644</v>
      </c>
      <c r="H127">
        <v>11433</v>
      </c>
      <c r="I127" t="s">
        <v>5697</v>
      </c>
      <c r="J127" t="s">
        <v>5696</v>
      </c>
      <c r="K127" t="s">
        <v>5763</v>
      </c>
      <c r="L127" t="s">
        <v>6714</v>
      </c>
      <c r="M127" t="s">
        <v>6732</v>
      </c>
      <c r="N127" t="s">
        <v>6739</v>
      </c>
      <c r="O127" t="s">
        <v>6753</v>
      </c>
      <c r="P127" t="s">
        <v>5697</v>
      </c>
      <c r="R127" t="s">
        <v>6793</v>
      </c>
      <c r="S127" t="s">
        <v>6803</v>
      </c>
      <c r="U127">
        <v>1521</v>
      </c>
      <c r="V127" t="s">
        <v>6837</v>
      </c>
      <c r="X127" t="s">
        <v>6857</v>
      </c>
      <c r="Z127" t="s">
        <v>5773</v>
      </c>
      <c r="AB127">
        <v>2</v>
      </c>
      <c r="AC127" t="s">
        <v>10930</v>
      </c>
      <c r="AD127" t="s">
        <v>10944</v>
      </c>
      <c r="AE127">
        <v>0</v>
      </c>
      <c r="AF127">
        <v>2</v>
      </c>
      <c r="AG127">
        <v>0</v>
      </c>
      <c r="AH127">
        <v>230.02</v>
      </c>
      <c r="AK127" t="s">
        <v>10966</v>
      </c>
      <c r="AL127">
        <v>38896</v>
      </c>
      <c r="AR127">
        <v>1.3</v>
      </c>
      <c r="AS127" t="s">
        <v>11149</v>
      </c>
      <c r="AT127" t="s">
        <v>61</v>
      </c>
      <c r="AV127" t="s">
        <v>11230</v>
      </c>
      <c r="AW127" t="s">
        <v>10954</v>
      </c>
      <c r="AX127" t="s">
        <v>11149</v>
      </c>
    </row>
    <row r="128" spans="1:50">
      <c r="A128" s="1">
        <f>HYPERLINK("https://lsnyc.legalserver.org/matter/dynamic-profile/view/1905395","19-1905395")</f>
        <v>0</v>
      </c>
      <c r="B128" t="s">
        <v>53</v>
      </c>
      <c r="C128" t="s">
        <v>426</v>
      </c>
      <c r="D128" t="s">
        <v>1747</v>
      </c>
      <c r="E128" t="s">
        <v>3199</v>
      </c>
      <c r="G128" t="s">
        <v>5635</v>
      </c>
      <c r="H128">
        <v>10458</v>
      </c>
      <c r="I128" t="s">
        <v>5695</v>
      </c>
      <c r="J128" t="s">
        <v>5696</v>
      </c>
      <c r="K128" t="s">
        <v>5764</v>
      </c>
      <c r="L128" t="s">
        <v>6714</v>
      </c>
      <c r="M128" t="s">
        <v>6732</v>
      </c>
      <c r="N128" t="s">
        <v>6739</v>
      </c>
      <c r="O128" t="s">
        <v>6747</v>
      </c>
      <c r="R128" t="s">
        <v>6793</v>
      </c>
      <c r="S128" t="s">
        <v>6801</v>
      </c>
      <c r="U128">
        <v>1600</v>
      </c>
      <c r="V128" t="s">
        <v>6833</v>
      </c>
      <c r="X128" t="s">
        <v>6857</v>
      </c>
      <c r="Y128" t="s">
        <v>6994</v>
      </c>
      <c r="AB128">
        <v>0</v>
      </c>
      <c r="AC128" t="s">
        <v>10929</v>
      </c>
      <c r="AE128">
        <v>4</v>
      </c>
      <c r="AF128">
        <v>1</v>
      </c>
      <c r="AG128">
        <v>0</v>
      </c>
      <c r="AH128">
        <v>249.8</v>
      </c>
      <c r="AK128" t="s">
        <v>10966</v>
      </c>
      <c r="AL128">
        <v>31200</v>
      </c>
      <c r="AR128">
        <v>0.3</v>
      </c>
      <c r="AS128" t="s">
        <v>6827</v>
      </c>
      <c r="AT128" t="s">
        <v>139</v>
      </c>
      <c r="AU128" t="s">
        <v>11228</v>
      </c>
      <c r="AV128" t="s">
        <v>11230</v>
      </c>
      <c r="AW128" t="s">
        <v>6822</v>
      </c>
      <c r="AX128" t="s">
        <v>6827</v>
      </c>
    </row>
    <row r="129" spans="1:50">
      <c r="A129" s="1">
        <f>HYPERLINK("https://lsnyc.legalserver.org/matter/dynamic-profile/view/1896940","19-1896940")</f>
        <v>0</v>
      </c>
      <c r="B129" t="s">
        <v>106</v>
      </c>
      <c r="C129" t="s">
        <v>427</v>
      </c>
      <c r="D129" t="s">
        <v>1748</v>
      </c>
      <c r="E129" t="s">
        <v>3200</v>
      </c>
      <c r="F129" t="s">
        <v>5162</v>
      </c>
      <c r="G129" t="s">
        <v>5635</v>
      </c>
      <c r="H129">
        <v>10474</v>
      </c>
      <c r="I129" t="s">
        <v>5695</v>
      </c>
      <c r="J129" t="s">
        <v>5695</v>
      </c>
      <c r="K129" t="s">
        <v>5765</v>
      </c>
      <c r="L129" t="s">
        <v>6714</v>
      </c>
      <c r="M129" t="s">
        <v>6732</v>
      </c>
      <c r="N129" t="s">
        <v>6739</v>
      </c>
      <c r="O129" t="s">
        <v>6747</v>
      </c>
      <c r="R129" t="s">
        <v>6793</v>
      </c>
      <c r="U129">
        <v>1190.57</v>
      </c>
      <c r="V129" t="s">
        <v>6833</v>
      </c>
      <c r="W129" t="s">
        <v>6840</v>
      </c>
      <c r="X129" t="s">
        <v>6857</v>
      </c>
      <c r="Y129" t="s">
        <v>6995</v>
      </c>
      <c r="AB129">
        <v>44</v>
      </c>
      <c r="AC129" t="s">
        <v>10934</v>
      </c>
      <c r="AD129" t="s">
        <v>10944</v>
      </c>
      <c r="AE129">
        <v>14</v>
      </c>
      <c r="AF129">
        <v>2</v>
      </c>
      <c r="AG129">
        <v>3</v>
      </c>
      <c r="AH129">
        <v>70.17</v>
      </c>
      <c r="AK129" t="s">
        <v>10966</v>
      </c>
      <c r="AL129">
        <v>21171</v>
      </c>
      <c r="AM129" t="s">
        <v>10998</v>
      </c>
      <c r="AR129">
        <v>0.15</v>
      </c>
      <c r="AS129" t="s">
        <v>11128</v>
      </c>
      <c r="AT129" t="s">
        <v>11200</v>
      </c>
      <c r="AU129" t="s">
        <v>11228</v>
      </c>
      <c r="AV129" t="s">
        <v>11230</v>
      </c>
      <c r="AW129" t="s">
        <v>11130</v>
      </c>
      <c r="AX129" t="s">
        <v>11148</v>
      </c>
    </row>
    <row r="130" spans="1:50">
      <c r="A130" s="1">
        <f>HYPERLINK("https://lsnyc.legalserver.org/matter/dynamic-profile/view/1902410","19-1902410")</f>
        <v>0</v>
      </c>
      <c r="B130" t="s">
        <v>70</v>
      </c>
      <c r="C130" t="s">
        <v>428</v>
      </c>
      <c r="D130" t="s">
        <v>1749</v>
      </c>
      <c r="E130" t="s">
        <v>3201</v>
      </c>
      <c r="F130" t="s">
        <v>5163</v>
      </c>
      <c r="G130" t="s">
        <v>5637</v>
      </c>
      <c r="H130">
        <v>11209</v>
      </c>
      <c r="I130" t="s">
        <v>5696</v>
      </c>
      <c r="J130" t="s">
        <v>5696</v>
      </c>
      <c r="K130" t="s">
        <v>5766</v>
      </c>
      <c r="L130" t="s">
        <v>6714</v>
      </c>
      <c r="M130" t="s">
        <v>6732</v>
      </c>
      <c r="N130" t="s">
        <v>6739</v>
      </c>
      <c r="O130" t="s">
        <v>6756</v>
      </c>
      <c r="P130" t="s">
        <v>5697</v>
      </c>
      <c r="R130" t="s">
        <v>6793</v>
      </c>
      <c r="S130" t="s">
        <v>6801</v>
      </c>
      <c r="U130">
        <v>1330.09</v>
      </c>
      <c r="V130" t="s">
        <v>6835</v>
      </c>
      <c r="W130" t="s">
        <v>6838</v>
      </c>
      <c r="X130" t="s">
        <v>6857</v>
      </c>
      <c r="Y130" t="s">
        <v>6996</v>
      </c>
      <c r="AB130">
        <v>0</v>
      </c>
      <c r="AC130" t="s">
        <v>10929</v>
      </c>
      <c r="AE130">
        <v>14</v>
      </c>
      <c r="AF130">
        <v>1</v>
      </c>
      <c r="AG130">
        <v>0</v>
      </c>
      <c r="AH130">
        <v>0</v>
      </c>
      <c r="AK130" t="s">
        <v>10966</v>
      </c>
      <c r="AL130">
        <v>0</v>
      </c>
      <c r="AR130">
        <v>2.8</v>
      </c>
      <c r="AS130" t="s">
        <v>11138</v>
      </c>
      <c r="AT130" t="s">
        <v>70</v>
      </c>
      <c r="AV130" t="s">
        <v>11230</v>
      </c>
      <c r="AW130" t="s">
        <v>11140</v>
      </c>
      <c r="AX130" t="s">
        <v>11139</v>
      </c>
    </row>
    <row r="131" spans="1:50">
      <c r="A131" s="1">
        <f>HYPERLINK("https://lsnyc.legalserver.org/matter/dynamic-profile/view/1901911","19-1901911")</f>
        <v>0</v>
      </c>
      <c r="B131" t="s">
        <v>103</v>
      </c>
      <c r="C131" t="s">
        <v>407</v>
      </c>
      <c r="D131" t="s">
        <v>1750</v>
      </c>
      <c r="E131" t="s">
        <v>3202</v>
      </c>
      <c r="F131" t="s">
        <v>5164</v>
      </c>
      <c r="G131" t="s">
        <v>5635</v>
      </c>
      <c r="H131">
        <v>10453</v>
      </c>
      <c r="I131" t="s">
        <v>5697</v>
      </c>
      <c r="J131" t="s">
        <v>5696</v>
      </c>
      <c r="K131" t="s">
        <v>5767</v>
      </c>
      <c r="L131" t="s">
        <v>6714</v>
      </c>
      <c r="M131" t="s">
        <v>6732</v>
      </c>
      <c r="N131" t="s">
        <v>6739</v>
      </c>
      <c r="O131" t="s">
        <v>6748</v>
      </c>
      <c r="P131" t="s">
        <v>5697</v>
      </c>
      <c r="Q131" t="s">
        <v>6748</v>
      </c>
      <c r="R131" t="s">
        <v>6793</v>
      </c>
      <c r="S131" t="s">
        <v>6801</v>
      </c>
      <c r="U131">
        <v>1503.44</v>
      </c>
      <c r="V131" t="s">
        <v>6833</v>
      </c>
      <c r="X131" t="s">
        <v>6857</v>
      </c>
      <c r="Y131" t="s">
        <v>6997</v>
      </c>
      <c r="AB131">
        <v>0</v>
      </c>
      <c r="AC131" t="s">
        <v>10929</v>
      </c>
      <c r="AD131" t="s">
        <v>10944</v>
      </c>
      <c r="AE131">
        <v>17</v>
      </c>
      <c r="AF131">
        <v>2</v>
      </c>
      <c r="AG131">
        <v>1</v>
      </c>
      <c r="AH131">
        <v>15</v>
      </c>
      <c r="AK131" t="s">
        <v>10966</v>
      </c>
      <c r="AL131">
        <v>3200</v>
      </c>
      <c r="AM131" t="s">
        <v>11008</v>
      </c>
      <c r="AR131">
        <v>1.7</v>
      </c>
      <c r="AS131" t="s">
        <v>6821</v>
      </c>
      <c r="AT131" t="s">
        <v>288</v>
      </c>
      <c r="AU131" t="s">
        <v>5741</v>
      </c>
      <c r="AV131" t="s">
        <v>11230</v>
      </c>
      <c r="AW131" t="s">
        <v>11150</v>
      </c>
      <c r="AX131" t="s">
        <v>6821</v>
      </c>
    </row>
    <row r="132" spans="1:50">
      <c r="A132" s="1">
        <f>HYPERLINK("https://lsnyc.legalserver.org/matter/dynamic-profile/view/1899903","19-1899903")</f>
        <v>0</v>
      </c>
      <c r="B132" t="s">
        <v>107</v>
      </c>
      <c r="C132" t="s">
        <v>429</v>
      </c>
      <c r="D132" t="s">
        <v>1751</v>
      </c>
      <c r="E132" t="s">
        <v>3203</v>
      </c>
      <c r="F132" t="s">
        <v>5130</v>
      </c>
      <c r="G132" t="s">
        <v>5635</v>
      </c>
      <c r="H132">
        <v>10452</v>
      </c>
      <c r="I132" t="s">
        <v>5697</v>
      </c>
      <c r="J132" t="s">
        <v>5696</v>
      </c>
      <c r="K132" t="s">
        <v>5768</v>
      </c>
      <c r="L132" t="s">
        <v>6714</v>
      </c>
      <c r="M132" t="s">
        <v>6732</v>
      </c>
      <c r="N132" t="s">
        <v>6739</v>
      </c>
      <c r="O132" t="s">
        <v>6748</v>
      </c>
      <c r="P132" t="s">
        <v>5697</v>
      </c>
      <c r="R132" t="s">
        <v>6793</v>
      </c>
      <c r="U132">
        <v>1183</v>
      </c>
      <c r="V132" t="s">
        <v>6833</v>
      </c>
      <c r="X132" t="s">
        <v>6857</v>
      </c>
      <c r="Y132" t="s">
        <v>6998</v>
      </c>
      <c r="AB132">
        <v>60</v>
      </c>
      <c r="AC132" t="s">
        <v>10936</v>
      </c>
      <c r="AD132" t="s">
        <v>5741</v>
      </c>
      <c r="AE132">
        <v>18</v>
      </c>
      <c r="AF132">
        <v>2</v>
      </c>
      <c r="AG132">
        <v>2</v>
      </c>
      <c r="AH132">
        <v>181.75</v>
      </c>
      <c r="AK132" t="s">
        <v>10966</v>
      </c>
      <c r="AL132">
        <v>46800</v>
      </c>
      <c r="AM132" t="s">
        <v>11009</v>
      </c>
      <c r="AR132">
        <v>1.35</v>
      </c>
      <c r="AS132" t="s">
        <v>10957</v>
      </c>
      <c r="AT132" t="s">
        <v>11189</v>
      </c>
      <c r="AU132" t="s">
        <v>5741</v>
      </c>
      <c r="AV132" t="s">
        <v>11230</v>
      </c>
      <c r="AW132" t="s">
        <v>11132</v>
      </c>
      <c r="AX132" t="s">
        <v>11143</v>
      </c>
    </row>
    <row r="133" spans="1:50">
      <c r="A133" s="1">
        <f>HYPERLINK("https://lsnyc.legalserver.org/matter/dynamic-profile/view/1905253","19-1905253")</f>
        <v>0</v>
      </c>
      <c r="B133" t="s">
        <v>53</v>
      </c>
      <c r="C133" t="s">
        <v>430</v>
      </c>
      <c r="D133" t="s">
        <v>1752</v>
      </c>
      <c r="E133" t="s">
        <v>3204</v>
      </c>
      <c r="F133" t="s">
        <v>5160</v>
      </c>
      <c r="G133" t="s">
        <v>5635</v>
      </c>
      <c r="H133">
        <v>10455</v>
      </c>
      <c r="I133" t="s">
        <v>5695</v>
      </c>
      <c r="J133" t="s">
        <v>5696</v>
      </c>
      <c r="K133" t="s">
        <v>5769</v>
      </c>
      <c r="L133" t="s">
        <v>6714</v>
      </c>
      <c r="M133" t="s">
        <v>6732</v>
      </c>
      <c r="N133" t="s">
        <v>6739</v>
      </c>
      <c r="O133" t="s">
        <v>6747</v>
      </c>
      <c r="P133" t="s">
        <v>5697</v>
      </c>
      <c r="R133" t="s">
        <v>6793</v>
      </c>
      <c r="S133" t="s">
        <v>6804</v>
      </c>
      <c r="U133">
        <v>1518</v>
      </c>
      <c r="V133" t="s">
        <v>6833</v>
      </c>
      <c r="X133" t="s">
        <v>6857</v>
      </c>
      <c r="Y133" t="s">
        <v>6999</v>
      </c>
      <c r="AB133">
        <v>49</v>
      </c>
      <c r="AE133">
        <v>3</v>
      </c>
      <c r="AF133">
        <v>3</v>
      </c>
      <c r="AG133">
        <v>0</v>
      </c>
      <c r="AH133">
        <v>16.88</v>
      </c>
      <c r="AK133" t="s">
        <v>10967</v>
      </c>
      <c r="AL133">
        <v>3600</v>
      </c>
      <c r="AR133">
        <v>0.3</v>
      </c>
      <c r="AS133" t="s">
        <v>6820</v>
      </c>
      <c r="AT133" t="s">
        <v>288</v>
      </c>
      <c r="AU133" t="s">
        <v>11228</v>
      </c>
      <c r="AV133" t="s">
        <v>11230</v>
      </c>
      <c r="AW133" t="s">
        <v>6808</v>
      </c>
      <c r="AX133" t="s">
        <v>6820</v>
      </c>
    </row>
    <row r="134" spans="1:50">
      <c r="A134" s="1">
        <f>HYPERLINK("https://lsnyc.legalserver.org/matter/dynamic-profile/view/1899248","19-1899248")</f>
        <v>0</v>
      </c>
      <c r="B134" t="s">
        <v>108</v>
      </c>
      <c r="C134" t="s">
        <v>431</v>
      </c>
      <c r="D134" t="s">
        <v>1753</v>
      </c>
      <c r="E134" t="s">
        <v>3205</v>
      </c>
      <c r="F134" t="s">
        <v>5161</v>
      </c>
      <c r="G134" t="s">
        <v>5635</v>
      </c>
      <c r="H134">
        <v>10467</v>
      </c>
      <c r="I134" t="s">
        <v>5695</v>
      </c>
      <c r="J134" t="s">
        <v>5696</v>
      </c>
      <c r="L134" t="s">
        <v>6714</v>
      </c>
      <c r="M134" t="s">
        <v>6732</v>
      </c>
      <c r="N134" t="s">
        <v>6739</v>
      </c>
      <c r="O134" t="s">
        <v>6763</v>
      </c>
      <c r="P134" t="s">
        <v>5697</v>
      </c>
      <c r="R134" t="s">
        <v>6793</v>
      </c>
      <c r="S134" t="s">
        <v>6804</v>
      </c>
      <c r="U134">
        <v>952</v>
      </c>
      <c r="V134" t="s">
        <v>6833</v>
      </c>
      <c r="W134" t="s">
        <v>6840</v>
      </c>
      <c r="X134" t="s">
        <v>6857</v>
      </c>
      <c r="Y134" t="s">
        <v>7000</v>
      </c>
      <c r="AB134">
        <v>0</v>
      </c>
      <c r="AC134" t="s">
        <v>10929</v>
      </c>
      <c r="AE134">
        <v>5</v>
      </c>
      <c r="AF134">
        <v>2</v>
      </c>
      <c r="AG134">
        <v>1</v>
      </c>
      <c r="AH134">
        <v>210.97</v>
      </c>
      <c r="AK134" t="s">
        <v>10967</v>
      </c>
      <c r="AL134">
        <v>45000</v>
      </c>
      <c r="AM134" t="s">
        <v>11010</v>
      </c>
      <c r="AR134">
        <v>1.2</v>
      </c>
      <c r="AS134" t="s">
        <v>11128</v>
      </c>
      <c r="AT134" t="s">
        <v>11179</v>
      </c>
      <c r="AU134" t="s">
        <v>11228</v>
      </c>
      <c r="AV134" t="s">
        <v>11230</v>
      </c>
      <c r="AW134" t="s">
        <v>11126</v>
      </c>
      <c r="AX134" t="s">
        <v>11132</v>
      </c>
    </row>
    <row r="135" spans="1:50">
      <c r="A135" s="1">
        <f>HYPERLINK("https://lsnyc.legalserver.org/matter/dynamic-profile/view/1896599","19-1896599")</f>
        <v>0</v>
      </c>
      <c r="B135" t="s">
        <v>53</v>
      </c>
      <c r="C135" t="s">
        <v>432</v>
      </c>
      <c r="D135" t="s">
        <v>921</v>
      </c>
      <c r="E135" t="s">
        <v>3206</v>
      </c>
      <c r="F135" t="s">
        <v>5165</v>
      </c>
      <c r="G135" t="s">
        <v>5635</v>
      </c>
      <c r="H135">
        <v>10456</v>
      </c>
      <c r="I135" t="s">
        <v>5695</v>
      </c>
      <c r="J135" t="s">
        <v>5697</v>
      </c>
      <c r="K135" t="s">
        <v>5770</v>
      </c>
      <c r="L135" t="s">
        <v>6714</v>
      </c>
      <c r="M135" t="s">
        <v>6732</v>
      </c>
      <c r="N135" t="s">
        <v>6739</v>
      </c>
      <c r="O135" t="s">
        <v>6747</v>
      </c>
      <c r="P135" t="s">
        <v>5697</v>
      </c>
      <c r="R135" t="s">
        <v>6793</v>
      </c>
      <c r="U135">
        <v>1350</v>
      </c>
      <c r="V135" t="s">
        <v>6833</v>
      </c>
      <c r="X135" t="s">
        <v>6857</v>
      </c>
      <c r="Y135" t="s">
        <v>7001</v>
      </c>
      <c r="AB135">
        <v>0</v>
      </c>
      <c r="AE135">
        <v>0</v>
      </c>
      <c r="AF135">
        <v>4</v>
      </c>
      <c r="AG135">
        <v>0</v>
      </c>
      <c r="AH135">
        <v>111.07</v>
      </c>
      <c r="AK135" t="s">
        <v>10967</v>
      </c>
      <c r="AL135">
        <v>28600</v>
      </c>
      <c r="AM135" t="s">
        <v>11011</v>
      </c>
      <c r="AR135">
        <v>1</v>
      </c>
      <c r="AS135" t="s">
        <v>11125</v>
      </c>
      <c r="AT135" t="s">
        <v>11179</v>
      </c>
      <c r="AV135" t="s">
        <v>11230</v>
      </c>
      <c r="AW135" t="s">
        <v>11154</v>
      </c>
      <c r="AX135" t="s">
        <v>11125</v>
      </c>
    </row>
    <row r="136" spans="1:50">
      <c r="A136" s="1">
        <f>HYPERLINK("https://lsnyc.legalserver.org/matter/dynamic-profile/view/1902588","19-1902588")</f>
        <v>0</v>
      </c>
      <c r="B136" t="s">
        <v>109</v>
      </c>
      <c r="C136" t="s">
        <v>433</v>
      </c>
      <c r="D136" t="s">
        <v>1754</v>
      </c>
      <c r="E136" t="s">
        <v>3207</v>
      </c>
      <c r="F136" t="s">
        <v>5161</v>
      </c>
      <c r="G136" t="s">
        <v>5635</v>
      </c>
      <c r="H136">
        <v>10473</v>
      </c>
      <c r="I136" t="s">
        <v>5695</v>
      </c>
      <c r="J136" t="s">
        <v>5696</v>
      </c>
      <c r="K136" t="s">
        <v>5771</v>
      </c>
      <c r="L136" t="s">
        <v>6714</v>
      </c>
      <c r="M136" t="s">
        <v>6732</v>
      </c>
      <c r="N136" t="s">
        <v>6739</v>
      </c>
      <c r="O136" t="s">
        <v>6764</v>
      </c>
      <c r="P136" t="s">
        <v>5697</v>
      </c>
      <c r="R136" t="s">
        <v>6793</v>
      </c>
      <c r="U136">
        <v>1718</v>
      </c>
      <c r="V136" t="s">
        <v>6833</v>
      </c>
      <c r="X136" t="s">
        <v>6857</v>
      </c>
      <c r="Y136" t="s">
        <v>7002</v>
      </c>
      <c r="AB136">
        <v>157</v>
      </c>
      <c r="AC136" t="s">
        <v>10929</v>
      </c>
      <c r="AD136" t="s">
        <v>10944</v>
      </c>
      <c r="AE136">
        <v>20</v>
      </c>
      <c r="AF136">
        <v>1</v>
      </c>
      <c r="AG136">
        <v>2</v>
      </c>
      <c r="AH136">
        <v>43.38</v>
      </c>
      <c r="AL136">
        <v>9252</v>
      </c>
      <c r="AM136" t="s">
        <v>11012</v>
      </c>
      <c r="AR136">
        <v>2.75</v>
      </c>
      <c r="AS136" t="s">
        <v>11131</v>
      </c>
      <c r="AT136" t="s">
        <v>288</v>
      </c>
      <c r="AU136" t="s">
        <v>5741</v>
      </c>
      <c r="AV136" t="s">
        <v>11230</v>
      </c>
      <c r="AW136" t="s">
        <v>11116</v>
      </c>
      <c r="AX136" t="s">
        <v>11131</v>
      </c>
    </row>
    <row r="137" spans="1:50">
      <c r="A137" s="1">
        <f>HYPERLINK("https://lsnyc.legalserver.org/matter/dynamic-profile/view/1903190","19-1903190")</f>
        <v>0</v>
      </c>
      <c r="B137" t="s">
        <v>89</v>
      </c>
      <c r="C137" t="s">
        <v>434</v>
      </c>
      <c r="D137" t="s">
        <v>1755</v>
      </c>
      <c r="E137" t="s">
        <v>3208</v>
      </c>
      <c r="F137" t="s">
        <v>5093</v>
      </c>
      <c r="G137" t="s">
        <v>5636</v>
      </c>
      <c r="H137">
        <v>10310</v>
      </c>
      <c r="I137" t="s">
        <v>5696</v>
      </c>
      <c r="J137" t="s">
        <v>5696</v>
      </c>
      <c r="K137" t="s">
        <v>5772</v>
      </c>
      <c r="L137" t="s">
        <v>6715</v>
      </c>
      <c r="M137" t="s">
        <v>6732</v>
      </c>
      <c r="N137" t="s">
        <v>6739</v>
      </c>
      <c r="O137" t="s">
        <v>6751</v>
      </c>
      <c r="P137" t="s">
        <v>5697</v>
      </c>
      <c r="R137" t="s">
        <v>6794</v>
      </c>
      <c r="U137">
        <v>280</v>
      </c>
      <c r="V137" t="s">
        <v>6834</v>
      </c>
      <c r="W137" t="s">
        <v>6843</v>
      </c>
      <c r="X137" t="s">
        <v>6857</v>
      </c>
      <c r="Y137" t="s">
        <v>7003</v>
      </c>
      <c r="AA137" t="s">
        <v>9184</v>
      </c>
      <c r="AB137">
        <v>0</v>
      </c>
      <c r="AC137" t="s">
        <v>10934</v>
      </c>
      <c r="AD137" t="s">
        <v>5741</v>
      </c>
      <c r="AE137">
        <v>11</v>
      </c>
      <c r="AF137">
        <v>1</v>
      </c>
      <c r="AG137">
        <v>0</v>
      </c>
      <c r="AH137">
        <v>8.74</v>
      </c>
      <c r="AK137" t="s">
        <v>10966</v>
      </c>
      <c r="AL137">
        <v>1092</v>
      </c>
      <c r="AR137">
        <v>2.2</v>
      </c>
      <c r="AS137" t="s">
        <v>11144</v>
      </c>
      <c r="AT137" t="s">
        <v>11177</v>
      </c>
      <c r="AV137" t="s">
        <v>11230</v>
      </c>
      <c r="AW137" t="s">
        <v>11136</v>
      </c>
      <c r="AX137" t="s">
        <v>6821</v>
      </c>
    </row>
    <row r="138" spans="1:50">
      <c r="A138" s="1">
        <f>HYPERLINK("https://lsnyc.legalserver.org/matter/dynamic-profile/view/1898293","19-1898293")</f>
        <v>0</v>
      </c>
      <c r="B138" t="s">
        <v>89</v>
      </c>
      <c r="C138" t="s">
        <v>435</v>
      </c>
      <c r="D138" t="s">
        <v>1756</v>
      </c>
      <c r="E138" t="s">
        <v>3209</v>
      </c>
      <c r="F138" t="s">
        <v>5158</v>
      </c>
      <c r="G138" t="s">
        <v>5636</v>
      </c>
      <c r="H138">
        <v>10306</v>
      </c>
      <c r="I138" t="s">
        <v>5695</v>
      </c>
      <c r="J138" t="s">
        <v>5696</v>
      </c>
      <c r="L138" t="s">
        <v>6716</v>
      </c>
      <c r="M138" t="s">
        <v>6732</v>
      </c>
      <c r="N138" t="s">
        <v>6739</v>
      </c>
      <c r="O138" t="s">
        <v>6751</v>
      </c>
      <c r="P138" t="s">
        <v>5697</v>
      </c>
      <c r="R138" t="s">
        <v>6794</v>
      </c>
      <c r="U138">
        <v>259.6</v>
      </c>
      <c r="V138" t="s">
        <v>6834</v>
      </c>
      <c r="X138" t="s">
        <v>6857</v>
      </c>
      <c r="Y138" t="s">
        <v>7004</v>
      </c>
      <c r="AA138" t="s">
        <v>9185</v>
      </c>
      <c r="AB138">
        <v>0</v>
      </c>
      <c r="AC138" t="s">
        <v>10931</v>
      </c>
      <c r="AD138" t="s">
        <v>5741</v>
      </c>
      <c r="AE138">
        <v>13</v>
      </c>
      <c r="AF138">
        <v>2</v>
      </c>
      <c r="AG138">
        <v>0</v>
      </c>
      <c r="AH138">
        <v>62.59</v>
      </c>
      <c r="AK138" t="s">
        <v>10966</v>
      </c>
      <c r="AL138">
        <v>10584</v>
      </c>
      <c r="AR138">
        <v>2.8</v>
      </c>
      <c r="AS138" t="s">
        <v>6809</v>
      </c>
      <c r="AT138" t="s">
        <v>11177</v>
      </c>
      <c r="AU138" t="s">
        <v>11228</v>
      </c>
      <c r="AV138" t="s">
        <v>11230</v>
      </c>
      <c r="AW138" t="s">
        <v>11127</v>
      </c>
      <c r="AX138" t="s">
        <v>6821</v>
      </c>
    </row>
    <row r="139" spans="1:50">
      <c r="A139" s="1">
        <f>HYPERLINK("https://lsnyc.legalserver.org/matter/dynamic-profile/view/1904232","19-1904232")</f>
        <v>0</v>
      </c>
      <c r="B139" t="s">
        <v>108</v>
      </c>
      <c r="C139" t="s">
        <v>436</v>
      </c>
      <c r="D139" t="s">
        <v>1757</v>
      </c>
      <c r="E139" t="s">
        <v>3210</v>
      </c>
      <c r="F139" t="s">
        <v>5166</v>
      </c>
      <c r="G139" t="s">
        <v>5635</v>
      </c>
      <c r="H139">
        <v>10460</v>
      </c>
      <c r="I139" t="s">
        <v>5695</v>
      </c>
      <c r="J139" t="s">
        <v>5696</v>
      </c>
      <c r="K139" t="s">
        <v>5773</v>
      </c>
      <c r="L139" t="s">
        <v>6717</v>
      </c>
      <c r="M139" t="s">
        <v>6732</v>
      </c>
      <c r="N139" t="s">
        <v>6739</v>
      </c>
      <c r="O139" t="s">
        <v>6765</v>
      </c>
      <c r="P139" t="s">
        <v>5697</v>
      </c>
      <c r="R139" t="s">
        <v>6796</v>
      </c>
      <c r="S139" t="s">
        <v>6805</v>
      </c>
      <c r="U139">
        <v>1700</v>
      </c>
      <c r="V139" t="s">
        <v>6833</v>
      </c>
      <c r="W139" t="s">
        <v>6852</v>
      </c>
      <c r="X139" t="s">
        <v>6857</v>
      </c>
      <c r="Y139" t="s">
        <v>7005</v>
      </c>
      <c r="Z139" t="s">
        <v>8924</v>
      </c>
      <c r="AA139" t="s">
        <v>9186</v>
      </c>
      <c r="AB139">
        <v>169</v>
      </c>
      <c r="AC139" t="s">
        <v>10937</v>
      </c>
      <c r="AD139" t="s">
        <v>10944</v>
      </c>
      <c r="AE139">
        <v>4</v>
      </c>
      <c r="AF139">
        <v>1</v>
      </c>
      <c r="AG139">
        <v>2</v>
      </c>
      <c r="AH139">
        <v>23.65</v>
      </c>
      <c r="AK139" t="s">
        <v>10966</v>
      </c>
      <c r="AL139">
        <v>5044</v>
      </c>
      <c r="AR139">
        <v>0.3</v>
      </c>
      <c r="AS139" t="s">
        <v>6818</v>
      </c>
      <c r="AT139" t="s">
        <v>108</v>
      </c>
      <c r="AU139" t="s">
        <v>11228</v>
      </c>
      <c r="AV139" t="s">
        <v>11230</v>
      </c>
      <c r="AW139" t="s">
        <v>6818</v>
      </c>
      <c r="AX139" t="s">
        <v>6818</v>
      </c>
    </row>
    <row r="140" spans="1:50">
      <c r="A140" s="1">
        <f>HYPERLINK("https://lsnyc.legalserver.org/matter/dynamic-profile/view/1904267","19-1904267")</f>
        <v>0</v>
      </c>
      <c r="B140" t="s">
        <v>110</v>
      </c>
      <c r="C140" t="s">
        <v>437</v>
      </c>
      <c r="D140" t="s">
        <v>1758</v>
      </c>
      <c r="E140" t="s">
        <v>3211</v>
      </c>
      <c r="F140" t="s">
        <v>5100</v>
      </c>
      <c r="G140" t="s">
        <v>5638</v>
      </c>
      <c r="H140">
        <v>10032</v>
      </c>
      <c r="I140" t="s">
        <v>5695</v>
      </c>
      <c r="J140" t="s">
        <v>5696</v>
      </c>
      <c r="L140" t="s">
        <v>6718</v>
      </c>
      <c r="M140" t="s">
        <v>6732</v>
      </c>
      <c r="N140" t="s">
        <v>6739</v>
      </c>
      <c r="O140" t="s">
        <v>6745</v>
      </c>
      <c r="P140" t="s">
        <v>5697</v>
      </c>
      <c r="R140" t="s">
        <v>6793</v>
      </c>
      <c r="T140" t="s">
        <v>6813</v>
      </c>
      <c r="U140">
        <v>606</v>
      </c>
      <c r="V140" t="s">
        <v>6836</v>
      </c>
      <c r="W140" t="s">
        <v>6842</v>
      </c>
      <c r="X140" t="s">
        <v>6857</v>
      </c>
      <c r="Y140" t="s">
        <v>7006</v>
      </c>
      <c r="AA140" t="s">
        <v>9187</v>
      </c>
      <c r="AB140">
        <v>42</v>
      </c>
      <c r="AC140" t="s">
        <v>10938</v>
      </c>
      <c r="AD140" t="s">
        <v>5741</v>
      </c>
      <c r="AE140">
        <v>53</v>
      </c>
      <c r="AF140">
        <v>1</v>
      </c>
      <c r="AG140">
        <v>0</v>
      </c>
      <c r="AH140">
        <v>249.8</v>
      </c>
      <c r="AK140" t="s">
        <v>10966</v>
      </c>
      <c r="AL140">
        <v>31200</v>
      </c>
      <c r="AR140">
        <v>1.5</v>
      </c>
      <c r="AS140" t="s">
        <v>6809</v>
      </c>
      <c r="AT140" t="s">
        <v>11201</v>
      </c>
      <c r="AU140" t="s">
        <v>11228</v>
      </c>
      <c r="AV140" t="s">
        <v>11230</v>
      </c>
      <c r="AW140" t="s">
        <v>6813</v>
      </c>
      <c r="AX140" t="s">
        <v>6809</v>
      </c>
    </row>
    <row r="141" spans="1:50">
      <c r="A141" s="1">
        <f>HYPERLINK("https://lsnyc.legalserver.org/matter/dynamic-profile/view/1904892","19-1904892")</f>
        <v>0</v>
      </c>
      <c r="B141" t="s">
        <v>111</v>
      </c>
      <c r="C141" t="s">
        <v>438</v>
      </c>
      <c r="D141" t="s">
        <v>1759</v>
      </c>
      <c r="E141" t="s">
        <v>3212</v>
      </c>
      <c r="F141" t="s">
        <v>5162</v>
      </c>
      <c r="G141" t="s">
        <v>5638</v>
      </c>
      <c r="H141">
        <v>10033</v>
      </c>
      <c r="I141" t="s">
        <v>5695</v>
      </c>
      <c r="J141" t="s">
        <v>5696</v>
      </c>
      <c r="L141" t="s">
        <v>6718</v>
      </c>
      <c r="M141" t="s">
        <v>6732</v>
      </c>
      <c r="N141" t="s">
        <v>6739</v>
      </c>
      <c r="O141" t="s">
        <v>6745</v>
      </c>
      <c r="P141" t="s">
        <v>5697</v>
      </c>
      <c r="R141" t="s">
        <v>6793</v>
      </c>
      <c r="T141" t="s">
        <v>6812</v>
      </c>
      <c r="U141">
        <v>2100</v>
      </c>
      <c r="V141" t="s">
        <v>6836</v>
      </c>
      <c r="W141" t="s">
        <v>6842</v>
      </c>
      <c r="X141" t="s">
        <v>6857</v>
      </c>
      <c r="Y141" t="s">
        <v>7007</v>
      </c>
      <c r="AA141" t="s">
        <v>9188</v>
      </c>
      <c r="AB141">
        <v>95</v>
      </c>
      <c r="AC141" t="s">
        <v>10929</v>
      </c>
      <c r="AD141" t="s">
        <v>5741</v>
      </c>
      <c r="AE141">
        <v>2</v>
      </c>
      <c r="AF141">
        <v>2</v>
      </c>
      <c r="AG141">
        <v>0</v>
      </c>
      <c r="AH141">
        <v>709.64</v>
      </c>
      <c r="AK141" t="s">
        <v>10966</v>
      </c>
      <c r="AL141">
        <v>120000</v>
      </c>
      <c r="AR141">
        <v>1.1</v>
      </c>
      <c r="AS141" t="s">
        <v>6815</v>
      </c>
      <c r="AT141" t="s">
        <v>11201</v>
      </c>
      <c r="AU141" t="s">
        <v>11228</v>
      </c>
      <c r="AV141" t="s">
        <v>11230</v>
      </c>
      <c r="AW141" t="s">
        <v>6812</v>
      </c>
      <c r="AX141" t="s">
        <v>6824</v>
      </c>
    </row>
    <row r="142" spans="1:50">
      <c r="A142" s="1">
        <f>HYPERLINK("https://lsnyc.legalserver.org/matter/dynamic-profile/view/1904114","19-1904114")</f>
        <v>0</v>
      </c>
      <c r="B142" t="s">
        <v>108</v>
      </c>
      <c r="C142" t="s">
        <v>439</v>
      </c>
      <c r="D142" t="s">
        <v>1760</v>
      </c>
      <c r="E142" t="s">
        <v>3213</v>
      </c>
      <c r="F142" t="s">
        <v>5167</v>
      </c>
      <c r="G142" t="s">
        <v>5635</v>
      </c>
      <c r="H142">
        <v>10467</v>
      </c>
      <c r="I142" t="s">
        <v>5695</v>
      </c>
      <c r="J142" t="s">
        <v>5696</v>
      </c>
      <c r="L142" t="s">
        <v>6718</v>
      </c>
      <c r="M142" t="s">
        <v>6732</v>
      </c>
      <c r="N142" t="s">
        <v>6739</v>
      </c>
      <c r="O142" t="s">
        <v>6747</v>
      </c>
      <c r="P142" t="s">
        <v>5697</v>
      </c>
      <c r="R142" t="s">
        <v>6793</v>
      </c>
      <c r="S142" t="s">
        <v>6801</v>
      </c>
      <c r="U142">
        <v>970</v>
      </c>
      <c r="V142" t="s">
        <v>6833</v>
      </c>
      <c r="W142" t="s">
        <v>6842</v>
      </c>
      <c r="X142" t="s">
        <v>6857</v>
      </c>
      <c r="Y142" t="s">
        <v>7008</v>
      </c>
      <c r="AA142" t="s">
        <v>9189</v>
      </c>
      <c r="AB142">
        <v>84</v>
      </c>
      <c r="AC142" t="s">
        <v>10929</v>
      </c>
      <c r="AD142" t="s">
        <v>5741</v>
      </c>
      <c r="AE142">
        <v>3</v>
      </c>
      <c r="AF142">
        <v>1</v>
      </c>
      <c r="AG142">
        <v>0</v>
      </c>
      <c r="AH142">
        <v>124.9</v>
      </c>
      <c r="AK142" t="s">
        <v>10966</v>
      </c>
      <c r="AL142">
        <v>15600</v>
      </c>
      <c r="AR142">
        <v>0.5</v>
      </c>
      <c r="AS142" t="s">
        <v>6818</v>
      </c>
      <c r="AT142" t="s">
        <v>108</v>
      </c>
      <c r="AU142" t="s">
        <v>11228</v>
      </c>
      <c r="AV142" t="s">
        <v>11230</v>
      </c>
      <c r="AW142" t="s">
        <v>6818</v>
      </c>
      <c r="AX142" t="s">
        <v>6818</v>
      </c>
    </row>
    <row r="143" spans="1:50">
      <c r="A143" s="1">
        <f>HYPERLINK("https://lsnyc.legalserver.org/matter/dynamic-profile/view/1896512","19-1896512")</f>
        <v>0</v>
      </c>
      <c r="B143" t="s">
        <v>56</v>
      </c>
      <c r="C143" t="s">
        <v>415</v>
      </c>
      <c r="D143" t="s">
        <v>1761</v>
      </c>
      <c r="E143" t="s">
        <v>3214</v>
      </c>
      <c r="F143" t="s">
        <v>5168</v>
      </c>
      <c r="G143" t="s">
        <v>5637</v>
      </c>
      <c r="H143">
        <v>11225</v>
      </c>
      <c r="I143" t="s">
        <v>5696</v>
      </c>
      <c r="J143" t="s">
        <v>5696</v>
      </c>
      <c r="M143" t="s">
        <v>6732</v>
      </c>
      <c r="N143" t="s">
        <v>6739</v>
      </c>
      <c r="O143" t="s">
        <v>6753</v>
      </c>
      <c r="R143" t="s">
        <v>6793</v>
      </c>
      <c r="U143">
        <v>1400</v>
      </c>
      <c r="V143" t="s">
        <v>6835</v>
      </c>
      <c r="W143" t="s">
        <v>6841</v>
      </c>
      <c r="X143" t="s">
        <v>6857</v>
      </c>
      <c r="Y143" t="s">
        <v>7009</v>
      </c>
      <c r="AA143" t="s">
        <v>9190</v>
      </c>
      <c r="AB143">
        <v>60</v>
      </c>
      <c r="AC143" t="s">
        <v>8953</v>
      </c>
      <c r="AD143" t="s">
        <v>5741</v>
      </c>
      <c r="AE143">
        <v>10</v>
      </c>
      <c r="AF143">
        <v>1</v>
      </c>
      <c r="AG143">
        <v>0</v>
      </c>
      <c r="AH143">
        <v>153.72</v>
      </c>
      <c r="AK143" t="s">
        <v>10966</v>
      </c>
      <c r="AL143">
        <v>19200</v>
      </c>
      <c r="AR143">
        <v>1.5</v>
      </c>
      <c r="AS143" t="s">
        <v>11121</v>
      </c>
      <c r="AT143" t="s">
        <v>11180</v>
      </c>
      <c r="AV143" t="s">
        <v>11230</v>
      </c>
      <c r="AW143" t="s">
        <v>11154</v>
      </c>
      <c r="AX143" t="s">
        <v>11121</v>
      </c>
    </row>
    <row r="144" spans="1:50">
      <c r="A144" s="1">
        <f>HYPERLINK("https://lsnyc.legalserver.org/matter/dynamic-profile/view/1901354","19-1901354")</f>
        <v>0</v>
      </c>
      <c r="B144" t="s">
        <v>56</v>
      </c>
      <c r="C144" t="s">
        <v>440</v>
      </c>
      <c r="D144" t="s">
        <v>1762</v>
      </c>
      <c r="E144" t="s">
        <v>3215</v>
      </c>
      <c r="F144" t="s">
        <v>5169</v>
      </c>
      <c r="G144" t="s">
        <v>5637</v>
      </c>
      <c r="H144">
        <v>11203</v>
      </c>
      <c r="I144" t="s">
        <v>5696</v>
      </c>
      <c r="J144" t="s">
        <v>5696</v>
      </c>
      <c r="M144" t="s">
        <v>6732</v>
      </c>
      <c r="N144" t="s">
        <v>6739</v>
      </c>
      <c r="O144" t="s">
        <v>6753</v>
      </c>
      <c r="R144" t="s">
        <v>6793</v>
      </c>
      <c r="U144">
        <v>0</v>
      </c>
      <c r="V144" t="s">
        <v>6835</v>
      </c>
      <c r="X144" t="s">
        <v>6857</v>
      </c>
      <c r="Y144" t="s">
        <v>7010</v>
      </c>
      <c r="AA144" t="s">
        <v>9191</v>
      </c>
      <c r="AB144">
        <v>0</v>
      </c>
      <c r="AE144">
        <v>0</v>
      </c>
      <c r="AF144">
        <v>1</v>
      </c>
      <c r="AG144">
        <v>0</v>
      </c>
      <c r="AH144">
        <v>326.66</v>
      </c>
      <c r="AL144">
        <v>40800</v>
      </c>
      <c r="AR144">
        <v>0.1</v>
      </c>
      <c r="AS144" t="s">
        <v>11150</v>
      </c>
      <c r="AT144" t="s">
        <v>11202</v>
      </c>
      <c r="AV144" t="s">
        <v>11230</v>
      </c>
      <c r="AW144" t="s">
        <v>11148</v>
      </c>
      <c r="AX144" t="s">
        <v>11150</v>
      </c>
    </row>
    <row r="145" spans="1:50">
      <c r="A145" s="1">
        <f>HYPERLINK("https://lsnyc.legalserver.org/matter/dynamic-profile/view/1901946","19-1901946")</f>
        <v>0</v>
      </c>
      <c r="B145" t="s">
        <v>83</v>
      </c>
      <c r="C145" t="s">
        <v>441</v>
      </c>
      <c r="D145" t="s">
        <v>1763</v>
      </c>
      <c r="E145" t="s">
        <v>3216</v>
      </c>
      <c r="G145" t="s">
        <v>5637</v>
      </c>
      <c r="H145">
        <v>11224</v>
      </c>
      <c r="I145" t="s">
        <v>5696</v>
      </c>
      <c r="J145" t="s">
        <v>5696</v>
      </c>
      <c r="M145" t="s">
        <v>6732</v>
      </c>
      <c r="N145" t="s">
        <v>6739</v>
      </c>
      <c r="O145" t="s">
        <v>6758</v>
      </c>
      <c r="R145" t="s">
        <v>6793</v>
      </c>
      <c r="U145">
        <v>0</v>
      </c>
      <c r="V145" t="s">
        <v>6835</v>
      </c>
      <c r="X145" t="s">
        <v>6857</v>
      </c>
      <c r="Y145" t="s">
        <v>7011</v>
      </c>
      <c r="AA145" t="s">
        <v>9192</v>
      </c>
      <c r="AB145">
        <v>0</v>
      </c>
      <c r="AE145">
        <v>0</v>
      </c>
      <c r="AF145">
        <v>1</v>
      </c>
      <c r="AG145">
        <v>0</v>
      </c>
      <c r="AH145">
        <v>393.92</v>
      </c>
      <c r="AK145" t="s">
        <v>10966</v>
      </c>
      <c r="AL145">
        <v>49200</v>
      </c>
      <c r="AR145">
        <v>1</v>
      </c>
      <c r="AS145" t="s">
        <v>11131</v>
      </c>
      <c r="AT145" t="s">
        <v>11193</v>
      </c>
      <c r="AV145" t="s">
        <v>11230</v>
      </c>
      <c r="AW145" t="s">
        <v>11150</v>
      </c>
      <c r="AX145" t="s">
        <v>11131</v>
      </c>
    </row>
    <row r="146" spans="1:50">
      <c r="A146" s="1">
        <f>HYPERLINK("https://lsnyc.legalserver.org/matter/dynamic-profile/view/1896974","19-1896974")</f>
        <v>0</v>
      </c>
      <c r="B146" t="s">
        <v>112</v>
      </c>
      <c r="C146" t="s">
        <v>442</v>
      </c>
      <c r="D146" t="s">
        <v>1642</v>
      </c>
      <c r="E146" t="s">
        <v>3217</v>
      </c>
      <c r="F146" t="s">
        <v>5170</v>
      </c>
      <c r="G146" t="s">
        <v>5638</v>
      </c>
      <c r="H146">
        <v>10029</v>
      </c>
      <c r="I146" t="s">
        <v>5696</v>
      </c>
      <c r="J146" t="s">
        <v>5696</v>
      </c>
      <c r="M146" t="s">
        <v>6732</v>
      </c>
      <c r="N146" t="s">
        <v>6739</v>
      </c>
      <c r="O146" t="s">
        <v>6748</v>
      </c>
      <c r="R146" t="s">
        <v>6794</v>
      </c>
      <c r="U146">
        <v>420</v>
      </c>
      <c r="V146" t="s">
        <v>6836</v>
      </c>
      <c r="X146" t="s">
        <v>6857</v>
      </c>
      <c r="Y146" t="s">
        <v>7012</v>
      </c>
      <c r="AA146" t="s">
        <v>9193</v>
      </c>
      <c r="AB146">
        <v>56</v>
      </c>
      <c r="AE146">
        <v>19</v>
      </c>
      <c r="AF146">
        <v>1</v>
      </c>
      <c r="AG146">
        <v>2</v>
      </c>
      <c r="AH146">
        <v>21.33</v>
      </c>
      <c r="AK146" t="s">
        <v>10966</v>
      </c>
      <c r="AL146">
        <v>4550</v>
      </c>
      <c r="AR146">
        <v>1</v>
      </c>
      <c r="AS146" t="s">
        <v>11121</v>
      </c>
      <c r="AT146" t="s">
        <v>11192</v>
      </c>
      <c r="AV146" t="s">
        <v>11230</v>
      </c>
      <c r="AW146" t="s">
        <v>11121</v>
      </c>
      <c r="AX146" t="s">
        <v>10958</v>
      </c>
    </row>
    <row r="147" spans="1:50">
      <c r="A147" s="1">
        <f>HYPERLINK("https://lsnyc.legalserver.org/matter/dynamic-profile/view/1897184","19-1897184")</f>
        <v>0</v>
      </c>
      <c r="B147" t="s">
        <v>112</v>
      </c>
      <c r="C147" t="s">
        <v>443</v>
      </c>
      <c r="D147" t="s">
        <v>1166</v>
      </c>
      <c r="E147" t="s">
        <v>3218</v>
      </c>
      <c r="F147" t="s">
        <v>5171</v>
      </c>
      <c r="G147" t="s">
        <v>5635</v>
      </c>
      <c r="H147">
        <v>10472</v>
      </c>
      <c r="I147" t="s">
        <v>5696</v>
      </c>
      <c r="J147" t="s">
        <v>5696</v>
      </c>
      <c r="M147" t="s">
        <v>6732</v>
      </c>
      <c r="N147" t="s">
        <v>6739</v>
      </c>
      <c r="O147" t="s">
        <v>6748</v>
      </c>
      <c r="R147" t="s">
        <v>6793</v>
      </c>
      <c r="U147">
        <v>1400</v>
      </c>
      <c r="V147" t="s">
        <v>6836</v>
      </c>
      <c r="X147" t="s">
        <v>6857</v>
      </c>
      <c r="Y147" t="s">
        <v>7013</v>
      </c>
      <c r="AA147" t="s">
        <v>9194</v>
      </c>
      <c r="AB147">
        <v>35</v>
      </c>
      <c r="AE147">
        <v>4</v>
      </c>
      <c r="AF147">
        <v>2</v>
      </c>
      <c r="AG147">
        <v>3</v>
      </c>
      <c r="AH147">
        <v>116.01</v>
      </c>
      <c r="AK147" t="s">
        <v>10967</v>
      </c>
      <c r="AL147">
        <v>35000</v>
      </c>
      <c r="AR147">
        <v>0.5</v>
      </c>
      <c r="AS147" t="s">
        <v>11151</v>
      </c>
      <c r="AT147" t="s">
        <v>11181</v>
      </c>
      <c r="AV147" t="s">
        <v>11230</v>
      </c>
      <c r="AW147" t="s">
        <v>11151</v>
      </c>
      <c r="AX147" t="s">
        <v>10958</v>
      </c>
    </row>
    <row r="148" spans="1:50">
      <c r="A148" s="1">
        <f>HYPERLINK("https://lsnyc.legalserver.org/matter/dynamic-profile/view/1898717","19-1898717")</f>
        <v>0</v>
      </c>
      <c r="B148" t="s">
        <v>112</v>
      </c>
      <c r="C148" t="s">
        <v>444</v>
      </c>
      <c r="D148" t="s">
        <v>1764</v>
      </c>
      <c r="E148" t="s">
        <v>3219</v>
      </c>
      <c r="F148">
        <v>1</v>
      </c>
      <c r="G148" t="s">
        <v>5638</v>
      </c>
      <c r="H148">
        <v>10019</v>
      </c>
      <c r="I148" t="s">
        <v>5696</v>
      </c>
      <c r="J148" t="s">
        <v>5696</v>
      </c>
      <c r="M148" t="s">
        <v>6732</v>
      </c>
      <c r="N148" t="s">
        <v>6739</v>
      </c>
      <c r="O148" t="s">
        <v>6753</v>
      </c>
      <c r="R148" t="s">
        <v>6793</v>
      </c>
      <c r="U148">
        <v>0</v>
      </c>
      <c r="V148" t="s">
        <v>6836</v>
      </c>
      <c r="X148" t="s">
        <v>6857</v>
      </c>
      <c r="Y148" t="s">
        <v>7014</v>
      </c>
      <c r="AA148" t="s">
        <v>9195</v>
      </c>
      <c r="AB148">
        <v>0</v>
      </c>
      <c r="AE148">
        <v>0</v>
      </c>
      <c r="AF148">
        <v>2</v>
      </c>
      <c r="AG148">
        <v>0</v>
      </c>
      <c r="AH148">
        <v>276.76</v>
      </c>
      <c r="AK148" t="s">
        <v>10967</v>
      </c>
      <c r="AL148">
        <v>46800</v>
      </c>
      <c r="AR148">
        <v>0.8</v>
      </c>
      <c r="AS148" t="s">
        <v>11152</v>
      </c>
      <c r="AT148" t="s">
        <v>11183</v>
      </c>
      <c r="AV148" t="s">
        <v>11230</v>
      </c>
      <c r="AW148" t="s">
        <v>11152</v>
      </c>
      <c r="AX148" t="s">
        <v>10958</v>
      </c>
    </row>
    <row r="149" spans="1:50">
      <c r="A149" s="1">
        <f>HYPERLINK("https://lsnyc.legalserver.org/matter/dynamic-profile/view/1903945","19-1903945")</f>
        <v>0</v>
      </c>
      <c r="B149" t="s">
        <v>53</v>
      </c>
      <c r="C149" t="s">
        <v>445</v>
      </c>
      <c r="D149" t="s">
        <v>1765</v>
      </c>
      <c r="E149" t="s">
        <v>3220</v>
      </c>
      <c r="G149" t="s">
        <v>5635</v>
      </c>
      <c r="H149">
        <v>10454</v>
      </c>
      <c r="I149" t="s">
        <v>5695</v>
      </c>
      <c r="J149" t="s">
        <v>5696</v>
      </c>
      <c r="M149" t="s">
        <v>6732</v>
      </c>
      <c r="N149" t="s">
        <v>6739</v>
      </c>
      <c r="O149" t="s">
        <v>6753</v>
      </c>
      <c r="R149" t="s">
        <v>6793</v>
      </c>
      <c r="U149">
        <v>1500</v>
      </c>
      <c r="V149" t="s">
        <v>6833</v>
      </c>
      <c r="X149" t="s">
        <v>6857</v>
      </c>
      <c r="Y149" t="s">
        <v>7015</v>
      </c>
      <c r="AA149" t="s">
        <v>9196</v>
      </c>
      <c r="AB149">
        <v>0</v>
      </c>
      <c r="AC149" t="s">
        <v>10930</v>
      </c>
      <c r="AE149">
        <v>1</v>
      </c>
      <c r="AF149">
        <v>2</v>
      </c>
      <c r="AG149">
        <v>0</v>
      </c>
      <c r="AH149">
        <v>357.89</v>
      </c>
      <c r="AK149" t="s">
        <v>10966</v>
      </c>
      <c r="AL149">
        <v>60519.68</v>
      </c>
      <c r="AM149" t="s">
        <v>11013</v>
      </c>
      <c r="AR149">
        <v>0.8</v>
      </c>
      <c r="AS149" t="s">
        <v>6819</v>
      </c>
      <c r="AT149" t="s">
        <v>11179</v>
      </c>
      <c r="AU149" t="s">
        <v>11228</v>
      </c>
      <c r="AV149" t="s">
        <v>11230</v>
      </c>
      <c r="AW149" t="s">
        <v>6807</v>
      </c>
      <c r="AX149" t="s">
        <v>6819</v>
      </c>
    </row>
    <row r="150" spans="1:50">
      <c r="A150" s="1">
        <f>HYPERLINK("https://lsnyc.legalserver.org/matter/dynamic-profile/view/1896870","19-1896870")</f>
        <v>0</v>
      </c>
      <c r="B150" t="s">
        <v>112</v>
      </c>
      <c r="C150" t="s">
        <v>446</v>
      </c>
      <c r="D150" t="s">
        <v>1766</v>
      </c>
      <c r="E150" t="s">
        <v>3221</v>
      </c>
      <c r="F150" t="s">
        <v>5172</v>
      </c>
      <c r="G150" t="s">
        <v>5635</v>
      </c>
      <c r="H150">
        <v>10463</v>
      </c>
      <c r="I150" t="s">
        <v>5696</v>
      </c>
      <c r="J150" t="s">
        <v>5696</v>
      </c>
      <c r="M150" t="s">
        <v>6732</v>
      </c>
      <c r="N150" t="s">
        <v>6739</v>
      </c>
      <c r="O150" t="s">
        <v>6748</v>
      </c>
      <c r="R150" t="s">
        <v>6793</v>
      </c>
      <c r="U150">
        <v>1000</v>
      </c>
      <c r="V150" t="s">
        <v>6836</v>
      </c>
      <c r="W150" t="s">
        <v>6841</v>
      </c>
      <c r="X150" t="s">
        <v>6857</v>
      </c>
      <c r="Y150" t="s">
        <v>7016</v>
      </c>
      <c r="AA150" t="s">
        <v>9197</v>
      </c>
      <c r="AB150">
        <v>19</v>
      </c>
      <c r="AE150">
        <v>11</v>
      </c>
      <c r="AF150">
        <v>1</v>
      </c>
      <c r="AG150">
        <v>0</v>
      </c>
      <c r="AH150">
        <v>106.16</v>
      </c>
      <c r="AK150" t="s">
        <v>10967</v>
      </c>
      <c r="AL150">
        <v>13260</v>
      </c>
      <c r="AR150">
        <v>0.5</v>
      </c>
      <c r="AS150" t="s">
        <v>11130</v>
      </c>
      <c r="AT150" t="s">
        <v>11181</v>
      </c>
      <c r="AV150" t="s">
        <v>11230</v>
      </c>
      <c r="AW150" t="s">
        <v>11130</v>
      </c>
      <c r="AX150" t="s">
        <v>10958</v>
      </c>
    </row>
    <row r="151" spans="1:50">
      <c r="A151" s="1">
        <f>HYPERLINK("https://lsnyc.legalserver.org/matter/dynamic-profile/view/1897712","19-1897712")</f>
        <v>0</v>
      </c>
      <c r="B151" t="s">
        <v>75</v>
      </c>
      <c r="C151" t="s">
        <v>447</v>
      </c>
      <c r="D151" t="s">
        <v>1767</v>
      </c>
      <c r="E151" t="s">
        <v>3222</v>
      </c>
      <c r="F151" t="s">
        <v>5173</v>
      </c>
      <c r="G151" t="s">
        <v>5638</v>
      </c>
      <c r="H151">
        <v>10011</v>
      </c>
      <c r="I151" t="s">
        <v>5696</v>
      </c>
      <c r="J151" t="s">
        <v>5696</v>
      </c>
      <c r="M151" t="s">
        <v>6732</v>
      </c>
      <c r="N151" t="s">
        <v>6739</v>
      </c>
      <c r="O151" t="s">
        <v>6758</v>
      </c>
      <c r="R151" t="s">
        <v>6793</v>
      </c>
      <c r="U151">
        <v>2700</v>
      </c>
      <c r="V151" t="s">
        <v>6836</v>
      </c>
      <c r="W151" t="s">
        <v>6841</v>
      </c>
      <c r="X151" t="s">
        <v>6857</v>
      </c>
      <c r="Y151" t="s">
        <v>7017</v>
      </c>
      <c r="AA151" t="s">
        <v>9198</v>
      </c>
      <c r="AB151">
        <v>15</v>
      </c>
      <c r="AE151">
        <v>9</v>
      </c>
      <c r="AF151">
        <v>2</v>
      </c>
      <c r="AG151">
        <v>0</v>
      </c>
      <c r="AH151">
        <v>340.63</v>
      </c>
      <c r="AK151" t="s">
        <v>10966</v>
      </c>
      <c r="AL151">
        <v>57600</v>
      </c>
      <c r="AR151">
        <v>3.25</v>
      </c>
      <c r="AS151" t="s">
        <v>11120</v>
      </c>
      <c r="AT151" t="s">
        <v>11181</v>
      </c>
      <c r="AV151" t="s">
        <v>11230</v>
      </c>
      <c r="AW151" t="s">
        <v>11129</v>
      </c>
      <c r="AX151" t="s">
        <v>11149</v>
      </c>
    </row>
    <row r="152" spans="1:50">
      <c r="A152" s="1">
        <f>HYPERLINK("https://lsnyc.legalserver.org/matter/dynamic-profile/view/1901943","19-1901943")</f>
        <v>0</v>
      </c>
      <c r="B152" t="s">
        <v>83</v>
      </c>
      <c r="C152" t="s">
        <v>448</v>
      </c>
      <c r="D152" t="s">
        <v>1768</v>
      </c>
      <c r="E152" t="s">
        <v>3223</v>
      </c>
      <c r="G152" t="s">
        <v>5637</v>
      </c>
      <c r="H152">
        <v>11236</v>
      </c>
      <c r="I152" t="s">
        <v>5696</v>
      </c>
      <c r="J152" t="s">
        <v>5696</v>
      </c>
      <c r="M152" t="s">
        <v>6732</v>
      </c>
      <c r="N152" t="s">
        <v>6739</v>
      </c>
      <c r="O152" t="s">
        <v>6758</v>
      </c>
      <c r="R152" t="s">
        <v>6797</v>
      </c>
      <c r="U152">
        <v>0</v>
      </c>
      <c r="V152" t="s">
        <v>6835</v>
      </c>
      <c r="X152" t="s">
        <v>6857</v>
      </c>
      <c r="Y152" t="s">
        <v>7018</v>
      </c>
      <c r="AA152" t="s">
        <v>9199</v>
      </c>
      <c r="AB152">
        <v>0</v>
      </c>
      <c r="AE152">
        <v>0</v>
      </c>
      <c r="AF152">
        <v>1</v>
      </c>
      <c r="AG152">
        <v>0</v>
      </c>
      <c r="AH152">
        <v>605.28</v>
      </c>
      <c r="AK152" t="s">
        <v>10966</v>
      </c>
      <c r="AL152">
        <v>75600</v>
      </c>
      <c r="AR152">
        <v>1.25</v>
      </c>
      <c r="AS152" t="s">
        <v>11131</v>
      </c>
      <c r="AT152" t="s">
        <v>11193</v>
      </c>
      <c r="AV152" t="s">
        <v>11230</v>
      </c>
      <c r="AW152" t="s">
        <v>11150</v>
      </c>
      <c r="AX152" t="s">
        <v>11131</v>
      </c>
    </row>
    <row r="153" spans="1:50">
      <c r="A153" s="1">
        <f>HYPERLINK("https://lsnyc.legalserver.org/matter/dynamic-profile/view/1895850","19-1895850")</f>
        <v>0</v>
      </c>
      <c r="B153" t="s">
        <v>113</v>
      </c>
      <c r="C153" t="s">
        <v>449</v>
      </c>
      <c r="D153" t="s">
        <v>1769</v>
      </c>
      <c r="E153" t="s">
        <v>3224</v>
      </c>
      <c r="F153" t="s">
        <v>5174</v>
      </c>
      <c r="G153" t="s">
        <v>5645</v>
      </c>
      <c r="H153">
        <v>11102</v>
      </c>
      <c r="I153" t="s">
        <v>5696</v>
      </c>
      <c r="J153" t="s">
        <v>5696</v>
      </c>
      <c r="M153" t="s">
        <v>6732</v>
      </c>
      <c r="N153" t="s">
        <v>6739</v>
      </c>
      <c r="O153" t="s">
        <v>6766</v>
      </c>
      <c r="R153" t="s">
        <v>6793</v>
      </c>
      <c r="U153">
        <v>992</v>
      </c>
      <c r="V153" t="s">
        <v>6833</v>
      </c>
      <c r="X153" t="s">
        <v>6857</v>
      </c>
      <c r="Y153" t="s">
        <v>7019</v>
      </c>
      <c r="AA153" t="s">
        <v>9200</v>
      </c>
      <c r="AB153">
        <v>206</v>
      </c>
      <c r="AE153">
        <v>20</v>
      </c>
      <c r="AF153">
        <v>1</v>
      </c>
      <c r="AG153">
        <v>0</v>
      </c>
      <c r="AH153">
        <v>278.62</v>
      </c>
      <c r="AK153" t="s">
        <v>10966</v>
      </c>
      <c r="AL153">
        <v>34800</v>
      </c>
      <c r="AR153">
        <v>1.05</v>
      </c>
      <c r="AS153" t="s">
        <v>11148</v>
      </c>
      <c r="AT153" t="s">
        <v>11181</v>
      </c>
      <c r="AV153" t="s">
        <v>11230</v>
      </c>
      <c r="AW153" t="s">
        <v>11153</v>
      </c>
      <c r="AX153" t="s">
        <v>11148</v>
      </c>
    </row>
    <row r="154" spans="1:50">
      <c r="A154" s="1">
        <f>HYPERLINK("https://lsnyc.legalserver.org/matter/dynamic-profile/view/1898142","19-1898142")</f>
        <v>0</v>
      </c>
      <c r="B154" t="s">
        <v>113</v>
      </c>
      <c r="C154" t="s">
        <v>450</v>
      </c>
      <c r="D154" t="s">
        <v>1457</v>
      </c>
      <c r="E154" t="s">
        <v>3225</v>
      </c>
      <c r="F154" t="s">
        <v>5175</v>
      </c>
      <c r="G154" t="s">
        <v>5635</v>
      </c>
      <c r="H154">
        <v>10459</v>
      </c>
      <c r="I154" t="s">
        <v>5696</v>
      </c>
      <c r="J154" t="s">
        <v>5696</v>
      </c>
      <c r="M154" t="s">
        <v>6732</v>
      </c>
      <c r="N154" t="s">
        <v>6739</v>
      </c>
      <c r="O154" t="s">
        <v>6766</v>
      </c>
      <c r="R154" t="s">
        <v>6793</v>
      </c>
      <c r="U154">
        <v>1800</v>
      </c>
      <c r="V154" t="s">
        <v>6833</v>
      </c>
      <c r="X154" t="s">
        <v>6857</v>
      </c>
      <c r="Y154" t="s">
        <v>7020</v>
      </c>
      <c r="AA154" t="s">
        <v>9201</v>
      </c>
      <c r="AB154">
        <v>1</v>
      </c>
      <c r="AE154">
        <v>0</v>
      </c>
      <c r="AF154">
        <v>1</v>
      </c>
      <c r="AG154">
        <v>2</v>
      </c>
      <c r="AH154">
        <v>0</v>
      </c>
      <c r="AK154" t="s">
        <v>10966</v>
      </c>
      <c r="AL154">
        <v>0</v>
      </c>
      <c r="AR154">
        <v>0.6</v>
      </c>
      <c r="AS154" t="s">
        <v>11127</v>
      </c>
      <c r="AT154" t="s">
        <v>11181</v>
      </c>
      <c r="AV154" t="s">
        <v>11230</v>
      </c>
      <c r="AW154" t="s">
        <v>10961</v>
      </c>
      <c r="AX154" t="s">
        <v>11127</v>
      </c>
    </row>
    <row r="155" spans="1:50">
      <c r="A155" s="1">
        <f>HYPERLINK("https://lsnyc.legalserver.org/matter/dynamic-profile/view/1900981","19-1900981")</f>
        <v>0</v>
      </c>
      <c r="B155" t="s">
        <v>53</v>
      </c>
      <c r="C155" t="s">
        <v>451</v>
      </c>
      <c r="D155" t="s">
        <v>1770</v>
      </c>
      <c r="E155" t="s">
        <v>3226</v>
      </c>
      <c r="F155" t="s">
        <v>5176</v>
      </c>
      <c r="G155" t="s">
        <v>5635</v>
      </c>
      <c r="H155">
        <v>10451</v>
      </c>
      <c r="I155" t="s">
        <v>5695</v>
      </c>
      <c r="J155" t="s">
        <v>5696</v>
      </c>
      <c r="K155" t="s">
        <v>5774</v>
      </c>
      <c r="M155" t="s">
        <v>6732</v>
      </c>
      <c r="N155" t="s">
        <v>6739</v>
      </c>
      <c r="O155" t="s">
        <v>6747</v>
      </c>
      <c r="P155" t="s">
        <v>5697</v>
      </c>
      <c r="R155" t="s">
        <v>6793</v>
      </c>
      <c r="S155" t="s">
        <v>6802</v>
      </c>
      <c r="U155">
        <v>1597</v>
      </c>
      <c r="V155" t="s">
        <v>6833</v>
      </c>
      <c r="W155" t="s">
        <v>6839</v>
      </c>
      <c r="X155" t="s">
        <v>6857</v>
      </c>
      <c r="Y155" t="s">
        <v>7021</v>
      </c>
      <c r="AA155" t="s">
        <v>9202</v>
      </c>
      <c r="AB155">
        <v>0</v>
      </c>
      <c r="AC155" t="s">
        <v>10929</v>
      </c>
      <c r="AD155" t="s">
        <v>10944</v>
      </c>
      <c r="AE155">
        <v>4</v>
      </c>
      <c r="AF155">
        <v>2</v>
      </c>
      <c r="AG155">
        <v>0</v>
      </c>
      <c r="AH155">
        <v>20.91</v>
      </c>
      <c r="AK155" t="s">
        <v>10966</v>
      </c>
      <c r="AL155">
        <v>3536</v>
      </c>
      <c r="AM155" t="s">
        <v>11014</v>
      </c>
      <c r="AR155">
        <v>1</v>
      </c>
      <c r="AS155" t="s">
        <v>11124</v>
      </c>
      <c r="AT155" t="s">
        <v>11179</v>
      </c>
      <c r="AU155" t="s">
        <v>11228</v>
      </c>
      <c r="AV155" t="s">
        <v>11230</v>
      </c>
      <c r="AW155" t="s">
        <v>11120</v>
      </c>
      <c r="AX155" t="s">
        <v>11124</v>
      </c>
    </row>
    <row r="156" spans="1:50">
      <c r="A156" s="1">
        <f>HYPERLINK("https://lsnyc.legalserver.org/matter/dynamic-profile/view/1895455","19-1895455")</f>
        <v>0</v>
      </c>
      <c r="B156" t="s">
        <v>67</v>
      </c>
      <c r="C156" t="s">
        <v>452</v>
      </c>
      <c r="D156" t="s">
        <v>1109</v>
      </c>
      <c r="E156" t="s">
        <v>3227</v>
      </c>
      <c r="F156" t="s">
        <v>5128</v>
      </c>
      <c r="G156" t="s">
        <v>5637</v>
      </c>
      <c r="H156">
        <v>11212</v>
      </c>
      <c r="I156" t="s">
        <v>5696</v>
      </c>
      <c r="J156" t="s">
        <v>5696</v>
      </c>
      <c r="K156" t="s">
        <v>5775</v>
      </c>
      <c r="M156" t="s">
        <v>6732</v>
      </c>
      <c r="N156" t="s">
        <v>6739</v>
      </c>
      <c r="O156" t="s">
        <v>6745</v>
      </c>
      <c r="R156" t="s">
        <v>6793</v>
      </c>
      <c r="U156">
        <v>1239</v>
      </c>
      <c r="V156" t="s">
        <v>6835</v>
      </c>
      <c r="W156" t="s">
        <v>6843</v>
      </c>
      <c r="X156" t="s">
        <v>6857</v>
      </c>
      <c r="Y156" t="s">
        <v>7022</v>
      </c>
      <c r="AA156" t="s">
        <v>9203</v>
      </c>
      <c r="AB156">
        <v>12</v>
      </c>
      <c r="AE156">
        <v>19</v>
      </c>
      <c r="AF156">
        <v>1</v>
      </c>
      <c r="AG156">
        <v>0</v>
      </c>
      <c r="AH156">
        <v>248.2</v>
      </c>
      <c r="AK156" t="s">
        <v>10966</v>
      </c>
      <c r="AL156">
        <v>31000</v>
      </c>
      <c r="AR156">
        <v>1.1</v>
      </c>
      <c r="AS156" t="s">
        <v>11153</v>
      </c>
      <c r="AT156" t="s">
        <v>11203</v>
      </c>
      <c r="AV156" t="s">
        <v>11230</v>
      </c>
      <c r="AW156" t="s">
        <v>10960</v>
      </c>
      <c r="AX156" t="s">
        <v>11121</v>
      </c>
    </row>
    <row r="157" spans="1:50">
      <c r="A157" s="1">
        <f>HYPERLINK("https://lsnyc.legalserver.org/matter/dynamic-profile/view/1895611","19-1895611")</f>
        <v>0</v>
      </c>
      <c r="B157" t="s">
        <v>56</v>
      </c>
      <c r="C157" t="s">
        <v>453</v>
      </c>
      <c r="D157" t="s">
        <v>1771</v>
      </c>
      <c r="E157" t="s">
        <v>3228</v>
      </c>
      <c r="F157" t="s">
        <v>5177</v>
      </c>
      <c r="G157" t="s">
        <v>5637</v>
      </c>
      <c r="H157">
        <v>11220</v>
      </c>
      <c r="I157" t="s">
        <v>5696</v>
      </c>
      <c r="J157" t="s">
        <v>5696</v>
      </c>
      <c r="M157" t="s">
        <v>6732</v>
      </c>
      <c r="N157" t="s">
        <v>6739</v>
      </c>
      <c r="O157" t="s">
        <v>6753</v>
      </c>
      <c r="R157" t="s">
        <v>6793</v>
      </c>
      <c r="U157">
        <v>1850</v>
      </c>
      <c r="V157" t="s">
        <v>6835</v>
      </c>
      <c r="W157" t="s">
        <v>6848</v>
      </c>
      <c r="X157" t="s">
        <v>6857</v>
      </c>
      <c r="Y157" t="s">
        <v>7023</v>
      </c>
      <c r="AA157" t="s">
        <v>9204</v>
      </c>
      <c r="AB157">
        <v>21</v>
      </c>
      <c r="AC157" t="s">
        <v>8953</v>
      </c>
      <c r="AE157">
        <v>2</v>
      </c>
      <c r="AF157">
        <v>1</v>
      </c>
      <c r="AG157">
        <v>0</v>
      </c>
      <c r="AH157">
        <v>376.78</v>
      </c>
      <c r="AK157" t="s">
        <v>10966</v>
      </c>
      <c r="AL157">
        <v>47059.56</v>
      </c>
      <c r="AR157">
        <v>6.6</v>
      </c>
      <c r="AS157" t="s">
        <v>11123</v>
      </c>
      <c r="AT157" t="s">
        <v>11183</v>
      </c>
      <c r="AV157" t="s">
        <v>11230</v>
      </c>
      <c r="AW157" t="s">
        <v>11119</v>
      </c>
      <c r="AX157" t="s">
        <v>11123</v>
      </c>
    </row>
    <row r="158" spans="1:50">
      <c r="A158" s="1">
        <f>HYPERLINK("https://lsnyc.legalserver.org/matter/dynamic-profile/view/1898217","19-1898217")</f>
        <v>0</v>
      </c>
      <c r="B158" t="s">
        <v>56</v>
      </c>
      <c r="C158" t="s">
        <v>334</v>
      </c>
      <c r="D158" t="s">
        <v>1772</v>
      </c>
      <c r="E158" t="s">
        <v>3229</v>
      </c>
      <c r="F158" t="s">
        <v>5178</v>
      </c>
      <c r="G158" t="s">
        <v>5637</v>
      </c>
      <c r="H158">
        <v>11209</v>
      </c>
      <c r="I158" t="s">
        <v>5696</v>
      </c>
      <c r="J158" t="s">
        <v>5696</v>
      </c>
      <c r="M158" t="s">
        <v>6732</v>
      </c>
      <c r="N158" t="s">
        <v>6739</v>
      </c>
      <c r="O158" t="s">
        <v>6748</v>
      </c>
      <c r="R158" t="s">
        <v>6793</v>
      </c>
      <c r="U158">
        <v>845.66</v>
      </c>
      <c r="V158" t="s">
        <v>6835</v>
      </c>
      <c r="W158" t="s">
        <v>6843</v>
      </c>
      <c r="X158" t="s">
        <v>6857</v>
      </c>
      <c r="Y158" t="s">
        <v>7024</v>
      </c>
      <c r="AA158" t="s">
        <v>9205</v>
      </c>
      <c r="AB158">
        <v>250</v>
      </c>
      <c r="AD158" t="s">
        <v>5741</v>
      </c>
      <c r="AE158">
        <v>49</v>
      </c>
      <c r="AF158">
        <v>1</v>
      </c>
      <c r="AG158">
        <v>0</v>
      </c>
      <c r="AH158">
        <v>192.15</v>
      </c>
      <c r="AK158" t="s">
        <v>10966</v>
      </c>
      <c r="AL158">
        <v>24000</v>
      </c>
      <c r="AR158">
        <v>4.1</v>
      </c>
      <c r="AS158" t="s">
        <v>11117</v>
      </c>
      <c r="AT158" t="s">
        <v>11203</v>
      </c>
      <c r="AV158" t="s">
        <v>11230</v>
      </c>
      <c r="AW158" t="s">
        <v>10956</v>
      </c>
      <c r="AX158" t="s">
        <v>11117</v>
      </c>
    </row>
    <row r="159" spans="1:50">
      <c r="A159" s="1">
        <f>HYPERLINK("https://lsnyc.legalserver.org/matter/dynamic-profile/view/1905440","19-1905440")</f>
        <v>0</v>
      </c>
      <c r="B159" t="s">
        <v>50</v>
      </c>
      <c r="C159" t="s">
        <v>454</v>
      </c>
      <c r="D159" t="s">
        <v>1421</v>
      </c>
      <c r="E159" t="s">
        <v>3230</v>
      </c>
      <c r="F159" t="s">
        <v>5105</v>
      </c>
      <c r="G159" t="s">
        <v>5635</v>
      </c>
      <c r="H159">
        <v>10456</v>
      </c>
      <c r="I159" t="s">
        <v>5695</v>
      </c>
      <c r="J159" t="s">
        <v>5696</v>
      </c>
      <c r="M159" t="s">
        <v>6732</v>
      </c>
      <c r="N159" t="s">
        <v>6739</v>
      </c>
      <c r="O159" t="s">
        <v>6745</v>
      </c>
      <c r="P159" t="s">
        <v>5697</v>
      </c>
      <c r="R159" t="s">
        <v>6793</v>
      </c>
      <c r="U159">
        <v>255</v>
      </c>
      <c r="V159" t="s">
        <v>6833</v>
      </c>
      <c r="W159" t="s">
        <v>6838</v>
      </c>
      <c r="X159" t="s">
        <v>6857</v>
      </c>
      <c r="Y159" t="s">
        <v>7025</v>
      </c>
      <c r="AA159" t="s">
        <v>9206</v>
      </c>
      <c r="AB159">
        <v>65</v>
      </c>
      <c r="AC159" t="s">
        <v>8953</v>
      </c>
      <c r="AD159" t="s">
        <v>5741</v>
      </c>
      <c r="AE159">
        <v>6</v>
      </c>
      <c r="AF159">
        <v>1</v>
      </c>
      <c r="AG159">
        <v>0</v>
      </c>
      <c r="AH159">
        <v>76.86</v>
      </c>
      <c r="AL159">
        <v>9600</v>
      </c>
      <c r="AR159">
        <v>1</v>
      </c>
      <c r="AS159" t="s">
        <v>6826</v>
      </c>
      <c r="AT159" t="s">
        <v>11176</v>
      </c>
      <c r="AU159" t="s">
        <v>11228</v>
      </c>
      <c r="AV159" t="s">
        <v>11230</v>
      </c>
      <c r="AW159" t="s">
        <v>6822</v>
      </c>
      <c r="AX159" t="s">
        <v>6827</v>
      </c>
    </row>
    <row r="160" spans="1:50">
      <c r="A160" s="1">
        <f>HYPERLINK("https://lsnyc.legalserver.org/matter/dynamic-profile/view/1896208","19-1896208")</f>
        <v>0</v>
      </c>
      <c r="B160" t="s">
        <v>76</v>
      </c>
      <c r="C160" t="s">
        <v>455</v>
      </c>
      <c r="D160" t="s">
        <v>1773</v>
      </c>
      <c r="E160" t="s">
        <v>3231</v>
      </c>
      <c r="F160" t="s">
        <v>5179</v>
      </c>
      <c r="G160" t="s">
        <v>5635</v>
      </c>
      <c r="H160">
        <v>10467</v>
      </c>
      <c r="I160" t="s">
        <v>5696</v>
      </c>
      <c r="J160" t="s">
        <v>5696</v>
      </c>
      <c r="M160" t="s">
        <v>6732</v>
      </c>
      <c r="N160" t="s">
        <v>6739</v>
      </c>
      <c r="O160" t="s">
        <v>6763</v>
      </c>
      <c r="P160" t="s">
        <v>5697</v>
      </c>
      <c r="R160" t="s">
        <v>6794</v>
      </c>
      <c r="U160">
        <v>230</v>
      </c>
      <c r="V160" t="s">
        <v>6833</v>
      </c>
      <c r="W160" t="s">
        <v>6841</v>
      </c>
      <c r="X160" t="s">
        <v>6857</v>
      </c>
      <c r="Y160" t="s">
        <v>7026</v>
      </c>
      <c r="AA160" t="s">
        <v>9207</v>
      </c>
      <c r="AB160">
        <v>0</v>
      </c>
      <c r="AC160" t="s">
        <v>10931</v>
      </c>
      <c r="AD160" t="s">
        <v>5741</v>
      </c>
      <c r="AE160">
        <v>10</v>
      </c>
      <c r="AF160">
        <v>1</v>
      </c>
      <c r="AG160">
        <v>2</v>
      </c>
      <c r="AH160">
        <v>97.52</v>
      </c>
      <c r="AK160" t="s">
        <v>10966</v>
      </c>
      <c r="AL160">
        <v>20800</v>
      </c>
      <c r="AQ160" t="s">
        <v>11101</v>
      </c>
      <c r="AR160">
        <v>1.2</v>
      </c>
      <c r="AS160" t="s">
        <v>11154</v>
      </c>
      <c r="AT160" t="s">
        <v>11186</v>
      </c>
      <c r="AV160" t="s">
        <v>11230</v>
      </c>
      <c r="AW160" t="s">
        <v>11167</v>
      </c>
      <c r="AX160" t="s">
        <v>6895</v>
      </c>
    </row>
    <row r="161" spans="1:50">
      <c r="A161" s="1">
        <f>HYPERLINK("https://lsnyc.legalserver.org/matter/dynamic-profile/view/1899546","19-1899546")</f>
        <v>0</v>
      </c>
      <c r="B161" t="s">
        <v>114</v>
      </c>
      <c r="C161" t="s">
        <v>456</v>
      </c>
      <c r="D161" t="s">
        <v>1774</v>
      </c>
      <c r="E161" t="s">
        <v>3232</v>
      </c>
      <c r="F161" t="s">
        <v>5180</v>
      </c>
      <c r="G161" t="s">
        <v>5635</v>
      </c>
      <c r="H161">
        <v>10473</v>
      </c>
      <c r="I161" t="s">
        <v>5696</v>
      </c>
      <c r="J161" t="s">
        <v>5696</v>
      </c>
      <c r="M161" t="s">
        <v>6732</v>
      </c>
      <c r="N161" t="s">
        <v>6739</v>
      </c>
      <c r="O161" t="s">
        <v>6758</v>
      </c>
      <c r="R161" t="s">
        <v>6793</v>
      </c>
      <c r="U161">
        <v>0</v>
      </c>
      <c r="V161" t="s">
        <v>6833</v>
      </c>
      <c r="X161" t="s">
        <v>6857</v>
      </c>
      <c r="Y161" t="s">
        <v>7027</v>
      </c>
      <c r="AA161" t="s">
        <v>9208</v>
      </c>
      <c r="AB161">
        <v>0</v>
      </c>
      <c r="AE161">
        <v>0</v>
      </c>
      <c r="AF161">
        <v>3</v>
      </c>
      <c r="AG161">
        <v>1</v>
      </c>
      <c r="AH161">
        <v>120.33</v>
      </c>
      <c r="AK161" t="s">
        <v>10966</v>
      </c>
      <c r="AL161">
        <v>30984</v>
      </c>
      <c r="AR161">
        <v>0.5</v>
      </c>
      <c r="AS161" t="s">
        <v>11155</v>
      </c>
      <c r="AT161" t="s">
        <v>11187</v>
      </c>
      <c r="AV161" t="s">
        <v>11230</v>
      </c>
      <c r="AW161" t="s">
        <v>11128</v>
      </c>
      <c r="AX161" t="s">
        <v>11149</v>
      </c>
    </row>
    <row r="162" spans="1:50">
      <c r="A162" s="1">
        <f>HYPERLINK("https://lsnyc.legalserver.org/matter/dynamic-profile/view/1903012","19-1903012")</f>
        <v>0</v>
      </c>
      <c r="B162" t="s">
        <v>115</v>
      </c>
      <c r="C162" t="s">
        <v>353</v>
      </c>
      <c r="D162" t="s">
        <v>1775</v>
      </c>
      <c r="E162" t="s">
        <v>3233</v>
      </c>
      <c r="G162" t="s">
        <v>5651</v>
      </c>
      <c r="H162">
        <v>11418</v>
      </c>
      <c r="I162" t="s">
        <v>5696</v>
      </c>
      <c r="J162" t="s">
        <v>5696</v>
      </c>
      <c r="M162" t="s">
        <v>6732</v>
      </c>
      <c r="N162" t="s">
        <v>6739</v>
      </c>
      <c r="O162" t="s">
        <v>6767</v>
      </c>
      <c r="R162" t="s">
        <v>6798</v>
      </c>
      <c r="U162">
        <v>0</v>
      </c>
      <c r="V162" t="s">
        <v>6837</v>
      </c>
      <c r="X162" t="s">
        <v>6857</v>
      </c>
      <c r="Y162" t="s">
        <v>7028</v>
      </c>
      <c r="AA162" t="s">
        <v>9209</v>
      </c>
      <c r="AB162">
        <v>0</v>
      </c>
      <c r="AE162">
        <v>0</v>
      </c>
      <c r="AF162">
        <v>5</v>
      </c>
      <c r="AG162">
        <v>0</v>
      </c>
      <c r="AH162">
        <v>254.56</v>
      </c>
      <c r="AK162" t="s">
        <v>10966</v>
      </c>
      <c r="AL162">
        <v>76800</v>
      </c>
      <c r="AR162">
        <v>1.25</v>
      </c>
      <c r="AS162" t="s">
        <v>11136</v>
      </c>
      <c r="AT162" t="s">
        <v>115</v>
      </c>
      <c r="AV162" t="s">
        <v>11230</v>
      </c>
      <c r="AW162" t="s">
        <v>11138</v>
      </c>
      <c r="AX162" t="s">
        <v>6828</v>
      </c>
    </row>
    <row r="163" spans="1:50">
      <c r="A163" s="1">
        <f>HYPERLINK("https://lsnyc.legalserver.org/matter/dynamic-profile/view/1901511","19-1901511")</f>
        <v>0</v>
      </c>
      <c r="B163" t="s">
        <v>68</v>
      </c>
      <c r="C163" t="s">
        <v>457</v>
      </c>
      <c r="D163" t="s">
        <v>1776</v>
      </c>
      <c r="E163" t="s">
        <v>3234</v>
      </c>
      <c r="G163" t="s">
        <v>5637</v>
      </c>
      <c r="H163">
        <v>11234</v>
      </c>
      <c r="I163" t="s">
        <v>5696</v>
      </c>
      <c r="J163" t="s">
        <v>5696</v>
      </c>
      <c r="M163" t="s">
        <v>6732</v>
      </c>
      <c r="N163" t="s">
        <v>6739</v>
      </c>
      <c r="O163" t="s">
        <v>6754</v>
      </c>
      <c r="Q163" t="s">
        <v>6754</v>
      </c>
      <c r="R163" t="s">
        <v>6793</v>
      </c>
      <c r="U163">
        <v>850</v>
      </c>
      <c r="V163" t="s">
        <v>6835</v>
      </c>
      <c r="W163" t="s">
        <v>6843</v>
      </c>
      <c r="X163" t="s">
        <v>6857</v>
      </c>
      <c r="Y163" t="s">
        <v>7029</v>
      </c>
      <c r="AA163" t="s">
        <v>9210</v>
      </c>
      <c r="AB163">
        <v>0</v>
      </c>
      <c r="AD163" t="s">
        <v>5741</v>
      </c>
      <c r="AE163">
        <v>4</v>
      </c>
      <c r="AF163">
        <v>1</v>
      </c>
      <c r="AG163">
        <v>0</v>
      </c>
      <c r="AH163">
        <v>87.72</v>
      </c>
      <c r="AK163" t="s">
        <v>10966</v>
      </c>
      <c r="AL163">
        <v>10956</v>
      </c>
      <c r="AR163">
        <v>2.5</v>
      </c>
      <c r="AS163" t="s">
        <v>6808</v>
      </c>
      <c r="AT163" t="s">
        <v>11203</v>
      </c>
      <c r="AV163" t="s">
        <v>11230</v>
      </c>
      <c r="AW163" t="s">
        <v>11135</v>
      </c>
      <c r="AX163" t="s">
        <v>6808</v>
      </c>
    </row>
    <row r="164" spans="1:50">
      <c r="A164" s="1">
        <f>HYPERLINK("https://lsnyc.legalserver.org/matter/dynamic-profile/view/1897989","19-1897989")</f>
        <v>0</v>
      </c>
      <c r="B164" t="s">
        <v>112</v>
      </c>
      <c r="C164" t="s">
        <v>458</v>
      </c>
      <c r="D164" t="s">
        <v>1777</v>
      </c>
      <c r="E164" t="s">
        <v>3235</v>
      </c>
      <c r="F164" t="s">
        <v>5167</v>
      </c>
      <c r="G164" t="s">
        <v>5638</v>
      </c>
      <c r="H164">
        <v>10025</v>
      </c>
      <c r="I164" t="s">
        <v>5696</v>
      </c>
      <c r="J164" t="s">
        <v>5696</v>
      </c>
      <c r="M164" t="s">
        <v>6732</v>
      </c>
      <c r="N164" t="s">
        <v>6739</v>
      </c>
      <c r="O164" t="s">
        <v>6748</v>
      </c>
      <c r="R164" t="s">
        <v>6793</v>
      </c>
      <c r="U164">
        <v>1130</v>
      </c>
      <c r="V164" t="s">
        <v>6836</v>
      </c>
      <c r="X164" t="s">
        <v>6857</v>
      </c>
      <c r="Y164" t="s">
        <v>7030</v>
      </c>
      <c r="AA164" t="s">
        <v>9211</v>
      </c>
      <c r="AB164">
        <v>42</v>
      </c>
      <c r="AD164" t="s">
        <v>10944</v>
      </c>
      <c r="AE164">
        <v>15</v>
      </c>
      <c r="AF164">
        <v>1</v>
      </c>
      <c r="AG164">
        <v>0</v>
      </c>
      <c r="AH164">
        <v>69.08</v>
      </c>
      <c r="AK164" t="s">
        <v>10966</v>
      </c>
      <c r="AL164">
        <v>8628</v>
      </c>
      <c r="AR164">
        <v>1</v>
      </c>
      <c r="AS164" t="s">
        <v>11142</v>
      </c>
      <c r="AT164" t="s">
        <v>11192</v>
      </c>
      <c r="AV164" t="s">
        <v>11230</v>
      </c>
      <c r="AW164" t="s">
        <v>11142</v>
      </c>
      <c r="AX164" t="s">
        <v>10958</v>
      </c>
    </row>
    <row r="165" spans="1:50">
      <c r="A165" s="1">
        <f>HYPERLINK("https://lsnyc.legalserver.org/matter/dynamic-profile/view/1901535","19-1901535")</f>
        <v>0</v>
      </c>
      <c r="B165" t="s">
        <v>58</v>
      </c>
      <c r="C165" t="s">
        <v>459</v>
      </c>
      <c r="D165" t="s">
        <v>1173</v>
      </c>
      <c r="E165" t="s">
        <v>3236</v>
      </c>
      <c r="F165" t="s">
        <v>5181</v>
      </c>
      <c r="G165" t="s">
        <v>5637</v>
      </c>
      <c r="H165">
        <v>11213</v>
      </c>
      <c r="I165" t="s">
        <v>5695</v>
      </c>
      <c r="J165" t="s">
        <v>5696</v>
      </c>
      <c r="M165" t="s">
        <v>6732</v>
      </c>
      <c r="N165" t="s">
        <v>6739</v>
      </c>
      <c r="O165" t="s">
        <v>6756</v>
      </c>
      <c r="P165" t="s">
        <v>5695</v>
      </c>
      <c r="R165" t="s">
        <v>6793</v>
      </c>
      <c r="U165">
        <v>682</v>
      </c>
      <c r="V165" t="s">
        <v>6835</v>
      </c>
      <c r="X165" t="s">
        <v>6861</v>
      </c>
      <c r="Y165" t="s">
        <v>7031</v>
      </c>
      <c r="AA165" t="s">
        <v>9212</v>
      </c>
      <c r="AB165">
        <v>0</v>
      </c>
      <c r="AC165" t="s">
        <v>10929</v>
      </c>
      <c r="AE165">
        <v>12</v>
      </c>
      <c r="AF165">
        <v>2</v>
      </c>
      <c r="AG165">
        <v>1</v>
      </c>
      <c r="AH165">
        <v>62.9</v>
      </c>
      <c r="AK165" t="s">
        <v>10966</v>
      </c>
      <c r="AL165">
        <v>13416</v>
      </c>
      <c r="AR165">
        <v>1.01</v>
      </c>
      <c r="AS165" t="s">
        <v>6825</v>
      </c>
      <c r="AT165" t="s">
        <v>11204</v>
      </c>
      <c r="AU165" t="s">
        <v>11228</v>
      </c>
      <c r="AV165" t="s">
        <v>11230</v>
      </c>
      <c r="AW165" t="s">
        <v>11135</v>
      </c>
      <c r="AX165" t="s">
        <v>6809</v>
      </c>
    </row>
    <row r="166" spans="1:50">
      <c r="A166" s="1">
        <f>HYPERLINK("https://lsnyc.legalserver.org/matter/dynamic-profile/view/1898468","19-1898468")</f>
        <v>0</v>
      </c>
      <c r="B166" t="s">
        <v>116</v>
      </c>
      <c r="C166" t="s">
        <v>460</v>
      </c>
      <c r="D166" t="s">
        <v>1778</v>
      </c>
      <c r="E166" t="s">
        <v>3237</v>
      </c>
      <c r="F166" t="s">
        <v>5098</v>
      </c>
      <c r="G166" t="s">
        <v>5652</v>
      </c>
      <c r="H166">
        <v>11692</v>
      </c>
      <c r="I166" t="s">
        <v>5696</v>
      </c>
      <c r="J166" t="s">
        <v>5696</v>
      </c>
      <c r="M166" t="s">
        <v>6732</v>
      </c>
      <c r="N166" t="s">
        <v>6739</v>
      </c>
      <c r="O166" t="s">
        <v>6767</v>
      </c>
      <c r="R166" t="s">
        <v>6798</v>
      </c>
      <c r="U166">
        <v>0</v>
      </c>
      <c r="V166" t="s">
        <v>6837</v>
      </c>
      <c r="X166" t="s">
        <v>6857</v>
      </c>
      <c r="Y166" t="s">
        <v>7032</v>
      </c>
      <c r="AA166" t="s">
        <v>9213</v>
      </c>
      <c r="AB166">
        <v>0</v>
      </c>
      <c r="AE166">
        <v>0</v>
      </c>
      <c r="AF166">
        <v>2</v>
      </c>
      <c r="AG166">
        <v>1</v>
      </c>
      <c r="AH166">
        <v>279.89</v>
      </c>
      <c r="AK166" t="s">
        <v>10966</v>
      </c>
      <c r="AL166">
        <v>59700</v>
      </c>
      <c r="AR166">
        <v>2.65</v>
      </c>
      <c r="AS166" t="s">
        <v>11155</v>
      </c>
      <c r="AT166" t="s">
        <v>11183</v>
      </c>
      <c r="AV166" t="s">
        <v>11230</v>
      </c>
      <c r="AW166" t="s">
        <v>11141</v>
      </c>
      <c r="AX166" t="s">
        <v>11155</v>
      </c>
    </row>
    <row r="167" spans="1:50">
      <c r="A167" s="1">
        <f>HYPERLINK("https://lsnyc.legalserver.org/matter/dynamic-profile/view/1901579","19-1901579")</f>
        <v>0</v>
      </c>
      <c r="B167" t="s">
        <v>67</v>
      </c>
      <c r="C167" t="s">
        <v>461</v>
      </c>
      <c r="D167" t="s">
        <v>1779</v>
      </c>
      <c r="E167" t="s">
        <v>3238</v>
      </c>
      <c r="F167" t="s">
        <v>5182</v>
      </c>
      <c r="G167" t="s">
        <v>5637</v>
      </c>
      <c r="H167">
        <v>11207</v>
      </c>
      <c r="I167" t="s">
        <v>5696</v>
      </c>
      <c r="J167" t="s">
        <v>5696</v>
      </c>
      <c r="M167" t="s">
        <v>6732</v>
      </c>
      <c r="N167" t="s">
        <v>6739</v>
      </c>
      <c r="O167" t="s">
        <v>6745</v>
      </c>
      <c r="R167" t="s">
        <v>6793</v>
      </c>
      <c r="U167">
        <v>0</v>
      </c>
      <c r="V167" t="s">
        <v>6835</v>
      </c>
      <c r="X167" t="s">
        <v>6857</v>
      </c>
      <c r="Y167" t="s">
        <v>7033</v>
      </c>
      <c r="AA167" t="s">
        <v>9214</v>
      </c>
      <c r="AB167">
        <v>0</v>
      </c>
      <c r="AE167">
        <v>3</v>
      </c>
      <c r="AF167">
        <v>1</v>
      </c>
      <c r="AG167">
        <v>0</v>
      </c>
      <c r="AH167">
        <v>78.20999999999999</v>
      </c>
      <c r="AK167" t="s">
        <v>10966</v>
      </c>
      <c r="AL167">
        <v>9768</v>
      </c>
      <c r="AR167">
        <v>0.6</v>
      </c>
      <c r="AS167" t="s">
        <v>11124</v>
      </c>
      <c r="AT167" t="s">
        <v>11188</v>
      </c>
      <c r="AV167" t="s">
        <v>11230</v>
      </c>
      <c r="AW167" t="s">
        <v>11124</v>
      </c>
      <c r="AX167" t="s">
        <v>11124</v>
      </c>
    </row>
    <row r="168" spans="1:50">
      <c r="A168" s="1">
        <f>HYPERLINK("https://lsnyc.legalserver.org/matter/dynamic-profile/view/1899453","19-1899453")</f>
        <v>0</v>
      </c>
      <c r="B168" t="s">
        <v>104</v>
      </c>
      <c r="C168" t="s">
        <v>462</v>
      </c>
      <c r="D168" t="s">
        <v>1780</v>
      </c>
      <c r="E168" t="s">
        <v>3239</v>
      </c>
      <c r="F168" t="s">
        <v>5183</v>
      </c>
      <c r="G168" t="s">
        <v>5635</v>
      </c>
      <c r="H168">
        <v>10473</v>
      </c>
      <c r="I168" t="s">
        <v>5696</v>
      </c>
      <c r="J168" t="s">
        <v>5696</v>
      </c>
      <c r="K168" t="s">
        <v>5776</v>
      </c>
      <c r="M168" t="s">
        <v>6732</v>
      </c>
      <c r="N168" t="s">
        <v>6739</v>
      </c>
      <c r="O168" t="s">
        <v>6758</v>
      </c>
      <c r="R168" t="s">
        <v>6793</v>
      </c>
      <c r="U168">
        <v>1050</v>
      </c>
      <c r="V168" t="s">
        <v>6833</v>
      </c>
      <c r="X168" t="s">
        <v>6857</v>
      </c>
      <c r="Y168" t="s">
        <v>7034</v>
      </c>
      <c r="AA168" t="s">
        <v>9215</v>
      </c>
      <c r="AB168">
        <v>0</v>
      </c>
      <c r="AC168" t="s">
        <v>8953</v>
      </c>
      <c r="AD168" t="s">
        <v>5741</v>
      </c>
      <c r="AE168">
        <v>41</v>
      </c>
      <c r="AF168">
        <v>2</v>
      </c>
      <c r="AG168">
        <v>1</v>
      </c>
      <c r="AH168">
        <v>115.07</v>
      </c>
      <c r="AK168" t="s">
        <v>10966</v>
      </c>
      <c r="AL168">
        <v>24544</v>
      </c>
      <c r="AR168">
        <v>1.25</v>
      </c>
      <c r="AS168" t="s">
        <v>11146</v>
      </c>
      <c r="AT168" t="s">
        <v>11186</v>
      </c>
      <c r="AV168" t="s">
        <v>11230</v>
      </c>
      <c r="AW168" t="s">
        <v>11158</v>
      </c>
      <c r="AX168" t="s">
        <v>11146</v>
      </c>
    </row>
    <row r="169" spans="1:50">
      <c r="A169" s="1">
        <f>HYPERLINK("https://lsnyc.legalserver.org/matter/dynamic-profile/view/1905513","19-1905513")</f>
        <v>0</v>
      </c>
      <c r="B169" t="s">
        <v>53</v>
      </c>
      <c r="C169" t="s">
        <v>463</v>
      </c>
      <c r="D169" t="s">
        <v>1781</v>
      </c>
      <c r="E169" t="s">
        <v>3240</v>
      </c>
      <c r="F169" t="s">
        <v>5184</v>
      </c>
      <c r="G169" t="s">
        <v>5635</v>
      </c>
      <c r="H169">
        <v>10457</v>
      </c>
      <c r="I169" t="s">
        <v>5695</v>
      </c>
      <c r="J169" t="s">
        <v>5696</v>
      </c>
      <c r="M169" t="s">
        <v>6732</v>
      </c>
      <c r="N169" t="s">
        <v>6739</v>
      </c>
      <c r="O169" t="s">
        <v>6763</v>
      </c>
      <c r="R169" t="s">
        <v>6793</v>
      </c>
      <c r="U169">
        <v>712.42</v>
      </c>
      <c r="V169" t="s">
        <v>6833</v>
      </c>
      <c r="W169" t="s">
        <v>6839</v>
      </c>
      <c r="X169" t="s">
        <v>6857</v>
      </c>
      <c r="Y169" t="s">
        <v>7035</v>
      </c>
      <c r="AA169" t="s">
        <v>9216</v>
      </c>
      <c r="AB169">
        <v>40</v>
      </c>
      <c r="AE169">
        <v>10</v>
      </c>
      <c r="AF169">
        <v>1</v>
      </c>
      <c r="AG169">
        <v>0</v>
      </c>
      <c r="AH169">
        <v>304.24</v>
      </c>
      <c r="AL169">
        <v>38000</v>
      </c>
      <c r="AR169">
        <v>0.3</v>
      </c>
      <c r="AS169" t="s">
        <v>6820</v>
      </c>
      <c r="AT169" t="s">
        <v>288</v>
      </c>
      <c r="AU169" t="s">
        <v>11228</v>
      </c>
      <c r="AV169" t="s">
        <v>11230</v>
      </c>
      <c r="AW169" t="s">
        <v>6822</v>
      </c>
      <c r="AX169" t="s">
        <v>6820</v>
      </c>
    </row>
    <row r="170" spans="1:50">
      <c r="A170" s="1">
        <f>HYPERLINK("https://lsnyc.legalserver.org/matter/dynamic-profile/view/1897293","19-1897293")</f>
        <v>0</v>
      </c>
      <c r="B170" t="s">
        <v>112</v>
      </c>
      <c r="C170" t="s">
        <v>464</v>
      </c>
      <c r="D170" t="s">
        <v>1782</v>
      </c>
      <c r="E170" t="s">
        <v>3241</v>
      </c>
      <c r="F170" t="s">
        <v>5185</v>
      </c>
      <c r="G170" t="s">
        <v>5638</v>
      </c>
      <c r="H170">
        <v>10029</v>
      </c>
      <c r="I170" t="s">
        <v>5696</v>
      </c>
      <c r="J170" t="s">
        <v>5696</v>
      </c>
      <c r="M170" t="s">
        <v>6732</v>
      </c>
      <c r="N170" t="s">
        <v>6739</v>
      </c>
      <c r="O170" t="s">
        <v>6748</v>
      </c>
      <c r="R170" t="s">
        <v>6794</v>
      </c>
      <c r="U170">
        <v>219</v>
      </c>
      <c r="V170" t="s">
        <v>6836</v>
      </c>
      <c r="X170" t="s">
        <v>6857</v>
      </c>
      <c r="Y170" t="s">
        <v>7036</v>
      </c>
      <c r="AA170" t="s">
        <v>9217</v>
      </c>
      <c r="AB170">
        <v>120</v>
      </c>
      <c r="AE170">
        <v>54</v>
      </c>
      <c r="AF170">
        <v>1</v>
      </c>
      <c r="AG170">
        <v>0</v>
      </c>
      <c r="AH170">
        <v>0</v>
      </c>
      <c r="AK170" t="s">
        <v>10966</v>
      </c>
      <c r="AL170">
        <v>0</v>
      </c>
      <c r="AR170">
        <v>1</v>
      </c>
      <c r="AS170" t="s">
        <v>11145</v>
      </c>
      <c r="AT170" t="s">
        <v>11192</v>
      </c>
      <c r="AV170" t="s">
        <v>11230</v>
      </c>
      <c r="AW170" t="s">
        <v>11145</v>
      </c>
      <c r="AX170" t="s">
        <v>10958</v>
      </c>
    </row>
    <row r="171" spans="1:50">
      <c r="A171" s="1">
        <f>HYPERLINK("https://lsnyc.legalserver.org/matter/dynamic-profile/view/1904235","19-1904235")</f>
        <v>0</v>
      </c>
      <c r="B171" t="s">
        <v>117</v>
      </c>
      <c r="C171" t="s">
        <v>465</v>
      </c>
      <c r="D171" t="s">
        <v>1783</v>
      </c>
      <c r="E171" t="s">
        <v>3242</v>
      </c>
      <c r="F171" t="s">
        <v>5186</v>
      </c>
      <c r="G171" t="s">
        <v>5637</v>
      </c>
      <c r="H171">
        <v>11219</v>
      </c>
      <c r="I171" t="s">
        <v>5696</v>
      </c>
      <c r="J171" t="s">
        <v>5696</v>
      </c>
      <c r="M171" t="s">
        <v>6732</v>
      </c>
      <c r="N171" t="s">
        <v>6739</v>
      </c>
      <c r="O171" t="s">
        <v>6754</v>
      </c>
      <c r="R171" t="s">
        <v>6795</v>
      </c>
      <c r="U171">
        <v>0</v>
      </c>
      <c r="V171" t="s">
        <v>6835</v>
      </c>
      <c r="X171" t="s">
        <v>6857</v>
      </c>
      <c r="Y171" t="s">
        <v>7037</v>
      </c>
      <c r="AA171" t="s">
        <v>9218</v>
      </c>
      <c r="AB171">
        <v>0</v>
      </c>
      <c r="AE171">
        <v>0</v>
      </c>
      <c r="AF171">
        <v>2</v>
      </c>
      <c r="AG171">
        <v>1</v>
      </c>
      <c r="AH171">
        <v>57.38</v>
      </c>
      <c r="AK171" t="s">
        <v>10969</v>
      </c>
      <c r="AL171">
        <v>12240</v>
      </c>
      <c r="AR171">
        <v>2</v>
      </c>
      <c r="AS171" t="s">
        <v>6823</v>
      </c>
      <c r="AT171" t="s">
        <v>117</v>
      </c>
      <c r="AV171" t="s">
        <v>11230</v>
      </c>
      <c r="AW171" t="s">
        <v>6818</v>
      </c>
      <c r="AX171" t="s">
        <v>6823</v>
      </c>
    </row>
    <row r="172" spans="1:50">
      <c r="A172" s="1">
        <f>HYPERLINK("https://lsnyc.legalserver.org/matter/dynamic-profile/view/1895511","19-1895511")</f>
        <v>0</v>
      </c>
      <c r="B172" t="s">
        <v>118</v>
      </c>
      <c r="C172" t="s">
        <v>466</v>
      </c>
      <c r="D172" t="s">
        <v>1784</v>
      </c>
      <c r="E172" t="s">
        <v>3243</v>
      </c>
      <c r="F172" t="s">
        <v>5187</v>
      </c>
      <c r="G172" t="s">
        <v>5638</v>
      </c>
      <c r="H172">
        <v>10030</v>
      </c>
      <c r="I172" t="s">
        <v>5696</v>
      </c>
      <c r="J172" t="s">
        <v>5696</v>
      </c>
      <c r="M172" t="s">
        <v>6732</v>
      </c>
      <c r="N172" t="s">
        <v>6739</v>
      </c>
      <c r="O172" t="s">
        <v>6766</v>
      </c>
      <c r="R172" t="s">
        <v>6794</v>
      </c>
      <c r="U172">
        <v>0</v>
      </c>
      <c r="V172" t="s">
        <v>6836</v>
      </c>
      <c r="X172" t="s">
        <v>6857</v>
      </c>
      <c r="Y172" t="s">
        <v>7038</v>
      </c>
      <c r="AA172" t="s">
        <v>9219</v>
      </c>
      <c r="AB172">
        <v>0</v>
      </c>
      <c r="AE172">
        <v>0</v>
      </c>
      <c r="AF172">
        <v>1</v>
      </c>
      <c r="AG172">
        <v>0</v>
      </c>
      <c r="AH172">
        <v>57.65</v>
      </c>
      <c r="AL172">
        <v>7200</v>
      </c>
      <c r="AR172">
        <v>0.1</v>
      </c>
      <c r="AS172" t="s">
        <v>11121</v>
      </c>
      <c r="AT172" t="s">
        <v>11202</v>
      </c>
      <c r="AV172" t="s">
        <v>11230</v>
      </c>
      <c r="AW172" t="s">
        <v>10960</v>
      </c>
      <c r="AX172" t="s">
        <v>11121</v>
      </c>
    </row>
    <row r="173" spans="1:50">
      <c r="A173" s="1">
        <f>HYPERLINK("https://lsnyc.legalserver.org/matter/dynamic-profile/view/1900148","19-1900148")</f>
        <v>0</v>
      </c>
      <c r="B173" t="s">
        <v>119</v>
      </c>
      <c r="C173" t="s">
        <v>467</v>
      </c>
      <c r="D173" t="s">
        <v>1785</v>
      </c>
      <c r="E173" t="s">
        <v>3244</v>
      </c>
      <c r="F173" t="s">
        <v>5161</v>
      </c>
      <c r="G173" t="s">
        <v>5637</v>
      </c>
      <c r="H173">
        <v>11236</v>
      </c>
      <c r="I173" t="s">
        <v>5695</v>
      </c>
      <c r="J173" t="s">
        <v>5696</v>
      </c>
      <c r="M173" t="s">
        <v>6732</v>
      </c>
      <c r="N173" t="s">
        <v>6739</v>
      </c>
      <c r="O173" t="s">
        <v>6756</v>
      </c>
      <c r="R173" t="s">
        <v>6793</v>
      </c>
      <c r="U173">
        <v>0</v>
      </c>
      <c r="V173" t="s">
        <v>6835</v>
      </c>
      <c r="X173" t="s">
        <v>6857</v>
      </c>
      <c r="Y173" t="s">
        <v>7039</v>
      </c>
      <c r="AA173" t="s">
        <v>9220</v>
      </c>
      <c r="AB173">
        <v>0</v>
      </c>
      <c r="AD173" t="s">
        <v>5741</v>
      </c>
      <c r="AE173">
        <v>10</v>
      </c>
      <c r="AF173">
        <v>1</v>
      </c>
      <c r="AG173">
        <v>0</v>
      </c>
      <c r="AH173">
        <v>280.22</v>
      </c>
      <c r="AK173" t="s">
        <v>10966</v>
      </c>
      <c r="AL173">
        <v>35000</v>
      </c>
      <c r="AR173">
        <v>1</v>
      </c>
      <c r="AS173" t="s">
        <v>11146</v>
      </c>
      <c r="AT173" t="s">
        <v>69</v>
      </c>
      <c r="AU173" t="s">
        <v>11228</v>
      </c>
      <c r="AV173" t="s">
        <v>11230</v>
      </c>
      <c r="AW173" t="s">
        <v>10954</v>
      </c>
      <c r="AX173" t="s">
        <v>11117</v>
      </c>
    </row>
    <row r="174" spans="1:50">
      <c r="A174" s="1">
        <f>HYPERLINK("https://lsnyc.legalserver.org/matter/dynamic-profile/view/1895505","19-1895505")</f>
        <v>0</v>
      </c>
      <c r="B174" t="s">
        <v>67</v>
      </c>
      <c r="C174" t="s">
        <v>468</v>
      </c>
      <c r="D174" t="s">
        <v>1229</v>
      </c>
      <c r="E174" t="s">
        <v>3245</v>
      </c>
      <c r="F174" t="s">
        <v>5145</v>
      </c>
      <c r="G174" t="s">
        <v>5637</v>
      </c>
      <c r="H174">
        <v>11212</v>
      </c>
      <c r="I174" t="s">
        <v>5696</v>
      </c>
      <c r="J174" t="s">
        <v>5697</v>
      </c>
      <c r="M174" t="s">
        <v>6732</v>
      </c>
      <c r="N174" t="s">
        <v>6739</v>
      </c>
      <c r="O174" t="s">
        <v>6745</v>
      </c>
      <c r="R174" t="s">
        <v>6793</v>
      </c>
      <c r="U174">
        <v>0</v>
      </c>
      <c r="V174" t="s">
        <v>6835</v>
      </c>
      <c r="W174" t="s">
        <v>6843</v>
      </c>
      <c r="X174" t="s">
        <v>6857</v>
      </c>
      <c r="Y174" t="s">
        <v>7040</v>
      </c>
      <c r="AA174" t="s">
        <v>9221</v>
      </c>
      <c r="AB174">
        <v>4</v>
      </c>
      <c r="AD174" t="s">
        <v>5741</v>
      </c>
      <c r="AE174">
        <v>38</v>
      </c>
      <c r="AF174">
        <v>1</v>
      </c>
      <c r="AG174">
        <v>0</v>
      </c>
      <c r="AH174">
        <v>208.58</v>
      </c>
      <c r="AK174" t="s">
        <v>10966</v>
      </c>
      <c r="AL174">
        <v>26052</v>
      </c>
      <c r="AR174">
        <v>0.6</v>
      </c>
      <c r="AS174" t="s">
        <v>10960</v>
      </c>
      <c r="AT174" t="s">
        <v>11188</v>
      </c>
      <c r="AV174" t="s">
        <v>11230</v>
      </c>
      <c r="AW174" t="s">
        <v>10960</v>
      </c>
      <c r="AX174" t="s">
        <v>11155</v>
      </c>
    </row>
    <row r="175" spans="1:50">
      <c r="A175" s="1">
        <f>HYPERLINK("https://lsnyc.legalserver.org/matter/dynamic-profile/view/1898984","19-1898984")</f>
        <v>0</v>
      </c>
      <c r="B175" t="s">
        <v>107</v>
      </c>
      <c r="C175" t="s">
        <v>469</v>
      </c>
      <c r="D175" t="s">
        <v>1786</v>
      </c>
      <c r="E175" t="s">
        <v>3246</v>
      </c>
      <c r="F175">
        <v>804</v>
      </c>
      <c r="G175" t="s">
        <v>5635</v>
      </c>
      <c r="H175">
        <v>10457</v>
      </c>
      <c r="I175" t="s">
        <v>5696</v>
      </c>
      <c r="J175" t="s">
        <v>5696</v>
      </c>
      <c r="M175" t="s">
        <v>6732</v>
      </c>
      <c r="N175" t="s">
        <v>6739</v>
      </c>
      <c r="O175" t="s">
        <v>6748</v>
      </c>
      <c r="R175" t="s">
        <v>6793</v>
      </c>
      <c r="U175">
        <v>1058</v>
      </c>
      <c r="V175" t="s">
        <v>6833</v>
      </c>
      <c r="X175" t="s">
        <v>6857</v>
      </c>
      <c r="Y175" t="s">
        <v>7041</v>
      </c>
      <c r="AA175" t="s">
        <v>9222</v>
      </c>
      <c r="AB175">
        <v>152</v>
      </c>
      <c r="AE175">
        <v>7</v>
      </c>
      <c r="AF175">
        <v>1</v>
      </c>
      <c r="AG175">
        <v>1</v>
      </c>
      <c r="AH175">
        <v>183.32</v>
      </c>
      <c r="AK175" t="s">
        <v>10966</v>
      </c>
      <c r="AL175">
        <v>31000</v>
      </c>
      <c r="AM175" t="s">
        <v>11015</v>
      </c>
      <c r="AR175">
        <v>1</v>
      </c>
      <c r="AS175" t="s">
        <v>11156</v>
      </c>
      <c r="AT175" t="s">
        <v>11192</v>
      </c>
      <c r="AV175" t="s">
        <v>11230</v>
      </c>
      <c r="AW175" t="s">
        <v>11156</v>
      </c>
      <c r="AX175" t="s">
        <v>11143</v>
      </c>
    </row>
    <row r="176" spans="1:50">
      <c r="A176" s="1">
        <f>HYPERLINK("https://lsnyc.legalserver.org/matter/dynamic-profile/view/1903327","19-1903327")</f>
        <v>0</v>
      </c>
      <c r="B176" t="s">
        <v>92</v>
      </c>
      <c r="C176" t="s">
        <v>470</v>
      </c>
      <c r="D176" t="s">
        <v>1787</v>
      </c>
      <c r="E176" t="s">
        <v>3247</v>
      </c>
      <c r="F176" t="s">
        <v>5188</v>
      </c>
      <c r="G176" t="s">
        <v>5637</v>
      </c>
      <c r="H176">
        <v>11216</v>
      </c>
      <c r="I176" t="s">
        <v>5695</v>
      </c>
      <c r="J176" t="s">
        <v>5696</v>
      </c>
      <c r="M176" t="s">
        <v>6732</v>
      </c>
      <c r="N176" t="s">
        <v>6739</v>
      </c>
      <c r="O176" t="s">
        <v>6756</v>
      </c>
      <c r="P176" t="s">
        <v>5695</v>
      </c>
      <c r="R176" t="s">
        <v>6793</v>
      </c>
      <c r="U176">
        <v>917.76</v>
      </c>
      <c r="V176" t="s">
        <v>6835</v>
      </c>
      <c r="W176" t="s">
        <v>6852</v>
      </c>
      <c r="X176" t="s">
        <v>6857</v>
      </c>
      <c r="Y176" t="s">
        <v>7042</v>
      </c>
      <c r="AA176" t="s">
        <v>9223</v>
      </c>
      <c r="AB176">
        <v>6</v>
      </c>
      <c r="AE176">
        <v>23</v>
      </c>
      <c r="AF176">
        <v>2</v>
      </c>
      <c r="AG176">
        <v>0</v>
      </c>
      <c r="AH176">
        <v>289.41</v>
      </c>
      <c r="AK176" t="s">
        <v>10966</v>
      </c>
      <c r="AL176">
        <v>48940</v>
      </c>
      <c r="AR176">
        <v>0.8</v>
      </c>
      <c r="AS176" t="s">
        <v>11139</v>
      </c>
      <c r="AT176" t="s">
        <v>11204</v>
      </c>
      <c r="AV176" t="s">
        <v>11230</v>
      </c>
      <c r="AW176" t="s">
        <v>11139</v>
      </c>
      <c r="AX176" t="s">
        <v>11136</v>
      </c>
    </row>
    <row r="177" spans="1:50">
      <c r="A177" s="1">
        <f>HYPERLINK("https://lsnyc.legalserver.org/matter/dynamic-profile/view/1900481","19-1900481")</f>
        <v>0</v>
      </c>
      <c r="B177" t="s">
        <v>93</v>
      </c>
      <c r="C177" t="s">
        <v>471</v>
      </c>
      <c r="D177" t="s">
        <v>1788</v>
      </c>
      <c r="E177" t="s">
        <v>3248</v>
      </c>
      <c r="F177" t="s">
        <v>5189</v>
      </c>
      <c r="G177" t="s">
        <v>5635</v>
      </c>
      <c r="H177">
        <v>10463</v>
      </c>
      <c r="I177" t="s">
        <v>5696</v>
      </c>
      <c r="J177" t="s">
        <v>5696</v>
      </c>
      <c r="M177" t="s">
        <v>6732</v>
      </c>
      <c r="N177" t="s">
        <v>6739</v>
      </c>
      <c r="O177" t="s">
        <v>6748</v>
      </c>
      <c r="R177" t="s">
        <v>6793</v>
      </c>
      <c r="U177">
        <v>1404.97</v>
      </c>
      <c r="V177" t="s">
        <v>6833</v>
      </c>
      <c r="W177" t="s">
        <v>6853</v>
      </c>
      <c r="X177" t="s">
        <v>6857</v>
      </c>
      <c r="Y177" t="s">
        <v>7043</v>
      </c>
      <c r="AA177" t="s">
        <v>9224</v>
      </c>
      <c r="AB177">
        <v>0</v>
      </c>
      <c r="AC177" t="s">
        <v>10929</v>
      </c>
      <c r="AD177" t="s">
        <v>10944</v>
      </c>
      <c r="AE177">
        <v>15</v>
      </c>
      <c r="AF177">
        <v>1</v>
      </c>
      <c r="AG177">
        <v>0</v>
      </c>
      <c r="AH177">
        <v>26.9</v>
      </c>
      <c r="AK177" t="s">
        <v>10966</v>
      </c>
      <c r="AL177">
        <v>3360</v>
      </c>
      <c r="AR177">
        <v>2</v>
      </c>
      <c r="AS177" t="s">
        <v>11143</v>
      </c>
      <c r="AT177" t="s">
        <v>11203</v>
      </c>
      <c r="AV177" t="s">
        <v>11230</v>
      </c>
      <c r="AW177" t="s">
        <v>11160</v>
      </c>
      <c r="AX177" t="s">
        <v>6821</v>
      </c>
    </row>
    <row r="178" spans="1:50">
      <c r="A178" s="1">
        <f>HYPERLINK("https://lsnyc.legalserver.org/matter/dynamic-profile/view/1905408","19-1905408")</f>
        <v>0</v>
      </c>
      <c r="B178" t="s">
        <v>50</v>
      </c>
      <c r="C178" t="s">
        <v>472</v>
      </c>
      <c r="D178" t="s">
        <v>1679</v>
      </c>
      <c r="E178" t="s">
        <v>3249</v>
      </c>
      <c r="F178" t="s">
        <v>5108</v>
      </c>
      <c r="G178" t="s">
        <v>5635</v>
      </c>
      <c r="H178">
        <v>10468</v>
      </c>
      <c r="I178" t="s">
        <v>5695</v>
      </c>
      <c r="J178" t="s">
        <v>5696</v>
      </c>
      <c r="M178" t="s">
        <v>6732</v>
      </c>
      <c r="N178" t="s">
        <v>6739</v>
      </c>
      <c r="O178" t="s">
        <v>6745</v>
      </c>
      <c r="P178" t="s">
        <v>5697</v>
      </c>
      <c r="R178" t="s">
        <v>6793</v>
      </c>
      <c r="U178">
        <v>795.78</v>
      </c>
      <c r="V178" t="s">
        <v>6833</v>
      </c>
      <c r="W178" t="s">
        <v>6838</v>
      </c>
      <c r="X178" t="s">
        <v>6857</v>
      </c>
      <c r="Y178" t="s">
        <v>7044</v>
      </c>
      <c r="AA178" t="s">
        <v>9225</v>
      </c>
      <c r="AB178">
        <v>83</v>
      </c>
      <c r="AC178" t="s">
        <v>10929</v>
      </c>
      <c r="AD178" t="s">
        <v>5741</v>
      </c>
      <c r="AE178">
        <v>33</v>
      </c>
      <c r="AF178">
        <v>2</v>
      </c>
      <c r="AG178">
        <v>0</v>
      </c>
      <c r="AH178">
        <v>236.55</v>
      </c>
      <c r="AK178" t="s">
        <v>10966</v>
      </c>
      <c r="AL178">
        <v>40000</v>
      </c>
      <c r="AR178">
        <v>1</v>
      </c>
      <c r="AS178" t="s">
        <v>6826</v>
      </c>
      <c r="AT178" t="s">
        <v>11176</v>
      </c>
      <c r="AU178" t="s">
        <v>11228</v>
      </c>
      <c r="AV178" t="s">
        <v>11230</v>
      </c>
      <c r="AW178" t="s">
        <v>6822</v>
      </c>
      <c r="AX178" t="s">
        <v>6827</v>
      </c>
    </row>
    <row r="179" spans="1:50">
      <c r="A179" s="1">
        <f>HYPERLINK("https://lsnyc.legalserver.org/matter/dynamic-profile/view/1897352","19-1897352")</f>
        <v>0</v>
      </c>
      <c r="B179" t="s">
        <v>120</v>
      </c>
      <c r="C179" t="s">
        <v>473</v>
      </c>
      <c r="D179" t="s">
        <v>1697</v>
      </c>
      <c r="E179" t="s">
        <v>3250</v>
      </c>
      <c r="F179" t="s">
        <v>5190</v>
      </c>
      <c r="G179" t="s">
        <v>5638</v>
      </c>
      <c r="H179">
        <v>10002</v>
      </c>
      <c r="I179" t="s">
        <v>5696</v>
      </c>
      <c r="J179" t="s">
        <v>5696</v>
      </c>
      <c r="M179" t="s">
        <v>6732</v>
      </c>
      <c r="N179" t="s">
        <v>6739</v>
      </c>
      <c r="O179" t="s">
        <v>6756</v>
      </c>
      <c r="R179" t="s">
        <v>6794</v>
      </c>
      <c r="U179">
        <v>0</v>
      </c>
      <c r="V179" t="s">
        <v>6836</v>
      </c>
      <c r="X179" t="s">
        <v>6857</v>
      </c>
      <c r="Y179" t="s">
        <v>7045</v>
      </c>
      <c r="AA179" t="s">
        <v>9226</v>
      </c>
      <c r="AB179">
        <v>0</v>
      </c>
      <c r="AE179">
        <v>0</v>
      </c>
      <c r="AF179">
        <v>1</v>
      </c>
      <c r="AG179">
        <v>0</v>
      </c>
      <c r="AH179">
        <v>124.9</v>
      </c>
      <c r="AK179" t="s">
        <v>10966</v>
      </c>
      <c r="AL179">
        <v>15600</v>
      </c>
      <c r="AR179">
        <v>2</v>
      </c>
      <c r="AS179" t="s">
        <v>11142</v>
      </c>
      <c r="AT179" t="s">
        <v>120</v>
      </c>
      <c r="AV179" t="s">
        <v>11230</v>
      </c>
      <c r="AW179" t="s">
        <v>11145</v>
      </c>
      <c r="AX179" t="s">
        <v>11142</v>
      </c>
    </row>
    <row r="180" spans="1:50">
      <c r="A180" s="1">
        <f>HYPERLINK("https://lsnyc.legalserver.org/matter/dynamic-profile/view/1893120","19-1893120")</f>
        <v>0</v>
      </c>
      <c r="B180" t="s">
        <v>121</v>
      </c>
      <c r="C180" t="s">
        <v>474</v>
      </c>
      <c r="D180" t="s">
        <v>1789</v>
      </c>
      <c r="E180" t="s">
        <v>3251</v>
      </c>
      <c r="F180" t="s">
        <v>5191</v>
      </c>
      <c r="G180" t="s">
        <v>5637</v>
      </c>
      <c r="H180">
        <v>11219</v>
      </c>
      <c r="I180" t="s">
        <v>5695</v>
      </c>
      <c r="J180" t="s">
        <v>5696</v>
      </c>
      <c r="M180" t="s">
        <v>6732</v>
      </c>
      <c r="N180" t="s">
        <v>6739</v>
      </c>
      <c r="O180" t="s">
        <v>6756</v>
      </c>
      <c r="R180" t="s">
        <v>6793</v>
      </c>
      <c r="U180">
        <v>0</v>
      </c>
      <c r="V180" t="s">
        <v>6835</v>
      </c>
      <c r="X180" t="s">
        <v>6857</v>
      </c>
      <c r="Y180" t="s">
        <v>7046</v>
      </c>
      <c r="AA180" t="s">
        <v>9227</v>
      </c>
      <c r="AB180">
        <v>0</v>
      </c>
      <c r="AE180">
        <v>0</v>
      </c>
      <c r="AF180">
        <v>1</v>
      </c>
      <c r="AG180">
        <v>0</v>
      </c>
      <c r="AH180">
        <v>144.12</v>
      </c>
      <c r="AL180">
        <v>18000</v>
      </c>
      <c r="AR180">
        <v>3.6</v>
      </c>
      <c r="AS180" t="s">
        <v>11156</v>
      </c>
      <c r="AT180" t="s">
        <v>158</v>
      </c>
      <c r="AU180" t="s">
        <v>11228</v>
      </c>
      <c r="AV180" t="s">
        <v>11230</v>
      </c>
      <c r="AW180" t="s">
        <v>11141</v>
      </c>
      <c r="AX180" t="s">
        <v>11152</v>
      </c>
    </row>
    <row r="181" spans="1:50">
      <c r="A181" s="1">
        <f>HYPERLINK("https://lsnyc.legalserver.org/matter/dynamic-profile/view/1900135","19-1900135")</f>
        <v>0</v>
      </c>
      <c r="B181" t="s">
        <v>119</v>
      </c>
      <c r="C181" t="s">
        <v>389</v>
      </c>
      <c r="D181" t="s">
        <v>1685</v>
      </c>
      <c r="E181" t="s">
        <v>3252</v>
      </c>
      <c r="F181" t="s">
        <v>5128</v>
      </c>
      <c r="G181" t="s">
        <v>5637</v>
      </c>
      <c r="H181">
        <v>11238</v>
      </c>
      <c r="I181" t="s">
        <v>5695</v>
      </c>
      <c r="J181" t="s">
        <v>5696</v>
      </c>
      <c r="K181" t="s">
        <v>5777</v>
      </c>
      <c r="M181" t="s">
        <v>6732</v>
      </c>
      <c r="N181" t="s">
        <v>6739</v>
      </c>
      <c r="O181" t="s">
        <v>6756</v>
      </c>
      <c r="P181" t="s">
        <v>5697</v>
      </c>
      <c r="R181" t="s">
        <v>6793</v>
      </c>
      <c r="U181">
        <v>982.4299999999999</v>
      </c>
      <c r="V181" t="s">
        <v>6835</v>
      </c>
      <c r="X181" t="s">
        <v>6857</v>
      </c>
      <c r="Y181" t="s">
        <v>7047</v>
      </c>
      <c r="AA181" t="s">
        <v>9228</v>
      </c>
      <c r="AB181">
        <v>0</v>
      </c>
      <c r="AE181">
        <v>23</v>
      </c>
      <c r="AF181">
        <v>2</v>
      </c>
      <c r="AG181">
        <v>1</v>
      </c>
      <c r="AH181">
        <v>0</v>
      </c>
      <c r="AK181" t="s">
        <v>10966</v>
      </c>
      <c r="AL181">
        <v>0</v>
      </c>
      <c r="AR181">
        <v>1</v>
      </c>
      <c r="AS181" t="s">
        <v>11146</v>
      </c>
      <c r="AT181" t="s">
        <v>69</v>
      </c>
      <c r="AU181" t="s">
        <v>11228</v>
      </c>
      <c r="AV181" t="s">
        <v>11230</v>
      </c>
      <c r="AW181" t="s">
        <v>10954</v>
      </c>
      <c r="AX181" t="s">
        <v>11117</v>
      </c>
    </row>
    <row r="182" spans="1:50">
      <c r="A182" s="1">
        <f>HYPERLINK("https://lsnyc.legalserver.org/matter/dynamic-profile/view/1899915","19-1899915")</f>
        <v>0</v>
      </c>
      <c r="B182" t="s">
        <v>122</v>
      </c>
      <c r="C182" t="s">
        <v>475</v>
      </c>
      <c r="D182" t="s">
        <v>1685</v>
      </c>
      <c r="E182" t="s">
        <v>3253</v>
      </c>
      <c r="F182" t="s">
        <v>5192</v>
      </c>
      <c r="G182" t="s">
        <v>5637</v>
      </c>
      <c r="H182">
        <v>11220</v>
      </c>
      <c r="I182" t="s">
        <v>5696</v>
      </c>
      <c r="J182" t="s">
        <v>5696</v>
      </c>
      <c r="M182" t="s">
        <v>6732</v>
      </c>
      <c r="N182" t="s">
        <v>6739</v>
      </c>
      <c r="O182" t="s">
        <v>6756</v>
      </c>
      <c r="R182" t="s">
        <v>6793</v>
      </c>
      <c r="U182">
        <v>0</v>
      </c>
      <c r="V182" t="s">
        <v>6835</v>
      </c>
      <c r="X182" t="s">
        <v>6857</v>
      </c>
      <c r="Y182" t="s">
        <v>7048</v>
      </c>
      <c r="AA182" t="s">
        <v>9229</v>
      </c>
      <c r="AB182">
        <v>0</v>
      </c>
      <c r="AE182">
        <v>0</v>
      </c>
      <c r="AF182">
        <v>1</v>
      </c>
      <c r="AG182">
        <v>0</v>
      </c>
      <c r="AH182">
        <v>73.11</v>
      </c>
      <c r="AK182" t="s">
        <v>10966</v>
      </c>
      <c r="AL182">
        <v>9132</v>
      </c>
      <c r="AR182">
        <v>1.1</v>
      </c>
      <c r="AS182" t="s">
        <v>11157</v>
      </c>
      <c r="AT182" t="s">
        <v>122</v>
      </c>
      <c r="AV182" t="s">
        <v>11230</v>
      </c>
      <c r="AW182" t="s">
        <v>11132</v>
      </c>
      <c r="AX182" t="s">
        <v>10957</v>
      </c>
    </row>
    <row r="183" spans="1:50">
      <c r="A183" s="1">
        <f>HYPERLINK("https://lsnyc.legalserver.org/matter/dynamic-profile/view/1903160","19-1903160")</f>
        <v>0</v>
      </c>
      <c r="B183" t="s">
        <v>104</v>
      </c>
      <c r="C183" t="s">
        <v>476</v>
      </c>
      <c r="D183" t="s">
        <v>1790</v>
      </c>
      <c r="E183" t="s">
        <v>3254</v>
      </c>
      <c r="F183" t="s">
        <v>5180</v>
      </c>
      <c r="G183" t="s">
        <v>5635</v>
      </c>
      <c r="H183">
        <v>10457</v>
      </c>
      <c r="I183" t="s">
        <v>5696</v>
      </c>
      <c r="J183" t="s">
        <v>5696</v>
      </c>
      <c r="M183" t="s">
        <v>6732</v>
      </c>
      <c r="N183" t="s">
        <v>6739</v>
      </c>
      <c r="O183" t="s">
        <v>6768</v>
      </c>
      <c r="R183" t="s">
        <v>6793</v>
      </c>
      <c r="U183">
        <v>1000</v>
      </c>
      <c r="V183" t="s">
        <v>6833</v>
      </c>
      <c r="X183" t="s">
        <v>6857</v>
      </c>
      <c r="Y183" t="s">
        <v>7049</v>
      </c>
      <c r="AA183" t="s">
        <v>9230</v>
      </c>
      <c r="AB183">
        <v>30</v>
      </c>
      <c r="AE183">
        <v>7</v>
      </c>
      <c r="AF183">
        <v>2</v>
      </c>
      <c r="AG183">
        <v>0</v>
      </c>
      <c r="AH183">
        <v>325.25</v>
      </c>
      <c r="AK183" t="s">
        <v>10966</v>
      </c>
      <c r="AL183">
        <v>55000</v>
      </c>
      <c r="AR183">
        <v>2.25</v>
      </c>
      <c r="AS183" t="s">
        <v>6820</v>
      </c>
      <c r="AT183" t="s">
        <v>11192</v>
      </c>
      <c r="AV183" t="s">
        <v>11230</v>
      </c>
      <c r="AW183" t="s">
        <v>10953</v>
      </c>
      <c r="AX183" t="s">
        <v>6820</v>
      </c>
    </row>
    <row r="184" spans="1:50">
      <c r="A184" s="1">
        <f>HYPERLINK("https://lsnyc.legalserver.org/matter/dynamic-profile/view/1905416","19-1905416")</f>
        <v>0</v>
      </c>
      <c r="B184" t="s">
        <v>50</v>
      </c>
      <c r="C184" t="s">
        <v>477</v>
      </c>
      <c r="D184" t="s">
        <v>1791</v>
      </c>
      <c r="E184" t="s">
        <v>3255</v>
      </c>
      <c r="F184" t="s">
        <v>5193</v>
      </c>
      <c r="G184" t="s">
        <v>5635</v>
      </c>
      <c r="H184">
        <v>10458</v>
      </c>
      <c r="I184" t="s">
        <v>5695</v>
      </c>
      <c r="J184" t="s">
        <v>5696</v>
      </c>
      <c r="M184" t="s">
        <v>6732</v>
      </c>
      <c r="N184" t="s">
        <v>6739</v>
      </c>
      <c r="O184" t="s">
        <v>6745</v>
      </c>
      <c r="P184" t="s">
        <v>5697</v>
      </c>
      <c r="R184" t="s">
        <v>6793</v>
      </c>
      <c r="U184">
        <v>2000</v>
      </c>
      <c r="V184" t="s">
        <v>6833</v>
      </c>
      <c r="W184" t="s">
        <v>6838</v>
      </c>
      <c r="X184" t="s">
        <v>6857</v>
      </c>
      <c r="Y184" t="s">
        <v>7050</v>
      </c>
      <c r="AA184" t="s">
        <v>9231</v>
      </c>
      <c r="AB184">
        <v>36</v>
      </c>
      <c r="AC184" t="s">
        <v>10929</v>
      </c>
      <c r="AD184" t="s">
        <v>5741</v>
      </c>
      <c r="AE184">
        <v>1</v>
      </c>
      <c r="AF184">
        <v>1</v>
      </c>
      <c r="AG184">
        <v>0</v>
      </c>
      <c r="AH184">
        <v>112.09</v>
      </c>
      <c r="AL184">
        <v>14000</v>
      </c>
      <c r="AR184">
        <v>1</v>
      </c>
      <c r="AS184" t="s">
        <v>6819</v>
      </c>
      <c r="AT184" t="s">
        <v>11176</v>
      </c>
      <c r="AU184" t="s">
        <v>11228</v>
      </c>
      <c r="AV184" t="s">
        <v>11230</v>
      </c>
      <c r="AW184" t="s">
        <v>6822</v>
      </c>
      <c r="AX184" t="s">
        <v>6823</v>
      </c>
    </row>
    <row r="185" spans="1:50">
      <c r="A185" s="1">
        <f>HYPERLINK("https://lsnyc.legalserver.org/matter/dynamic-profile/view/1898585","19-1898585")</f>
        <v>0</v>
      </c>
      <c r="B185" t="s">
        <v>56</v>
      </c>
      <c r="C185" t="s">
        <v>478</v>
      </c>
      <c r="D185" t="s">
        <v>1792</v>
      </c>
      <c r="E185" t="s">
        <v>3256</v>
      </c>
      <c r="F185" t="s">
        <v>5194</v>
      </c>
      <c r="G185" t="s">
        <v>5636</v>
      </c>
      <c r="H185">
        <v>10306</v>
      </c>
      <c r="I185" t="s">
        <v>5696</v>
      </c>
      <c r="J185" t="s">
        <v>5696</v>
      </c>
      <c r="M185" t="s">
        <v>6732</v>
      </c>
      <c r="N185" t="s">
        <v>6739</v>
      </c>
      <c r="O185" t="s">
        <v>6753</v>
      </c>
      <c r="R185" t="s">
        <v>6793</v>
      </c>
      <c r="U185">
        <v>500</v>
      </c>
      <c r="V185" t="s">
        <v>6836</v>
      </c>
      <c r="W185" t="s">
        <v>6842</v>
      </c>
      <c r="X185" t="s">
        <v>6857</v>
      </c>
      <c r="Y185" t="s">
        <v>7051</v>
      </c>
      <c r="AA185" t="s">
        <v>9232</v>
      </c>
      <c r="AB185">
        <v>2</v>
      </c>
      <c r="AD185" t="s">
        <v>5741</v>
      </c>
      <c r="AE185">
        <v>0</v>
      </c>
      <c r="AF185">
        <v>1</v>
      </c>
      <c r="AG185">
        <v>0</v>
      </c>
      <c r="AH185">
        <v>293.71</v>
      </c>
      <c r="AK185" t="s">
        <v>10966</v>
      </c>
      <c r="AL185">
        <v>36684</v>
      </c>
      <c r="AR185">
        <v>1.5</v>
      </c>
      <c r="AS185" t="s">
        <v>11158</v>
      </c>
      <c r="AT185" t="s">
        <v>11203</v>
      </c>
      <c r="AV185" t="s">
        <v>11230</v>
      </c>
      <c r="AW185" t="s">
        <v>11123</v>
      </c>
      <c r="AX185" t="s">
        <v>11158</v>
      </c>
    </row>
    <row r="186" spans="1:50">
      <c r="A186" s="1">
        <f>HYPERLINK("https://lsnyc.legalserver.org/matter/dynamic-profile/view/1898792","19-1898792")</f>
        <v>0</v>
      </c>
      <c r="B186" t="s">
        <v>89</v>
      </c>
      <c r="C186" t="s">
        <v>479</v>
      </c>
      <c r="D186" t="s">
        <v>1793</v>
      </c>
      <c r="E186" t="s">
        <v>3257</v>
      </c>
      <c r="F186" t="s">
        <v>5195</v>
      </c>
      <c r="G186" t="s">
        <v>5636</v>
      </c>
      <c r="H186">
        <v>10301</v>
      </c>
      <c r="I186" t="s">
        <v>5696</v>
      </c>
      <c r="J186" t="s">
        <v>5696</v>
      </c>
      <c r="M186" t="s">
        <v>6732</v>
      </c>
      <c r="N186" t="s">
        <v>6739</v>
      </c>
      <c r="O186" t="s">
        <v>6745</v>
      </c>
      <c r="R186" t="s">
        <v>6793</v>
      </c>
      <c r="U186">
        <v>0</v>
      </c>
      <c r="V186" t="s">
        <v>6834</v>
      </c>
      <c r="X186" t="s">
        <v>6857</v>
      </c>
      <c r="Y186" t="s">
        <v>7052</v>
      </c>
      <c r="AA186" t="s">
        <v>9233</v>
      </c>
      <c r="AB186">
        <v>0</v>
      </c>
      <c r="AE186">
        <v>0</v>
      </c>
      <c r="AF186">
        <v>1</v>
      </c>
      <c r="AG186">
        <v>0</v>
      </c>
      <c r="AH186">
        <v>251.36</v>
      </c>
      <c r="AK186" t="s">
        <v>10966</v>
      </c>
      <c r="AL186">
        <v>31395</v>
      </c>
      <c r="AR186">
        <v>4.4</v>
      </c>
      <c r="AS186" t="s">
        <v>11124</v>
      </c>
      <c r="AT186" t="s">
        <v>11183</v>
      </c>
      <c r="AV186" t="s">
        <v>11230</v>
      </c>
      <c r="AW186" t="s">
        <v>11152</v>
      </c>
      <c r="AX186" t="s">
        <v>6895</v>
      </c>
    </row>
    <row r="187" spans="1:50">
      <c r="A187" s="1">
        <f>HYPERLINK("https://lsnyc.legalserver.org/matter/dynamic-profile/view/1897568","19-1897568")</f>
        <v>0</v>
      </c>
      <c r="B187" t="s">
        <v>112</v>
      </c>
      <c r="C187" t="s">
        <v>480</v>
      </c>
      <c r="D187" t="s">
        <v>1794</v>
      </c>
      <c r="E187" t="s">
        <v>3258</v>
      </c>
      <c r="F187" t="s">
        <v>5176</v>
      </c>
      <c r="G187" t="s">
        <v>5638</v>
      </c>
      <c r="H187">
        <v>10035</v>
      </c>
      <c r="I187" t="s">
        <v>5696</v>
      </c>
      <c r="J187" t="s">
        <v>5696</v>
      </c>
      <c r="M187" t="s">
        <v>6732</v>
      </c>
      <c r="N187" t="s">
        <v>6739</v>
      </c>
      <c r="O187" t="s">
        <v>6748</v>
      </c>
      <c r="R187" t="s">
        <v>6795</v>
      </c>
      <c r="U187">
        <v>0</v>
      </c>
      <c r="V187" t="s">
        <v>6836</v>
      </c>
      <c r="X187" t="s">
        <v>6857</v>
      </c>
      <c r="Y187" t="s">
        <v>7053</v>
      </c>
      <c r="AA187" t="s">
        <v>9234</v>
      </c>
      <c r="AB187">
        <v>0</v>
      </c>
      <c r="AE187">
        <v>0</v>
      </c>
      <c r="AF187">
        <v>1</v>
      </c>
      <c r="AG187">
        <v>0</v>
      </c>
      <c r="AH187">
        <v>74.08</v>
      </c>
      <c r="AK187" t="s">
        <v>10966</v>
      </c>
      <c r="AL187">
        <v>9252</v>
      </c>
      <c r="AR187">
        <v>1</v>
      </c>
      <c r="AS187" t="s">
        <v>11159</v>
      </c>
      <c r="AT187" t="s">
        <v>11185</v>
      </c>
      <c r="AV187" t="s">
        <v>11230</v>
      </c>
      <c r="AW187" t="s">
        <v>11159</v>
      </c>
      <c r="AX187" t="s">
        <v>10958</v>
      </c>
    </row>
    <row r="188" spans="1:50">
      <c r="A188" s="1">
        <f>HYPERLINK("https://lsnyc.legalserver.org/matter/dynamic-profile/view/1905383","19-1905383")</f>
        <v>0</v>
      </c>
      <c r="B188" t="s">
        <v>123</v>
      </c>
      <c r="C188" t="s">
        <v>481</v>
      </c>
      <c r="D188" t="s">
        <v>1795</v>
      </c>
      <c r="E188" t="s">
        <v>3259</v>
      </c>
      <c r="F188" t="s">
        <v>5196</v>
      </c>
      <c r="G188" t="s">
        <v>5638</v>
      </c>
      <c r="H188">
        <v>10027</v>
      </c>
      <c r="I188" t="s">
        <v>5697</v>
      </c>
      <c r="J188" t="s">
        <v>5696</v>
      </c>
      <c r="M188" t="s">
        <v>6732</v>
      </c>
      <c r="N188" t="s">
        <v>6739</v>
      </c>
      <c r="O188" t="s">
        <v>6768</v>
      </c>
      <c r="R188" t="s">
        <v>6793</v>
      </c>
      <c r="U188">
        <v>0</v>
      </c>
      <c r="V188" t="s">
        <v>6836</v>
      </c>
      <c r="X188" t="s">
        <v>6857</v>
      </c>
      <c r="Y188" t="s">
        <v>7054</v>
      </c>
      <c r="AA188" t="s">
        <v>9235</v>
      </c>
      <c r="AB188">
        <v>0</v>
      </c>
      <c r="AD188" t="s">
        <v>10945</v>
      </c>
      <c r="AE188">
        <v>0</v>
      </c>
      <c r="AF188">
        <v>2</v>
      </c>
      <c r="AG188">
        <v>0</v>
      </c>
      <c r="AH188">
        <v>12.77</v>
      </c>
      <c r="AK188" t="s">
        <v>10966</v>
      </c>
      <c r="AL188">
        <v>2160</v>
      </c>
      <c r="AR188">
        <v>4</v>
      </c>
      <c r="AS188" t="s">
        <v>6824</v>
      </c>
      <c r="AT188" t="s">
        <v>123</v>
      </c>
      <c r="AV188" t="s">
        <v>11230</v>
      </c>
      <c r="AW188" t="s">
        <v>6828</v>
      </c>
      <c r="AX188" t="s">
        <v>6826</v>
      </c>
    </row>
    <row r="189" spans="1:50">
      <c r="A189" s="1">
        <f>HYPERLINK("https://lsnyc.legalserver.org/matter/dynamic-profile/view/1897918","19-1897918")</f>
        <v>0</v>
      </c>
      <c r="B189" t="s">
        <v>112</v>
      </c>
      <c r="C189" t="s">
        <v>335</v>
      </c>
      <c r="D189" t="s">
        <v>1717</v>
      </c>
      <c r="E189" t="s">
        <v>3260</v>
      </c>
      <c r="F189" t="s">
        <v>5100</v>
      </c>
      <c r="G189" t="s">
        <v>5638</v>
      </c>
      <c r="H189">
        <v>10034</v>
      </c>
      <c r="I189" t="s">
        <v>5696</v>
      </c>
      <c r="J189" t="s">
        <v>5696</v>
      </c>
      <c r="M189" t="s">
        <v>6732</v>
      </c>
      <c r="N189" t="s">
        <v>6739</v>
      </c>
      <c r="O189" t="s">
        <v>6748</v>
      </c>
      <c r="R189" t="s">
        <v>6795</v>
      </c>
      <c r="U189">
        <v>0</v>
      </c>
      <c r="V189" t="s">
        <v>6836</v>
      </c>
      <c r="X189" t="s">
        <v>6857</v>
      </c>
      <c r="Y189" t="s">
        <v>7055</v>
      </c>
      <c r="AA189" t="s">
        <v>9236</v>
      </c>
      <c r="AB189">
        <v>0</v>
      </c>
      <c r="AE189">
        <v>0</v>
      </c>
      <c r="AF189">
        <v>1</v>
      </c>
      <c r="AG189">
        <v>0</v>
      </c>
      <c r="AH189">
        <v>134.51</v>
      </c>
      <c r="AK189" t="s">
        <v>10966</v>
      </c>
      <c r="AL189">
        <v>16800</v>
      </c>
      <c r="AR189">
        <v>1.2</v>
      </c>
      <c r="AS189" t="s">
        <v>11125</v>
      </c>
      <c r="AT189" t="s">
        <v>11185</v>
      </c>
      <c r="AV189" t="s">
        <v>11230</v>
      </c>
      <c r="AW189" t="s">
        <v>11125</v>
      </c>
      <c r="AX189" t="s">
        <v>10958</v>
      </c>
    </row>
    <row r="190" spans="1:50">
      <c r="A190" s="1">
        <f>HYPERLINK("https://lsnyc.legalserver.org/matter/dynamic-profile/view/1898407","19-1898407")</f>
        <v>0</v>
      </c>
      <c r="B190" t="s">
        <v>112</v>
      </c>
      <c r="C190" t="s">
        <v>343</v>
      </c>
      <c r="D190" t="s">
        <v>1796</v>
      </c>
      <c r="E190" t="s">
        <v>3261</v>
      </c>
      <c r="F190" t="s">
        <v>5197</v>
      </c>
      <c r="G190" t="s">
        <v>5638</v>
      </c>
      <c r="H190">
        <v>10029</v>
      </c>
      <c r="I190" t="s">
        <v>5696</v>
      </c>
      <c r="J190" t="s">
        <v>5696</v>
      </c>
      <c r="M190" t="s">
        <v>6732</v>
      </c>
      <c r="N190" t="s">
        <v>6739</v>
      </c>
      <c r="O190" t="s">
        <v>6748</v>
      </c>
      <c r="R190" t="s">
        <v>6793</v>
      </c>
      <c r="U190">
        <v>952</v>
      </c>
      <c r="V190" t="s">
        <v>6836</v>
      </c>
      <c r="X190" t="s">
        <v>6857</v>
      </c>
      <c r="Y190" t="s">
        <v>7056</v>
      </c>
      <c r="AA190" t="s">
        <v>9237</v>
      </c>
      <c r="AB190">
        <v>17</v>
      </c>
      <c r="AE190">
        <v>50</v>
      </c>
      <c r="AF190">
        <v>1</v>
      </c>
      <c r="AG190">
        <v>0</v>
      </c>
      <c r="AH190">
        <v>84.36</v>
      </c>
      <c r="AK190" t="s">
        <v>10967</v>
      </c>
      <c r="AL190">
        <v>10536</v>
      </c>
      <c r="AR190">
        <v>1</v>
      </c>
      <c r="AS190" t="s">
        <v>11141</v>
      </c>
      <c r="AT190" t="s">
        <v>11192</v>
      </c>
      <c r="AV190" t="s">
        <v>11230</v>
      </c>
      <c r="AW190" t="s">
        <v>11141</v>
      </c>
      <c r="AX190" t="s">
        <v>10958</v>
      </c>
    </row>
    <row r="191" spans="1:50">
      <c r="A191" s="1">
        <f>HYPERLINK("https://lsnyc.legalserver.org/matter/dynamic-profile/view/1904704","19-1904704")</f>
        <v>0</v>
      </c>
      <c r="B191" t="s">
        <v>124</v>
      </c>
      <c r="C191" t="s">
        <v>482</v>
      </c>
      <c r="D191" t="s">
        <v>1797</v>
      </c>
      <c r="E191" t="s">
        <v>3262</v>
      </c>
      <c r="F191" t="s">
        <v>5198</v>
      </c>
      <c r="G191" t="s">
        <v>5637</v>
      </c>
      <c r="H191">
        <v>11215</v>
      </c>
      <c r="I191" t="s">
        <v>5696</v>
      </c>
      <c r="J191" t="s">
        <v>5696</v>
      </c>
      <c r="M191" t="s">
        <v>6732</v>
      </c>
      <c r="N191" t="s">
        <v>6739</v>
      </c>
      <c r="O191" t="s">
        <v>6756</v>
      </c>
      <c r="R191" t="s">
        <v>6793</v>
      </c>
      <c r="U191">
        <v>0</v>
      </c>
      <c r="V191" t="s">
        <v>6835</v>
      </c>
      <c r="X191" t="s">
        <v>6857</v>
      </c>
      <c r="Y191" t="s">
        <v>7057</v>
      </c>
      <c r="AA191" t="s">
        <v>9238</v>
      </c>
      <c r="AB191">
        <v>0</v>
      </c>
      <c r="AE191">
        <v>0</v>
      </c>
      <c r="AF191">
        <v>1</v>
      </c>
      <c r="AG191">
        <v>0</v>
      </c>
      <c r="AH191">
        <v>240.19</v>
      </c>
      <c r="AK191" t="s">
        <v>10967</v>
      </c>
      <c r="AL191">
        <v>30000</v>
      </c>
      <c r="AR191">
        <v>0.8</v>
      </c>
      <c r="AS191" t="s">
        <v>6816</v>
      </c>
      <c r="AT191" t="s">
        <v>124</v>
      </c>
      <c r="AV191" t="s">
        <v>11230</v>
      </c>
      <c r="AW191" t="s">
        <v>6809</v>
      </c>
      <c r="AX191" t="s">
        <v>6816</v>
      </c>
    </row>
    <row r="192" spans="1:50">
      <c r="A192" s="1">
        <f>HYPERLINK("https://lsnyc.legalserver.org/matter/dynamic-profile/view/1904459","19-1904459")</f>
        <v>0</v>
      </c>
      <c r="B192" t="s">
        <v>99</v>
      </c>
      <c r="C192" t="s">
        <v>483</v>
      </c>
      <c r="D192" t="s">
        <v>1798</v>
      </c>
      <c r="E192" t="s">
        <v>3263</v>
      </c>
      <c r="F192" t="s">
        <v>5199</v>
      </c>
      <c r="G192" t="s">
        <v>5637</v>
      </c>
      <c r="H192">
        <v>11204</v>
      </c>
      <c r="I192" t="s">
        <v>5696</v>
      </c>
      <c r="J192" t="s">
        <v>5696</v>
      </c>
      <c r="M192" t="s">
        <v>6732</v>
      </c>
      <c r="N192" t="s">
        <v>6739</v>
      </c>
      <c r="O192" t="s">
        <v>6756</v>
      </c>
      <c r="R192" t="s">
        <v>6793</v>
      </c>
      <c r="T192" t="s">
        <v>6815</v>
      </c>
      <c r="U192">
        <v>0</v>
      </c>
      <c r="V192" t="s">
        <v>6835</v>
      </c>
      <c r="X192" t="s">
        <v>6857</v>
      </c>
      <c r="Y192" t="s">
        <v>7058</v>
      </c>
      <c r="AA192" t="s">
        <v>9239</v>
      </c>
      <c r="AB192">
        <v>0</v>
      </c>
      <c r="AE192">
        <v>0</v>
      </c>
      <c r="AF192">
        <v>3</v>
      </c>
      <c r="AG192">
        <v>1</v>
      </c>
      <c r="AH192">
        <v>77.67</v>
      </c>
      <c r="AK192" t="s">
        <v>10969</v>
      </c>
      <c r="AL192">
        <v>20000</v>
      </c>
      <c r="AR192">
        <v>2.5</v>
      </c>
      <c r="AS192" t="s">
        <v>6814</v>
      </c>
      <c r="AT192" t="s">
        <v>99</v>
      </c>
      <c r="AV192" t="s">
        <v>11230</v>
      </c>
      <c r="AW192" t="s">
        <v>6815</v>
      </c>
      <c r="AX192" t="s">
        <v>6814</v>
      </c>
    </row>
    <row r="193" spans="1:50">
      <c r="A193" s="1">
        <f>HYPERLINK("https://lsnyc.legalserver.org/matter/dynamic-profile/view/1898312","19-1898312")</f>
        <v>0</v>
      </c>
      <c r="B193" t="s">
        <v>112</v>
      </c>
      <c r="C193" t="s">
        <v>329</v>
      </c>
      <c r="D193" t="s">
        <v>1799</v>
      </c>
      <c r="E193" t="s">
        <v>3264</v>
      </c>
      <c r="F193">
        <v>53</v>
      </c>
      <c r="G193" t="s">
        <v>5638</v>
      </c>
      <c r="H193">
        <v>10032</v>
      </c>
      <c r="I193" t="s">
        <v>5696</v>
      </c>
      <c r="J193" t="s">
        <v>5696</v>
      </c>
      <c r="M193" t="s">
        <v>6732</v>
      </c>
      <c r="N193" t="s">
        <v>6739</v>
      </c>
      <c r="O193" t="s">
        <v>6748</v>
      </c>
      <c r="R193" t="s">
        <v>6793</v>
      </c>
      <c r="U193">
        <v>1500</v>
      </c>
      <c r="V193" t="s">
        <v>6836</v>
      </c>
      <c r="W193" t="s">
        <v>6842</v>
      </c>
      <c r="X193" t="s">
        <v>6857</v>
      </c>
      <c r="Y193" t="s">
        <v>7059</v>
      </c>
      <c r="AB193">
        <v>12</v>
      </c>
      <c r="AC193" t="s">
        <v>8953</v>
      </c>
      <c r="AE193">
        <v>12</v>
      </c>
      <c r="AF193">
        <v>1</v>
      </c>
      <c r="AG193">
        <v>2</v>
      </c>
      <c r="AH193">
        <v>0</v>
      </c>
      <c r="AK193" t="s">
        <v>10966</v>
      </c>
      <c r="AL193">
        <v>0</v>
      </c>
      <c r="AR193">
        <v>0.75</v>
      </c>
      <c r="AS193" t="s">
        <v>10956</v>
      </c>
      <c r="AT193" t="s">
        <v>11189</v>
      </c>
      <c r="AV193" t="s">
        <v>11230</v>
      </c>
      <c r="AW193" t="s">
        <v>10956</v>
      </c>
      <c r="AX193" t="s">
        <v>10958</v>
      </c>
    </row>
    <row r="194" spans="1:50">
      <c r="A194" s="1">
        <f>HYPERLINK("https://lsnyc.legalserver.org/matter/dynamic-profile/view/1901904","19-1901904")</f>
        <v>0</v>
      </c>
      <c r="B194" t="s">
        <v>125</v>
      </c>
      <c r="C194" t="s">
        <v>484</v>
      </c>
      <c r="D194" t="s">
        <v>1800</v>
      </c>
      <c r="E194" t="s">
        <v>3265</v>
      </c>
      <c r="F194">
        <v>214</v>
      </c>
      <c r="G194" t="s">
        <v>5635</v>
      </c>
      <c r="H194">
        <v>10453</v>
      </c>
      <c r="I194" t="s">
        <v>5696</v>
      </c>
      <c r="J194" t="s">
        <v>5696</v>
      </c>
      <c r="M194" t="s">
        <v>6732</v>
      </c>
      <c r="N194" t="s">
        <v>6739</v>
      </c>
      <c r="O194" t="s">
        <v>6753</v>
      </c>
      <c r="R194" t="s">
        <v>6793</v>
      </c>
      <c r="U194">
        <v>560</v>
      </c>
      <c r="V194" t="s">
        <v>6833</v>
      </c>
      <c r="X194" t="s">
        <v>6857</v>
      </c>
      <c r="Y194" t="s">
        <v>7060</v>
      </c>
      <c r="AB194">
        <v>0</v>
      </c>
      <c r="AE194">
        <v>28</v>
      </c>
      <c r="AF194">
        <v>1</v>
      </c>
      <c r="AG194">
        <v>0</v>
      </c>
      <c r="AH194">
        <v>224.18</v>
      </c>
      <c r="AK194" t="s">
        <v>10966</v>
      </c>
      <c r="AL194">
        <v>28000</v>
      </c>
      <c r="AM194" t="s">
        <v>11016</v>
      </c>
      <c r="AR194">
        <v>1.2</v>
      </c>
      <c r="AS194" t="s">
        <v>11116</v>
      </c>
      <c r="AT194" t="s">
        <v>139</v>
      </c>
      <c r="AV194" t="s">
        <v>11230</v>
      </c>
      <c r="AW194" t="s">
        <v>11150</v>
      </c>
      <c r="AX194" t="s">
        <v>6817</v>
      </c>
    </row>
    <row r="195" spans="1:50">
      <c r="A195" s="1">
        <f>HYPERLINK("https://lsnyc.legalserver.org/matter/dynamic-profile/view/1901394","19-1901394")</f>
        <v>0</v>
      </c>
      <c r="B195" t="s">
        <v>117</v>
      </c>
      <c r="C195" t="s">
        <v>485</v>
      </c>
      <c r="D195" t="s">
        <v>1801</v>
      </c>
      <c r="E195" t="s">
        <v>3266</v>
      </c>
      <c r="G195" t="s">
        <v>5637</v>
      </c>
      <c r="H195">
        <v>11219</v>
      </c>
      <c r="I195" t="s">
        <v>5696</v>
      </c>
      <c r="J195" t="s">
        <v>5696</v>
      </c>
      <c r="M195" t="s">
        <v>6732</v>
      </c>
      <c r="N195" t="s">
        <v>6739</v>
      </c>
      <c r="O195" t="s">
        <v>6754</v>
      </c>
      <c r="R195" t="s">
        <v>6795</v>
      </c>
      <c r="U195">
        <v>0</v>
      </c>
      <c r="V195" t="s">
        <v>6835</v>
      </c>
      <c r="X195" t="s">
        <v>6857</v>
      </c>
      <c r="Y195" t="s">
        <v>7061</v>
      </c>
      <c r="AB195">
        <v>0</v>
      </c>
      <c r="AE195">
        <v>0</v>
      </c>
      <c r="AF195">
        <v>1</v>
      </c>
      <c r="AG195">
        <v>0</v>
      </c>
      <c r="AH195">
        <v>81.67</v>
      </c>
      <c r="AK195" t="s">
        <v>10966</v>
      </c>
      <c r="AL195">
        <v>10200</v>
      </c>
      <c r="AR195">
        <v>3.45</v>
      </c>
      <c r="AS195" t="s">
        <v>6820</v>
      </c>
      <c r="AT195" t="s">
        <v>117</v>
      </c>
      <c r="AV195" t="s">
        <v>11230</v>
      </c>
      <c r="AW195" t="s">
        <v>11148</v>
      </c>
      <c r="AX195" t="s">
        <v>6820</v>
      </c>
    </row>
    <row r="196" spans="1:50">
      <c r="A196" s="1">
        <f>HYPERLINK("https://lsnyc.legalserver.org/matter/dynamic-profile/view/1900336","19-1900336")</f>
        <v>0</v>
      </c>
      <c r="B196" t="s">
        <v>115</v>
      </c>
      <c r="C196" t="s">
        <v>486</v>
      </c>
      <c r="D196" t="s">
        <v>1802</v>
      </c>
      <c r="E196" t="s">
        <v>3267</v>
      </c>
      <c r="G196" t="s">
        <v>5652</v>
      </c>
      <c r="H196">
        <v>11692</v>
      </c>
      <c r="I196" t="s">
        <v>5696</v>
      </c>
      <c r="J196" t="s">
        <v>5696</v>
      </c>
      <c r="M196" t="s">
        <v>6732</v>
      </c>
      <c r="N196" t="s">
        <v>6739</v>
      </c>
      <c r="O196" t="s">
        <v>6767</v>
      </c>
      <c r="R196" t="s">
        <v>6799</v>
      </c>
      <c r="U196">
        <v>0</v>
      </c>
      <c r="V196" t="s">
        <v>6837</v>
      </c>
      <c r="X196" t="s">
        <v>6857</v>
      </c>
      <c r="Y196" t="s">
        <v>7062</v>
      </c>
      <c r="AB196">
        <v>0</v>
      </c>
      <c r="AE196">
        <v>0</v>
      </c>
      <c r="AF196">
        <v>1</v>
      </c>
      <c r="AG196">
        <v>0</v>
      </c>
      <c r="AH196">
        <v>120.1</v>
      </c>
      <c r="AK196" t="s">
        <v>10966</v>
      </c>
      <c r="AL196">
        <v>15000</v>
      </c>
      <c r="AR196">
        <v>1</v>
      </c>
      <c r="AS196" t="s">
        <v>11160</v>
      </c>
      <c r="AT196" t="s">
        <v>11189</v>
      </c>
      <c r="AV196" t="s">
        <v>11230</v>
      </c>
      <c r="AW196" t="s">
        <v>11155</v>
      </c>
      <c r="AX196" t="s">
        <v>6828</v>
      </c>
    </row>
    <row r="197" spans="1:50">
      <c r="A197" s="1">
        <f>HYPERLINK("https://lsnyc.legalserver.org/matter/dynamic-profile/view/1902022","19-1902022")</f>
        <v>0</v>
      </c>
      <c r="B197" t="s">
        <v>99</v>
      </c>
      <c r="C197" t="s">
        <v>369</v>
      </c>
      <c r="D197" t="s">
        <v>1803</v>
      </c>
      <c r="E197" t="s">
        <v>3268</v>
      </c>
      <c r="F197" t="s">
        <v>5200</v>
      </c>
      <c r="G197" t="s">
        <v>5637</v>
      </c>
      <c r="H197">
        <v>11220</v>
      </c>
      <c r="I197" t="s">
        <v>5696</v>
      </c>
      <c r="J197" t="s">
        <v>5696</v>
      </c>
      <c r="M197" t="s">
        <v>6732</v>
      </c>
      <c r="N197" t="s">
        <v>6739</v>
      </c>
      <c r="O197" t="s">
        <v>6754</v>
      </c>
      <c r="R197" t="s">
        <v>6793</v>
      </c>
      <c r="U197">
        <v>843.75</v>
      </c>
      <c r="V197" t="s">
        <v>6835</v>
      </c>
      <c r="X197" t="s">
        <v>6857</v>
      </c>
      <c r="Y197" t="s">
        <v>7063</v>
      </c>
      <c r="AB197">
        <v>0</v>
      </c>
      <c r="AE197">
        <v>0</v>
      </c>
      <c r="AF197">
        <v>2</v>
      </c>
      <c r="AG197">
        <v>0</v>
      </c>
      <c r="AH197">
        <v>123.19</v>
      </c>
      <c r="AK197" t="s">
        <v>10966</v>
      </c>
      <c r="AL197">
        <v>20832</v>
      </c>
      <c r="AR197">
        <v>1.5</v>
      </c>
      <c r="AS197" t="s">
        <v>6822</v>
      </c>
      <c r="AT197" t="s">
        <v>99</v>
      </c>
      <c r="AV197" t="s">
        <v>11230</v>
      </c>
      <c r="AW197" t="s">
        <v>11161</v>
      </c>
      <c r="AX197" t="s">
        <v>11140</v>
      </c>
    </row>
    <row r="198" spans="1:50">
      <c r="A198" s="1">
        <f>HYPERLINK("https://lsnyc.legalserver.org/matter/dynamic-profile/view/1902113","19-1902113")</f>
        <v>0</v>
      </c>
      <c r="B198" t="s">
        <v>126</v>
      </c>
      <c r="C198" t="s">
        <v>487</v>
      </c>
      <c r="D198" t="s">
        <v>1804</v>
      </c>
      <c r="E198" t="s">
        <v>3269</v>
      </c>
      <c r="F198" t="s">
        <v>5201</v>
      </c>
      <c r="G198" t="s">
        <v>5635</v>
      </c>
      <c r="H198">
        <v>10467</v>
      </c>
      <c r="I198" t="s">
        <v>5696</v>
      </c>
      <c r="J198" t="s">
        <v>5696</v>
      </c>
      <c r="M198" t="s">
        <v>6732</v>
      </c>
      <c r="N198" t="s">
        <v>6739</v>
      </c>
      <c r="O198" t="s">
        <v>6764</v>
      </c>
      <c r="R198" t="s">
        <v>6793</v>
      </c>
      <c r="U198">
        <v>0</v>
      </c>
      <c r="V198" t="s">
        <v>6833</v>
      </c>
      <c r="X198" t="s">
        <v>6857</v>
      </c>
      <c r="Y198" t="s">
        <v>7064</v>
      </c>
      <c r="AB198">
        <v>0</v>
      </c>
      <c r="AE198">
        <v>0</v>
      </c>
      <c r="AF198">
        <v>1</v>
      </c>
      <c r="AG198">
        <v>0</v>
      </c>
      <c r="AH198">
        <v>192.15</v>
      </c>
      <c r="AK198" t="s">
        <v>10966</v>
      </c>
      <c r="AL198">
        <v>24000</v>
      </c>
      <c r="AR198">
        <v>1.25</v>
      </c>
      <c r="AS198" t="s">
        <v>11161</v>
      </c>
      <c r="AT198" t="s">
        <v>126</v>
      </c>
      <c r="AV198" t="s">
        <v>11230</v>
      </c>
      <c r="AW198" t="s">
        <v>11161</v>
      </c>
      <c r="AX198" t="s">
        <v>11161</v>
      </c>
    </row>
    <row r="199" spans="1:50">
      <c r="A199" s="1">
        <f>HYPERLINK("https://lsnyc.legalserver.org/matter/dynamic-profile/view/1903605","19-1903605")</f>
        <v>0</v>
      </c>
      <c r="B199" t="s">
        <v>117</v>
      </c>
      <c r="C199" t="s">
        <v>488</v>
      </c>
      <c r="D199" t="s">
        <v>1757</v>
      </c>
      <c r="E199" t="s">
        <v>3270</v>
      </c>
      <c r="F199" t="s">
        <v>5202</v>
      </c>
      <c r="G199" t="s">
        <v>5637</v>
      </c>
      <c r="H199">
        <v>11228</v>
      </c>
      <c r="I199" t="s">
        <v>5696</v>
      </c>
      <c r="J199" t="s">
        <v>5696</v>
      </c>
      <c r="M199" t="s">
        <v>6732</v>
      </c>
      <c r="N199" t="s">
        <v>6739</v>
      </c>
      <c r="O199" t="s">
        <v>6756</v>
      </c>
      <c r="R199" t="s">
        <v>6795</v>
      </c>
      <c r="U199">
        <v>0</v>
      </c>
      <c r="V199" t="s">
        <v>6835</v>
      </c>
      <c r="X199" t="s">
        <v>6857</v>
      </c>
      <c r="Y199" t="s">
        <v>7065</v>
      </c>
      <c r="AB199">
        <v>0</v>
      </c>
      <c r="AE199">
        <v>0</v>
      </c>
      <c r="AF199">
        <v>1</v>
      </c>
      <c r="AG199">
        <v>2</v>
      </c>
      <c r="AH199">
        <v>255.98</v>
      </c>
      <c r="AK199" t="s">
        <v>10966</v>
      </c>
      <c r="AL199">
        <v>54600</v>
      </c>
      <c r="AR199">
        <v>1.25</v>
      </c>
      <c r="AS199" t="s">
        <v>6811</v>
      </c>
      <c r="AT199" t="s">
        <v>117</v>
      </c>
      <c r="AV199" t="s">
        <v>11230</v>
      </c>
      <c r="AW199" t="s">
        <v>11147</v>
      </c>
      <c r="AX199" t="s">
        <v>6811</v>
      </c>
    </row>
    <row r="200" spans="1:50">
      <c r="A200" s="1">
        <f>HYPERLINK("https://lsnyc.legalserver.org/matter/dynamic-profile/view/1895686","19-1895686")</f>
        <v>0</v>
      </c>
      <c r="B200" t="s">
        <v>126</v>
      </c>
      <c r="C200" t="s">
        <v>489</v>
      </c>
      <c r="D200" t="s">
        <v>1805</v>
      </c>
      <c r="E200" t="s">
        <v>3271</v>
      </c>
      <c r="G200" t="s">
        <v>5635</v>
      </c>
      <c r="H200">
        <v>10467</v>
      </c>
      <c r="I200" t="s">
        <v>5696</v>
      </c>
      <c r="J200" t="s">
        <v>5696</v>
      </c>
      <c r="M200" t="s">
        <v>6732</v>
      </c>
      <c r="N200" t="s">
        <v>6739</v>
      </c>
      <c r="O200" t="s">
        <v>6764</v>
      </c>
      <c r="R200" t="s">
        <v>6797</v>
      </c>
      <c r="U200">
        <v>0</v>
      </c>
      <c r="V200" t="s">
        <v>6833</v>
      </c>
      <c r="X200" t="s">
        <v>6857</v>
      </c>
      <c r="Y200" t="s">
        <v>7066</v>
      </c>
      <c r="AB200">
        <v>0</v>
      </c>
      <c r="AE200">
        <v>0</v>
      </c>
      <c r="AF200">
        <v>2</v>
      </c>
      <c r="AG200">
        <v>0</v>
      </c>
      <c r="AH200">
        <v>354.82</v>
      </c>
      <c r="AK200" t="s">
        <v>10966</v>
      </c>
      <c r="AL200">
        <v>60000</v>
      </c>
      <c r="AR200">
        <v>1.5</v>
      </c>
      <c r="AS200" t="s">
        <v>11149</v>
      </c>
      <c r="AT200" t="s">
        <v>126</v>
      </c>
      <c r="AV200" t="s">
        <v>11230</v>
      </c>
      <c r="AW200" t="s">
        <v>10960</v>
      </c>
      <c r="AX200" t="s">
        <v>11149</v>
      </c>
    </row>
    <row r="201" spans="1:50">
      <c r="A201" s="1">
        <f>HYPERLINK("https://lsnyc.legalserver.org/matter/dynamic-profile/view/1896603","19-1896603")</f>
        <v>0</v>
      </c>
      <c r="B201" t="s">
        <v>72</v>
      </c>
      <c r="C201" t="s">
        <v>490</v>
      </c>
      <c r="D201" t="s">
        <v>1806</v>
      </c>
      <c r="E201" t="s">
        <v>3272</v>
      </c>
      <c r="F201" t="s">
        <v>5203</v>
      </c>
      <c r="G201" t="s">
        <v>5637</v>
      </c>
      <c r="H201">
        <v>11206</v>
      </c>
      <c r="I201" t="s">
        <v>5696</v>
      </c>
      <c r="J201" t="s">
        <v>5696</v>
      </c>
      <c r="M201" t="s">
        <v>6732</v>
      </c>
      <c r="N201" t="s">
        <v>6739</v>
      </c>
      <c r="O201" t="s">
        <v>6755</v>
      </c>
      <c r="R201" t="s">
        <v>6793</v>
      </c>
      <c r="U201">
        <v>0</v>
      </c>
      <c r="V201" t="s">
        <v>6835</v>
      </c>
      <c r="X201" t="s">
        <v>6857</v>
      </c>
      <c r="Y201" t="s">
        <v>7067</v>
      </c>
      <c r="AB201">
        <v>0</v>
      </c>
      <c r="AE201">
        <v>0</v>
      </c>
      <c r="AF201">
        <v>1</v>
      </c>
      <c r="AG201">
        <v>0</v>
      </c>
      <c r="AH201">
        <v>400.32</v>
      </c>
      <c r="AK201" t="s">
        <v>10966</v>
      </c>
      <c r="AL201">
        <v>50000</v>
      </c>
      <c r="AR201">
        <v>2.75</v>
      </c>
      <c r="AS201" t="s">
        <v>11116</v>
      </c>
      <c r="AT201" t="s">
        <v>11205</v>
      </c>
      <c r="AV201" t="s">
        <v>11230</v>
      </c>
      <c r="AW201" t="s">
        <v>11154</v>
      </c>
      <c r="AX201" t="s">
        <v>11116</v>
      </c>
    </row>
    <row r="202" spans="1:50">
      <c r="A202" s="1">
        <f>HYPERLINK("https://lsnyc.legalserver.org/matter/dynamic-profile/view/1899783","19-1899783")</f>
        <v>0</v>
      </c>
      <c r="B202" t="s">
        <v>85</v>
      </c>
      <c r="C202" t="s">
        <v>491</v>
      </c>
      <c r="D202" t="s">
        <v>1807</v>
      </c>
      <c r="E202" t="s">
        <v>3273</v>
      </c>
      <c r="F202" t="s">
        <v>5128</v>
      </c>
      <c r="G202" t="s">
        <v>5637</v>
      </c>
      <c r="H202">
        <v>11235</v>
      </c>
      <c r="I202" t="s">
        <v>5696</v>
      </c>
      <c r="J202" t="s">
        <v>5696</v>
      </c>
      <c r="M202" t="s">
        <v>6732</v>
      </c>
      <c r="N202" t="s">
        <v>6739</v>
      </c>
      <c r="O202" t="s">
        <v>6754</v>
      </c>
      <c r="R202" t="s">
        <v>6796</v>
      </c>
      <c r="U202">
        <v>0</v>
      </c>
      <c r="V202" t="s">
        <v>6835</v>
      </c>
      <c r="X202" t="s">
        <v>6857</v>
      </c>
      <c r="Y202" t="s">
        <v>7068</v>
      </c>
      <c r="AB202">
        <v>0</v>
      </c>
      <c r="AD202" t="s">
        <v>10944</v>
      </c>
      <c r="AE202">
        <v>0</v>
      </c>
      <c r="AF202">
        <v>1</v>
      </c>
      <c r="AG202">
        <v>0</v>
      </c>
      <c r="AH202">
        <v>57.65</v>
      </c>
      <c r="AK202" t="s">
        <v>10969</v>
      </c>
      <c r="AL202">
        <v>7200</v>
      </c>
      <c r="AR202">
        <v>4</v>
      </c>
      <c r="AS202" t="s">
        <v>11162</v>
      </c>
      <c r="AT202" t="s">
        <v>85</v>
      </c>
      <c r="AV202" t="s">
        <v>11230</v>
      </c>
      <c r="AW202" t="s">
        <v>11146</v>
      </c>
      <c r="AX202" t="s">
        <v>11143</v>
      </c>
    </row>
    <row r="203" spans="1:50">
      <c r="A203" s="1">
        <f>HYPERLINK("https://lsnyc.legalserver.org/matter/dynamic-profile/view/1901676","19-1901676")</f>
        <v>0</v>
      </c>
      <c r="B203" t="s">
        <v>127</v>
      </c>
      <c r="C203" t="s">
        <v>492</v>
      </c>
      <c r="D203" t="s">
        <v>1808</v>
      </c>
      <c r="E203" t="s">
        <v>3265</v>
      </c>
      <c r="F203">
        <v>402</v>
      </c>
      <c r="G203" t="s">
        <v>5635</v>
      </c>
      <c r="H203">
        <v>10453</v>
      </c>
      <c r="I203" t="s">
        <v>5695</v>
      </c>
      <c r="J203" t="s">
        <v>5696</v>
      </c>
      <c r="M203" t="s">
        <v>6732</v>
      </c>
      <c r="N203" t="s">
        <v>6739</v>
      </c>
      <c r="O203" t="s">
        <v>6745</v>
      </c>
      <c r="P203" t="s">
        <v>5697</v>
      </c>
      <c r="R203" t="s">
        <v>6793</v>
      </c>
      <c r="U203">
        <v>1048</v>
      </c>
      <c r="V203" t="s">
        <v>6833</v>
      </c>
      <c r="W203" t="s">
        <v>6838</v>
      </c>
      <c r="X203" t="s">
        <v>6857</v>
      </c>
      <c r="Y203" t="s">
        <v>7069</v>
      </c>
      <c r="AB203">
        <v>146</v>
      </c>
      <c r="AC203" t="s">
        <v>8953</v>
      </c>
      <c r="AD203" t="s">
        <v>5741</v>
      </c>
      <c r="AE203">
        <v>4</v>
      </c>
      <c r="AF203">
        <v>2</v>
      </c>
      <c r="AG203">
        <v>1</v>
      </c>
      <c r="AH203">
        <v>109.7</v>
      </c>
      <c r="AK203" t="s">
        <v>10967</v>
      </c>
      <c r="AL203">
        <v>23400</v>
      </c>
      <c r="AR203">
        <v>1</v>
      </c>
      <c r="AS203" t="s">
        <v>11143</v>
      </c>
      <c r="AT203" t="s">
        <v>219</v>
      </c>
      <c r="AU203" t="s">
        <v>11228</v>
      </c>
      <c r="AV203" t="s">
        <v>11230</v>
      </c>
      <c r="AW203" t="s">
        <v>11143</v>
      </c>
      <c r="AX203" t="s">
        <v>11149</v>
      </c>
    </row>
    <row r="204" spans="1:50">
      <c r="A204" s="1">
        <f>HYPERLINK("https://lsnyc.legalserver.org/matter/dynamic-profile/view/1905491","19-1905491")</f>
        <v>0</v>
      </c>
      <c r="B204" t="s">
        <v>53</v>
      </c>
      <c r="C204" t="s">
        <v>493</v>
      </c>
      <c r="D204" t="s">
        <v>1809</v>
      </c>
      <c r="E204" t="s">
        <v>3274</v>
      </c>
      <c r="F204" t="s">
        <v>5204</v>
      </c>
      <c r="G204" t="s">
        <v>5635</v>
      </c>
      <c r="H204">
        <v>10468</v>
      </c>
      <c r="I204" t="s">
        <v>5695</v>
      </c>
      <c r="J204" t="s">
        <v>5696</v>
      </c>
      <c r="M204" t="s">
        <v>6732</v>
      </c>
      <c r="N204" t="s">
        <v>6739</v>
      </c>
      <c r="O204" t="s">
        <v>6763</v>
      </c>
      <c r="R204" t="s">
        <v>6793</v>
      </c>
      <c r="U204">
        <v>1160</v>
      </c>
      <c r="V204" t="s">
        <v>6833</v>
      </c>
      <c r="X204" t="s">
        <v>6857</v>
      </c>
      <c r="Y204" t="s">
        <v>7070</v>
      </c>
      <c r="AB204">
        <v>0</v>
      </c>
      <c r="AE204">
        <v>9</v>
      </c>
      <c r="AF204">
        <v>2</v>
      </c>
      <c r="AG204">
        <v>1</v>
      </c>
      <c r="AH204">
        <v>248.48</v>
      </c>
      <c r="AK204" t="s">
        <v>10967</v>
      </c>
      <c r="AL204">
        <v>53000</v>
      </c>
      <c r="AR204">
        <v>0.2</v>
      </c>
      <c r="AS204" t="s">
        <v>6820</v>
      </c>
      <c r="AT204" t="s">
        <v>139</v>
      </c>
      <c r="AV204" t="s">
        <v>11230</v>
      </c>
      <c r="AW204" t="s">
        <v>6822</v>
      </c>
      <c r="AX204" t="s">
        <v>6820</v>
      </c>
    </row>
    <row r="205" spans="1:50">
      <c r="A205" s="1">
        <f>HYPERLINK("https://lsnyc.legalserver.org/matter/dynamic-profile/view/1905411","19-1905411")</f>
        <v>0</v>
      </c>
      <c r="B205" t="s">
        <v>50</v>
      </c>
      <c r="C205" t="s">
        <v>343</v>
      </c>
      <c r="D205" t="s">
        <v>1810</v>
      </c>
      <c r="E205" t="s">
        <v>3275</v>
      </c>
      <c r="F205" t="s">
        <v>5158</v>
      </c>
      <c r="G205" t="s">
        <v>5635</v>
      </c>
      <c r="H205">
        <v>10457</v>
      </c>
      <c r="I205" t="s">
        <v>5695</v>
      </c>
      <c r="J205" t="s">
        <v>5696</v>
      </c>
      <c r="M205" t="s">
        <v>6732</v>
      </c>
      <c r="N205" t="s">
        <v>6739</v>
      </c>
      <c r="O205" t="s">
        <v>6745</v>
      </c>
      <c r="P205" t="s">
        <v>5697</v>
      </c>
      <c r="R205" t="s">
        <v>6793</v>
      </c>
      <c r="U205">
        <v>0</v>
      </c>
      <c r="V205" t="s">
        <v>6833</v>
      </c>
      <c r="W205" t="s">
        <v>6838</v>
      </c>
      <c r="X205" t="s">
        <v>6857</v>
      </c>
      <c r="Y205" t="s">
        <v>7071</v>
      </c>
      <c r="AB205">
        <v>10</v>
      </c>
      <c r="AC205" t="s">
        <v>8953</v>
      </c>
      <c r="AD205" t="s">
        <v>5741</v>
      </c>
      <c r="AE205">
        <v>28</v>
      </c>
      <c r="AF205">
        <v>2</v>
      </c>
      <c r="AG205">
        <v>0</v>
      </c>
      <c r="AH205">
        <v>212.89</v>
      </c>
      <c r="AK205" t="s">
        <v>10967</v>
      </c>
      <c r="AL205">
        <v>36000</v>
      </c>
      <c r="AR205">
        <v>1.5</v>
      </c>
      <c r="AS205" t="s">
        <v>6826</v>
      </c>
      <c r="AT205" t="s">
        <v>11176</v>
      </c>
      <c r="AU205" t="s">
        <v>11228</v>
      </c>
      <c r="AV205" t="s">
        <v>11230</v>
      </c>
      <c r="AW205" t="s">
        <v>6822</v>
      </c>
      <c r="AX205" t="s">
        <v>6827</v>
      </c>
    </row>
    <row r="206" spans="1:50">
      <c r="A206" s="1">
        <f>HYPERLINK("https://lsnyc.legalserver.org/matter/dynamic-profile/view/1897921","19-1897921")</f>
        <v>0</v>
      </c>
      <c r="B206" t="s">
        <v>68</v>
      </c>
      <c r="C206" t="s">
        <v>494</v>
      </c>
      <c r="D206" t="s">
        <v>1811</v>
      </c>
      <c r="E206" t="s">
        <v>3276</v>
      </c>
      <c r="F206" t="s">
        <v>5187</v>
      </c>
      <c r="G206" t="s">
        <v>5637</v>
      </c>
      <c r="H206">
        <v>11220</v>
      </c>
      <c r="I206" t="s">
        <v>5696</v>
      </c>
      <c r="J206" t="s">
        <v>5696</v>
      </c>
      <c r="M206" t="s">
        <v>6732</v>
      </c>
      <c r="N206" t="s">
        <v>6739</v>
      </c>
      <c r="O206" t="s">
        <v>6756</v>
      </c>
      <c r="R206" t="s">
        <v>6793</v>
      </c>
      <c r="U206">
        <v>0</v>
      </c>
      <c r="V206" t="s">
        <v>6835</v>
      </c>
      <c r="X206" t="s">
        <v>6857</v>
      </c>
      <c r="Y206" t="s">
        <v>7072</v>
      </c>
      <c r="AB206">
        <v>0</v>
      </c>
      <c r="AE206">
        <v>0</v>
      </c>
      <c r="AF206">
        <v>2</v>
      </c>
      <c r="AG206">
        <v>6</v>
      </c>
      <c r="AH206">
        <v>88.42</v>
      </c>
      <c r="AK206" t="s">
        <v>10967</v>
      </c>
      <c r="AL206">
        <v>38400</v>
      </c>
      <c r="AR206">
        <v>1</v>
      </c>
      <c r="AS206" t="s">
        <v>11125</v>
      </c>
      <c r="AT206" t="s">
        <v>68</v>
      </c>
      <c r="AV206" t="s">
        <v>11230</v>
      </c>
      <c r="AW206" t="s">
        <v>11125</v>
      </c>
      <c r="AX206" t="s">
        <v>11117</v>
      </c>
    </row>
    <row r="207" spans="1:50">
      <c r="A207" s="1">
        <f>HYPERLINK("https://lsnyc.legalserver.org/matter/dynamic-profile/view/1896269","19-1896269")</f>
        <v>0</v>
      </c>
      <c r="B207" t="s">
        <v>99</v>
      </c>
      <c r="C207" t="s">
        <v>495</v>
      </c>
      <c r="D207" t="s">
        <v>1812</v>
      </c>
      <c r="E207" t="s">
        <v>3277</v>
      </c>
      <c r="F207">
        <v>1</v>
      </c>
      <c r="G207" t="s">
        <v>5637</v>
      </c>
      <c r="H207">
        <v>11211</v>
      </c>
      <c r="I207" t="s">
        <v>5696</v>
      </c>
      <c r="J207" t="s">
        <v>5696</v>
      </c>
      <c r="M207" t="s">
        <v>6732</v>
      </c>
      <c r="N207" t="s">
        <v>6739</v>
      </c>
      <c r="O207" t="s">
        <v>6754</v>
      </c>
      <c r="R207" t="s">
        <v>6793</v>
      </c>
      <c r="U207">
        <v>0</v>
      </c>
      <c r="V207" t="s">
        <v>6835</v>
      </c>
      <c r="X207" t="s">
        <v>6857</v>
      </c>
      <c r="Y207" t="s">
        <v>7073</v>
      </c>
      <c r="AB207">
        <v>0</v>
      </c>
      <c r="AE207">
        <v>0</v>
      </c>
      <c r="AF207">
        <v>3</v>
      </c>
      <c r="AG207">
        <v>0</v>
      </c>
      <c r="AH207">
        <v>378.79</v>
      </c>
      <c r="AK207" t="s">
        <v>10967</v>
      </c>
      <c r="AL207">
        <v>80796</v>
      </c>
      <c r="AR207">
        <v>7.65</v>
      </c>
      <c r="AS207" t="s">
        <v>11121</v>
      </c>
      <c r="AT207" t="s">
        <v>99</v>
      </c>
      <c r="AV207" t="s">
        <v>11230</v>
      </c>
      <c r="AW207" t="s">
        <v>11167</v>
      </c>
      <c r="AX207" t="s">
        <v>11125</v>
      </c>
    </row>
    <row r="208" spans="1:50">
      <c r="A208" s="1">
        <f>HYPERLINK("https://lsnyc.legalserver.org/matter/dynamic-profile/view/1895029","19-1895029")</f>
        <v>0</v>
      </c>
      <c r="B208" t="s">
        <v>128</v>
      </c>
      <c r="C208" t="s">
        <v>496</v>
      </c>
      <c r="D208" t="s">
        <v>1813</v>
      </c>
      <c r="E208" t="s">
        <v>3278</v>
      </c>
      <c r="G208" t="s">
        <v>5637</v>
      </c>
      <c r="H208">
        <v>11216</v>
      </c>
      <c r="I208" t="s">
        <v>5696</v>
      </c>
      <c r="J208" t="s">
        <v>5696</v>
      </c>
      <c r="M208" t="s">
        <v>6732</v>
      </c>
      <c r="N208" t="s">
        <v>6739</v>
      </c>
      <c r="O208" t="s">
        <v>6769</v>
      </c>
      <c r="R208" t="s">
        <v>6798</v>
      </c>
      <c r="U208">
        <v>0</v>
      </c>
      <c r="V208" t="s">
        <v>6835</v>
      </c>
      <c r="X208" t="s">
        <v>6858</v>
      </c>
      <c r="Y208" t="s">
        <v>7074</v>
      </c>
      <c r="AB208">
        <v>0</v>
      </c>
      <c r="AE208">
        <v>0</v>
      </c>
      <c r="AF208">
        <v>1</v>
      </c>
      <c r="AG208">
        <v>0</v>
      </c>
      <c r="AH208">
        <v>19.22</v>
      </c>
      <c r="AL208">
        <v>2400</v>
      </c>
      <c r="AR208">
        <v>2.7</v>
      </c>
      <c r="AS208" t="s">
        <v>11119</v>
      </c>
      <c r="AT208" t="s">
        <v>128</v>
      </c>
      <c r="AV208" t="s">
        <v>11230</v>
      </c>
      <c r="AW208" t="s">
        <v>11119</v>
      </c>
      <c r="AX208" t="s">
        <v>11129</v>
      </c>
    </row>
    <row r="209" spans="1:50">
      <c r="A209" s="1">
        <f>HYPERLINK("https://lsnyc.legalserver.org/matter/dynamic-profile/view/1901666","19-1901666")</f>
        <v>0</v>
      </c>
      <c r="B209" t="s">
        <v>95</v>
      </c>
      <c r="C209" t="s">
        <v>497</v>
      </c>
      <c r="D209" t="s">
        <v>1814</v>
      </c>
      <c r="E209" t="s">
        <v>3279</v>
      </c>
      <c r="F209">
        <v>2</v>
      </c>
      <c r="G209" t="s">
        <v>5637</v>
      </c>
      <c r="H209">
        <v>11222</v>
      </c>
      <c r="I209" t="s">
        <v>5696</v>
      </c>
      <c r="J209" t="s">
        <v>5696</v>
      </c>
      <c r="M209" t="s">
        <v>6732</v>
      </c>
      <c r="N209" t="s">
        <v>6739</v>
      </c>
      <c r="O209" t="s">
        <v>6756</v>
      </c>
      <c r="R209" t="s">
        <v>6793</v>
      </c>
      <c r="U209">
        <v>0</v>
      </c>
      <c r="V209" t="s">
        <v>6835</v>
      </c>
      <c r="X209" t="s">
        <v>6857</v>
      </c>
      <c r="Y209" t="s">
        <v>7075</v>
      </c>
      <c r="AB209">
        <v>0</v>
      </c>
      <c r="AE209">
        <v>0</v>
      </c>
      <c r="AF209">
        <v>2</v>
      </c>
      <c r="AG209">
        <v>0</v>
      </c>
      <c r="AH209">
        <v>147.84</v>
      </c>
      <c r="AL209">
        <v>25000</v>
      </c>
      <c r="AR209">
        <v>0.55</v>
      </c>
      <c r="AS209" t="s">
        <v>11139</v>
      </c>
      <c r="AT209" t="s">
        <v>11206</v>
      </c>
      <c r="AV209" t="s">
        <v>11230</v>
      </c>
      <c r="AW209" t="s">
        <v>11139</v>
      </c>
      <c r="AX209" t="s">
        <v>11139</v>
      </c>
    </row>
    <row r="210" spans="1:50">
      <c r="A210" s="1">
        <f>HYPERLINK("https://lsnyc.legalserver.org/matter/dynamic-profile/view/1903295","19-1903295")</f>
        <v>0</v>
      </c>
      <c r="B210" t="s">
        <v>85</v>
      </c>
      <c r="C210" t="s">
        <v>412</v>
      </c>
      <c r="D210" t="s">
        <v>1815</v>
      </c>
      <c r="E210" t="s">
        <v>3280</v>
      </c>
      <c r="F210" t="s">
        <v>5205</v>
      </c>
      <c r="G210" t="s">
        <v>5637</v>
      </c>
      <c r="H210">
        <v>11218</v>
      </c>
      <c r="I210" t="s">
        <v>5696</v>
      </c>
      <c r="J210" t="s">
        <v>5696</v>
      </c>
      <c r="L210" t="s">
        <v>5740</v>
      </c>
      <c r="M210" t="s">
        <v>6733</v>
      </c>
      <c r="N210" t="s">
        <v>6739</v>
      </c>
      <c r="O210" t="s">
        <v>6754</v>
      </c>
      <c r="R210" t="s">
        <v>6795</v>
      </c>
      <c r="U210">
        <v>0</v>
      </c>
      <c r="V210" t="s">
        <v>6835</v>
      </c>
      <c r="X210" t="s">
        <v>6857</v>
      </c>
      <c r="Y210" t="s">
        <v>7076</v>
      </c>
      <c r="AA210" t="s">
        <v>9240</v>
      </c>
      <c r="AB210">
        <v>0</v>
      </c>
      <c r="AD210" t="s">
        <v>10945</v>
      </c>
      <c r="AE210">
        <v>0</v>
      </c>
      <c r="AF210">
        <v>2</v>
      </c>
      <c r="AG210">
        <v>0</v>
      </c>
      <c r="AH210">
        <v>60.89</v>
      </c>
      <c r="AL210">
        <v>10296</v>
      </c>
      <c r="AR210">
        <v>1.25</v>
      </c>
      <c r="AS210" t="s">
        <v>6808</v>
      </c>
      <c r="AT210" t="s">
        <v>85</v>
      </c>
      <c r="AV210" t="s">
        <v>11230</v>
      </c>
      <c r="AW210" t="s">
        <v>11131</v>
      </c>
      <c r="AX210" t="s">
        <v>6808</v>
      </c>
    </row>
    <row r="211" spans="1:50">
      <c r="A211" s="1">
        <f>HYPERLINK("https://lsnyc.legalserver.org/matter/dynamic-profile/view/1896801","19-1896801")</f>
        <v>0</v>
      </c>
      <c r="B211" t="s">
        <v>85</v>
      </c>
      <c r="C211" t="s">
        <v>498</v>
      </c>
      <c r="D211" t="s">
        <v>1816</v>
      </c>
      <c r="E211" t="s">
        <v>3281</v>
      </c>
      <c r="F211" t="s">
        <v>5206</v>
      </c>
      <c r="G211" t="s">
        <v>5637</v>
      </c>
      <c r="H211">
        <v>11223</v>
      </c>
      <c r="I211" t="s">
        <v>5696</v>
      </c>
      <c r="J211" t="s">
        <v>5696</v>
      </c>
      <c r="L211" t="s">
        <v>5740</v>
      </c>
      <c r="M211" t="s">
        <v>6733</v>
      </c>
      <c r="N211" t="s">
        <v>6739</v>
      </c>
      <c r="O211" t="s">
        <v>6746</v>
      </c>
      <c r="R211" t="s">
        <v>6795</v>
      </c>
      <c r="U211">
        <v>0</v>
      </c>
      <c r="V211" t="s">
        <v>6835</v>
      </c>
      <c r="X211" t="s">
        <v>6857</v>
      </c>
      <c r="Y211" t="s">
        <v>7077</v>
      </c>
      <c r="AB211">
        <v>0</v>
      </c>
      <c r="AC211" t="s">
        <v>10929</v>
      </c>
      <c r="AD211" t="s">
        <v>5741</v>
      </c>
      <c r="AE211">
        <v>0</v>
      </c>
      <c r="AF211">
        <v>1</v>
      </c>
      <c r="AG211">
        <v>1</v>
      </c>
      <c r="AH211">
        <v>169.13</v>
      </c>
      <c r="AL211">
        <v>28600</v>
      </c>
      <c r="AR211">
        <v>1.25</v>
      </c>
      <c r="AS211" t="s">
        <v>11121</v>
      </c>
      <c r="AT211" t="s">
        <v>85</v>
      </c>
      <c r="AV211" t="s">
        <v>11230</v>
      </c>
      <c r="AW211" t="s">
        <v>11232</v>
      </c>
      <c r="AX211" t="s">
        <v>11121</v>
      </c>
    </row>
    <row r="212" spans="1:50">
      <c r="A212" s="1">
        <f>HYPERLINK("https://lsnyc.legalserver.org/matter/dynamic-profile/view/1897430","19-1897430")</f>
        <v>0</v>
      </c>
      <c r="B212" t="s">
        <v>129</v>
      </c>
      <c r="C212" t="s">
        <v>369</v>
      </c>
      <c r="D212" t="s">
        <v>1817</v>
      </c>
      <c r="E212" t="s">
        <v>3282</v>
      </c>
      <c r="F212" t="s">
        <v>5130</v>
      </c>
      <c r="G212" t="s">
        <v>5637</v>
      </c>
      <c r="H212">
        <v>11216</v>
      </c>
      <c r="I212" t="s">
        <v>5696</v>
      </c>
      <c r="J212" t="s">
        <v>5696</v>
      </c>
      <c r="K212" t="s">
        <v>5778</v>
      </c>
      <c r="L212" t="s">
        <v>6714</v>
      </c>
      <c r="M212" t="s">
        <v>6733</v>
      </c>
      <c r="N212" t="s">
        <v>6739</v>
      </c>
      <c r="O212" t="s">
        <v>6756</v>
      </c>
      <c r="P212" t="s">
        <v>5697</v>
      </c>
      <c r="R212" t="s">
        <v>6793</v>
      </c>
      <c r="S212" t="s">
        <v>6801</v>
      </c>
      <c r="U212">
        <v>0</v>
      </c>
      <c r="V212" t="s">
        <v>6835</v>
      </c>
      <c r="W212" t="s">
        <v>6838</v>
      </c>
      <c r="X212" t="s">
        <v>6857</v>
      </c>
      <c r="Y212" t="s">
        <v>7078</v>
      </c>
      <c r="AB212">
        <v>0</v>
      </c>
      <c r="AC212" t="s">
        <v>10929</v>
      </c>
      <c r="AE212">
        <v>0</v>
      </c>
      <c r="AF212">
        <v>1</v>
      </c>
      <c r="AG212">
        <v>0</v>
      </c>
      <c r="AH212">
        <v>360.29</v>
      </c>
      <c r="AK212" t="s">
        <v>10966</v>
      </c>
      <c r="AL212">
        <v>45000</v>
      </c>
      <c r="AR212">
        <v>2.5</v>
      </c>
      <c r="AS212" t="s">
        <v>11141</v>
      </c>
      <c r="AT212" t="s">
        <v>129</v>
      </c>
      <c r="AV212" t="s">
        <v>11230</v>
      </c>
      <c r="AW212" t="s">
        <v>11165</v>
      </c>
      <c r="AX212" t="s">
        <v>11123</v>
      </c>
    </row>
    <row r="213" spans="1:50">
      <c r="A213" s="1">
        <f>HYPERLINK("https://lsnyc.legalserver.org/matter/dynamic-profile/view/1897018","19-1897018")</f>
        <v>0</v>
      </c>
      <c r="B213" t="s">
        <v>130</v>
      </c>
      <c r="C213" t="s">
        <v>499</v>
      </c>
      <c r="D213" t="s">
        <v>1693</v>
      </c>
      <c r="E213" t="s">
        <v>3283</v>
      </c>
      <c r="F213" t="s">
        <v>5207</v>
      </c>
      <c r="G213" t="s">
        <v>5637</v>
      </c>
      <c r="H213">
        <v>11217</v>
      </c>
      <c r="I213" t="s">
        <v>5697</v>
      </c>
      <c r="J213" t="s">
        <v>5697</v>
      </c>
      <c r="K213" t="s">
        <v>5727</v>
      </c>
      <c r="L213" t="s">
        <v>6718</v>
      </c>
      <c r="M213" t="s">
        <v>6733</v>
      </c>
      <c r="N213" t="s">
        <v>6739</v>
      </c>
      <c r="O213" t="s">
        <v>6745</v>
      </c>
      <c r="P213" t="s">
        <v>5697</v>
      </c>
      <c r="R213" t="s">
        <v>6793</v>
      </c>
      <c r="S213" t="s">
        <v>6801</v>
      </c>
      <c r="U213">
        <v>2019.37</v>
      </c>
      <c r="V213" t="s">
        <v>6835</v>
      </c>
      <c r="W213" t="s">
        <v>6846</v>
      </c>
      <c r="X213" t="s">
        <v>6857</v>
      </c>
      <c r="Y213" t="s">
        <v>7079</v>
      </c>
      <c r="AA213" t="s">
        <v>9241</v>
      </c>
      <c r="AB213">
        <v>0</v>
      </c>
      <c r="AC213" t="s">
        <v>10929</v>
      </c>
      <c r="AD213" t="s">
        <v>10950</v>
      </c>
      <c r="AE213">
        <v>2</v>
      </c>
      <c r="AF213">
        <v>1</v>
      </c>
      <c r="AG213">
        <v>2</v>
      </c>
      <c r="AH213">
        <v>39.38</v>
      </c>
      <c r="AK213" t="s">
        <v>10966</v>
      </c>
      <c r="AL213">
        <v>8400</v>
      </c>
      <c r="AR213">
        <v>5.45</v>
      </c>
      <c r="AS213" t="s">
        <v>6826</v>
      </c>
      <c r="AT213" t="s">
        <v>69</v>
      </c>
      <c r="AV213" t="s">
        <v>11230</v>
      </c>
      <c r="AW213" t="s">
        <v>11121</v>
      </c>
      <c r="AX213" t="s">
        <v>6826</v>
      </c>
    </row>
    <row r="214" spans="1:50">
      <c r="A214" s="1">
        <f>HYPERLINK("https://lsnyc.legalserver.org/matter/dynamic-profile/view/1900223","19-1900223")</f>
        <v>0</v>
      </c>
      <c r="B214" t="s">
        <v>68</v>
      </c>
      <c r="C214" t="s">
        <v>500</v>
      </c>
      <c r="D214" t="s">
        <v>1818</v>
      </c>
      <c r="E214" t="s">
        <v>3284</v>
      </c>
      <c r="F214" t="s">
        <v>5208</v>
      </c>
      <c r="G214" t="s">
        <v>5637</v>
      </c>
      <c r="H214">
        <v>11203</v>
      </c>
      <c r="I214" t="s">
        <v>5696</v>
      </c>
      <c r="J214" t="s">
        <v>5696</v>
      </c>
      <c r="M214" t="s">
        <v>6733</v>
      </c>
      <c r="N214" t="s">
        <v>6739</v>
      </c>
      <c r="O214" t="s">
        <v>6754</v>
      </c>
      <c r="R214" t="s">
        <v>6793</v>
      </c>
      <c r="U214">
        <v>753.5700000000001</v>
      </c>
      <c r="V214" t="s">
        <v>6835</v>
      </c>
      <c r="W214" t="s">
        <v>6843</v>
      </c>
      <c r="X214" t="s">
        <v>6857</v>
      </c>
      <c r="Y214" t="s">
        <v>7080</v>
      </c>
      <c r="AA214" t="s">
        <v>9242</v>
      </c>
      <c r="AB214">
        <v>8</v>
      </c>
      <c r="AC214" t="s">
        <v>10929</v>
      </c>
      <c r="AE214">
        <v>9</v>
      </c>
      <c r="AF214">
        <v>2</v>
      </c>
      <c r="AG214">
        <v>0</v>
      </c>
      <c r="AH214">
        <v>68.13</v>
      </c>
      <c r="AK214" t="s">
        <v>10966</v>
      </c>
      <c r="AL214">
        <v>11520</v>
      </c>
      <c r="AR214">
        <v>1.25</v>
      </c>
      <c r="AS214" t="s">
        <v>6895</v>
      </c>
      <c r="AT214" t="s">
        <v>11198</v>
      </c>
      <c r="AU214" t="s">
        <v>11228</v>
      </c>
      <c r="AV214" t="s">
        <v>11230</v>
      </c>
      <c r="AW214" t="s">
        <v>11127</v>
      </c>
      <c r="AX214" t="s">
        <v>6895</v>
      </c>
    </row>
    <row r="215" spans="1:50">
      <c r="A215" s="1">
        <f>HYPERLINK("https://lsnyc.legalserver.org/matter/dynamic-profile/view/1900212","19-1900212")</f>
        <v>0</v>
      </c>
      <c r="B215" t="s">
        <v>81</v>
      </c>
      <c r="C215" t="s">
        <v>501</v>
      </c>
      <c r="D215" t="s">
        <v>1819</v>
      </c>
      <c r="E215" t="s">
        <v>3285</v>
      </c>
      <c r="F215" t="s">
        <v>5209</v>
      </c>
      <c r="G215" t="s">
        <v>5637</v>
      </c>
      <c r="H215">
        <v>11206</v>
      </c>
      <c r="I215" t="s">
        <v>5695</v>
      </c>
      <c r="J215" t="s">
        <v>5696</v>
      </c>
      <c r="K215" t="s">
        <v>5779</v>
      </c>
      <c r="M215" t="s">
        <v>6733</v>
      </c>
      <c r="N215" t="s">
        <v>6739</v>
      </c>
      <c r="O215" t="s">
        <v>6748</v>
      </c>
      <c r="R215" t="s">
        <v>6795</v>
      </c>
      <c r="U215">
        <v>954</v>
      </c>
      <c r="V215" t="s">
        <v>6835</v>
      </c>
      <c r="W215" t="s">
        <v>6840</v>
      </c>
      <c r="X215" t="s">
        <v>6859</v>
      </c>
      <c r="Y215" t="s">
        <v>7081</v>
      </c>
      <c r="AA215" t="s">
        <v>9243</v>
      </c>
      <c r="AB215">
        <v>0</v>
      </c>
      <c r="AE215">
        <v>0</v>
      </c>
      <c r="AF215">
        <v>1</v>
      </c>
      <c r="AG215">
        <v>0</v>
      </c>
      <c r="AH215">
        <v>159.58</v>
      </c>
      <c r="AK215" t="s">
        <v>10966</v>
      </c>
      <c r="AL215">
        <v>19932</v>
      </c>
      <c r="AR215">
        <v>2.9</v>
      </c>
      <c r="AS215" t="s">
        <v>6814</v>
      </c>
      <c r="AT215" t="s">
        <v>11198</v>
      </c>
      <c r="AU215" t="s">
        <v>11228</v>
      </c>
      <c r="AV215" t="s">
        <v>11230</v>
      </c>
      <c r="AW215" t="s">
        <v>11127</v>
      </c>
      <c r="AX215" t="s">
        <v>6814</v>
      </c>
    </row>
    <row r="216" spans="1:50">
      <c r="A216" s="1">
        <f>HYPERLINK("https://lsnyc.legalserver.org/matter/dynamic-profile/view/1900633","19-1900633")</f>
        <v>0</v>
      </c>
      <c r="B216" t="s">
        <v>87</v>
      </c>
      <c r="C216" t="s">
        <v>502</v>
      </c>
      <c r="D216" t="s">
        <v>1820</v>
      </c>
      <c r="G216" t="s">
        <v>5637</v>
      </c>
      <c r="H216">
        <v>11228</v>
      </c>
      <c r="I216" t="s">
        <v>5696</v>
      </c>
      <c r="J216" t="s">
        <v>5696</v>
      </c>
      <c r="M216" t="s">
        <v>6733</v>
      </c>
      <c r="N216" t="s">
        <v>6739</v>
      </c>
      <c r="O216" t="s">
        <v>6748</v>
      </c>
      <c r="R216" t="s">
        <v>6793</v>
      </c>
      <c r="U216">
        <v>0</v>
      </c>
      <c r="V216" t="s">
        <v>6835</v>
      </c>
      <c r="X216" t="s">
        <v>6857</v>
      </c>
      <c r="Y216" t="s">
        <v>7074</v>
      </c>
      <c r="AB216">
        <v>0</v>
      </c>
      <c r="AE216">
        <v>0</v>
      </c>
      <c r="AF216">
        <v>1</v>
      </c>
      <c r="AG216">
        <v>0</v>
      </c>
      <c r="AH216">
        <v>0</v>
      </c>
      <c r="AK216" t="s">
        <v>10966</v>
      </c>
      <c r="AL216">
        <v>0</v>
      </c>
      <c r="AR216">
        <v>1</v>
      </c>
      <c r="AS216" t="s">
        <v>6895</v>
      </c>
      <c r="AT216" t="s">
        <v>11198</v>
      </c>
      <c r="AV216" t="s">
        <v>11230</v>
      </c>
      <c r="AW216" t="s">
        <v>6895</v>
      </c>
      <c r="AX216" t="s">
        <v>11162</v>
      </c>
    </row>
    <row r="217" spans="1:50">
      <c r="A217" s="1">
        <f>HYPERLINK("https://lsnyc.legalserver.org/matter/dynamic-profile/view/1896647","19-1896647")</f>
        <v>0</v>
      </c>
      <c r="B217" t="s">
        <v>131</v>
      </c>
      <c r="C217" t="s">
        <v>503</v>
      </c>
      <c r="D217" t="s">
        <v>1765</v>
      </c>
      <c r="E217" t="s">
        <v>3286</v>
      </c>
      <c r="F217">
        <v>19</v>
      </c>
      <c r="G217" t="s">
        <v>5638</v>
      </c>
      <c r="H217">
        <v>10002</v>
      </c>
      <c r="I217" t="s">
        <v>5696</v>
      </c>
      <c r="J217" t="s">
        <v>5696</v>
      </c>
      <c r="M217" t="s">
        <v>6733</v>
      </c>
      <c r="N217" t="s">
        <v>6739</v>
      </c>
      <c r="O217" t="s">
        <v>6770</v>
      </c>
      <c r="R217" t="s">
        <v>6793</v>
      </c>
      <c r="U217">
        <v>779</v>
      </c>
      <c r="V217" t="s">
        <v>6836</v>
      </c>
      <c r="X217" t="s">
        <v>6857</v>
      </c>
      <c r="Y217" t="s">
        <v>7082</v>
      </c>
      <c r="AB217">
        <v>24</v>
      </c>
      <c r="AC217" t="s">
        <v>10929</v>
      </c>
      <c r="AE217">
        <v>33</v>
      </c>
      <c r="AF217">
        <v>2</v>
      </c>
      <c r="AG217">
        <v>1</v>
      </c>
      <c r="AH217">
        <v>94.95999999999999</v>
      </c>
      <c r="AK217" t="s">
        <v>10967</v>
      </c>
      <c r="AL217">
        <v>20254</v>
      </c>
      <c r="AR217">
        <v>1.65</v>
      </c>
      <c r="AS217" t="s">
        <v>11156</v>
      </c>
      <c r="AT217" t="s">
        <v>131</v>
      </c>
      <c r="AV217" t="s">
        <v>11230</v>
      </c>
      <c r="AW217" t="s">
        <v>11122</v>
      </c>
      <c r="AX217" t="s">
        <v>11156</v>
      </c>
    </row>
    <row r="218" spans="1:50">
      <c r="A218" s="1">
        <f>HYPERLINK("https://lsnyc.legalserver.org/matter/dynamic-profile/view/1899919","19-1899919")</f>
        <v>0</v>
      </c>
      <c r="B218" t="s">
        <v>104</v>
      </c>
      <c r="C218" t="s">
        <v>504</v>
      </c>
      <c r="D218" t="s">
        <v>1746</v>
      </c>
      <c r="E218" t="s">
        <v>3287</v>
      </c>
      <c r="G218" t="s">
        <v>5635</v>
      </c>
      <c r="H218">
        <v>10469</v>
      </c>
      <c r="I218" t="s">
        <v>5696</v>
      </c>
      <c r="J218" t="s">
        <v>5696</v>
      </c>
      <c r="K218" t="s">
        <v>5780</v>
      </c>
      <c r="L218" t="s">
        <v>6712</v>
      </c>
      <c r="M218" t="s">
        <v>6734</v>
      </c>
      <c r="N218" t="s">
        <v>6739</v>
      </c>
      <c r="O218" t="s">
        <v>6764</v>
      </c>
      <c r="P218" t="s">
        <v>5697</v>
      </c>
      <c r="R218" t="s">
        <v>6793</v>
      </c>
      <c r="S218" t="s">
        <v>6801</v>
      </c>
      <c r="U218">
        <v>1000</v>
      </c>
      <c r="V218" t="s">
        <v>6833</v>
      </c>
      <c r="X218" t="s">
        <v>6857</v>
      </c>
      <c r="Y218" t="s">
        <v>7083</v>
      </c>
      <c r="AA218" t="s">
        <v>9244</v>
      </c>
      <c r="AB218">
        <v>0</v>
      </c>
      <c r="AC218" t="s">
        <v>10930</v>
      </c>
      <c r="AE218">
        <v>0</v>
      </c>
      <c r="AF218">
        <v>2</v>
      </c>
      <c r="AG218">
        <v>0</v>
      </c>
      <c r="AH218">
        <v>172.02</v>
      </c>
      <c r="AK218" t="s">
        <v>10966</v>
      </c>
      <c r="AL218">
        <v>29088</v>
      </c>
      <c r="AR218">
        <v>2.25</v>
      </c>
      <c r="AS218" t="s">
        <v>10957</v>
      </c>
      <c r="AT218" t="s">
        <v>104</v>
      </c>
      <c r="AV218" t="s">
        <v>11230</v>
      </c>
      <c r="AW218" t="s">
        <v>11132</v>
      </c>
      <c r="AX218" t="s">
        <v>10957</v>
      </c>
    </row>
    <row r="219" spans="1:50">
      <c r="A219" s="1">
        <f>HYPERLINK("https://lsnyc.legalserver.org/matter/dynamic-profile/view/1897788","19-1897788")</f>
        <v>0</v>
      </c>
      <c r="B219" t="s">
        <v>56</v>
      </c>
      <c r="C219" t="s">
        <v>505</v>
      </c>
      <c r="D219" t="s">
        <v>1821</v>
      </c>
      <c r="E219" t="s">
        <v>3288</v>
      </c>
      <c r="F219" t="s">
        <v>5210</v>
      </c>
      <c r="G219" t="s">
        <v>5637</v>
      </c>
      <c r="H219">
        <v>11236</v>
      </c>
      <c r="I219" t="s">
        <v>5696</v>
      </c>
      <c r="J219" t="s">
        <v>5696</v>
      </c>
      <c r="K219" t="s">
        <v>5781</v>
      </c>
      <c r="L219" t="s">
        <v>6712</v>
      </c>
      <c r="M219" t="s">
        <v>6734</v>
      </c>
      <c r="N219" t="s">
        <v>6739</v>
      </c>
      <c r="O219" t="s">
        <v>6753</v>
      </c>
      <c r="R219" t="s">
        <v>6793</v>
      </c>
      <c r="U219">
        <v>0</v>
      </c>
      <c r="V219" t="s">
        <v>6835</v>
      </c>
      <c r="X219" t="s">
        <v>6857</v>
      </c>
      <c r="Y219" t="s">
        <v>7084</v>
      </c>
      <c r="AA219" t="s">
        <v>9245</v>
      </c>
      <c r="AB219">
        <v>0</v>
      </c>
      <c r="AD219" t="s">
        <v>5741</v>
      </c>
      <c r="AE219">
        <v>2</v>
      </c>
      <c r="AF219">
        <v>1</v>
      </c>
      <c r="AG219">
        <v>0</v>
      </c>
      <c r="AH219">
        <v>249.8</v>
      </c>
      <c r="AK219" t="s">
        <v>10966</v>
      </c>
      <c r="AL219">
        <v>31200</v>
      </c>
      <c r="AR219">
        <v>2.6</v>
      </c>
      <c r="AS219" t="s">
        <v>11156</v>
      </c>
      <c r="AT219" t="s">
        <v>11186</v>
      </c>
      <c r="AV219" t="s">
        <v>11230</v>
      </c>
      <c r="AW219" t="s">
        <v>11129</v>
      </c>
      <c r="AX219" t="s">
        <v>11156</v>
      </c>
    </row>
    <row r="220" spans="1:50">
      <c r="A220" s="1">
        <f>HYPERLINK("https://lsnyc.legalserver.org/matter/dynamic-profile/view/1901407","19-1901407")</f>
        <v>0</v>
      </c>
      <c r="B220" t="s">
        <v>95</v>
      </c>
      <c r="C220" t="s">
        <v>506</v>
      </c>
      <c r="D220" t="s">
        <v>1822</v>
      </c>
      <c r="E220" t="s">
        <v>3289</v>
      </c>
      <c r="F220" t="s">
        <v>5116</v>
      </c>
      <c r="G220" t="s">
        <v>5637</v>
      </c>
      <c r="H220">
        <v>11207</v>
      </c>
      <c r="I220" t="s">
        <v>5696</v>
      </c>
      <c r="J220" t="s">
        <v>5696</v>
      </c>
      <c r="L220" t="s">
        <v>5740</v>
      </c>
      <c r="M220" t="s">
        <v>6734</v>
      </c>
      <c r="N220" t="s">
        <v>6739</v>
      </c>
      <c r="O220" t="s">
        <v>6756</v>
      </c>
      <c r="R220" t="s">
        <v>6796</v>
      </c>
      <c r="U220">
        <v>1068</v>
      </c>
      <c r="V220" t="s">
        <v>6835</v>
      </c>
      <c r="W220" t="s">
        <v>6838</v>
      </c>
      <c r="X220" t="s">
        <v>6857</v>
      </c>
      <c r="Y220" t="s">
        <v>7085</v>
      </c>
      <c r="AA220" t="s">
        <v>9246</v>
      </c>
      <c r="AB220">
        <v>4</v>
      </c>
      <c r="AC220" t="s">
        <v>10930</v>
      </c>
      <c r="AD220" t="s">
        <v>10944</v>
      </c>
      <c r="AE220">
        <v>10</v>
      </c>
      <c r="AF220">
        <v>0</v>
      </c>
      <c r="AG220">
        <v>2</v>
      </c>
      <c r="AH220">
        <v>136.01</v>
      </c>
      <c r="AK220" t="s">
        <v>10967</v>
      </c>
      <c r="AL220">
        <v>23000</v>
      </c>
      <c r="AR220">
        <v>1.7</v>
      </c>
      <c r="AS220" t="s">
        <v>11137</v>
      </c>
      <c r="AT220" t="s">
        <v>135</v>
      </c>
      <c r="AV220" t="s">
        <v>11230</v>
      </c>
      <c r="AW220" t="s">
        <v>11148</v>
      </c>
      <c r="AX220" t="s">
        <v>11139</v>
      </c>
    </row>
    <row r="221" spans="1:50">
      <c r="A221" s="1">
        <f>HYPERLINK("https://lsnyc.legalserver.org/matter/dynamic-profile/view/1902322","19-1902322")</f>
        <v>0</v>
      </c>
      <c r="B221" t="s">
        <v>91</v>
      </c>
      <c r="C221" t="s">
        <v>507</v>
      </c>
      <c r="D221" t="s">
        <v>1823</v>
      </c>
      <c r="E221" t="s">
        <v>3290</v>
      </c>
      <c r="F221" t="s">
        <v>5183</v>
      </c>
      <c r="G221" t="s">
        <v>5637</v>
      </c>
      <c r="H221">
        <v>11239</v>
      </c>
      <c r="I221" t="s">
        <v>5697</v>
      </c>
      <c r="J221" t="s">
        <v>5696</v>
      </c>
      <c r="K221" t="s">
        <v>5741</v>
      </c>
      <c r="L221" t="s">
        <v>5740</v>
      </c>
      <c r="M221" t="s">
        <v>6734</v>
      </c>
      <c r="N221" t="s">
        <v>6739</v>
      </c>
      <c r="O221" t="s">
        <v>6745</v>
      </c>
      <c r="P221" t="s">
        <v>5697</v>
      </c>
      <c r="R221" t="s">
        <v>6793</v>
      </c>
      <c r="S221" t="s">
        <v>6801</v>
      </c>
      <c r="U221">
        <v>1618</v>
      </c>
      <c r="V221" t="s">
        <v>6835</v>
      </c>
      <c r="W221" t="s">
        <v>6849</v>
      </c>
      <c r="X221" t="s">
        <v>6857</v>
      </c>
      <c r="Y221" t="s">
        <v>7086</v>
      </c>
      <c r="Z221" t="s">
        <v>5741</v>
      </c>
      <c r="AA221" t="s">
        <v>9247</v>
      </c>
      <c r="AB221">
        <v>1164</v>
      </c>
      <c r="AC221" t="s">
        <v>10934</v>
      </c>
      <c r="AD221" t="s">
        <v>10944</v>
      </c>
      <c r="AE221">
        <v>4</v>
      </c>
      <c r="AF221">
        <v>1</v>
      </c>
      <c r="AG221">
        <v>0</v>
      </c>
      <c r="AH221">
        <v>83.27</v>
      </c>
      <c r="AK221" t="s">
        <v>10966</v>
      </c>
      <c r="AL221">
        <v>10400</v>
      </c>
      <c r="AR221">
        <v>3.25</v>
      </c>
      <c r="AS221" t="s">
        <v>6818</v>
      </c>
      <c r="AT221" t="s">
        <v>11186</v>
      </c>
      <c r="AU221" t="s">
        <v>5741</v>
      </c>
      <c r="AV221" t="s">
        <v>11230</v>
      </c>
      <c r="AW221" t="s">
        <v>11140</v>
      </c>
      <c r="AX221" t="s">
        <v>6818</v>
      </c>
    </row>
    <row r="222" spans="1:50">
      <c r="A222" s="1">
        <f>HYPERLINK("https://lsnyc.legalserver.org/matter/dynamic-profile/view/1901340","19-1901340")</f>
        <v>0</v>
      </c>
      <c r="B222" t="s">
        <v>132</v>
      </c>
      <c r="C222" t="s">
        <v>437</v>
      </c>
      <c r="D222" t="s">
        <v>1251</v>
      </c>
      <c r="E222" t="s">
        <v>3291</v>
      </c>
      <c r="F222" t="s">
        <v>5203</v>
      </c>
      <c r="G222" t="s">
        <v>5637</v>
      </c>
      <c r="H222">
        <v>11205</v>
      </c>
      <c r="I222" t="s">
        <v>5696</v>
      </c>
      <c r="J222" t="s">
        <v>5696</v>
      </c>
      <c r="L222" t="s">
        <v>5740</v>
      </c>
      <c r="M222" t="s">
        <v>6734</v>
      </c>
      <c r="N222" t="s">
        <v>6739</v>
      </c>
      <c r="O222" t="s">
        <v>6755</v>
      </c>
      <c r="P222" t="s">
        <v>5697</v>
      </c>
      <c r="R222" t="s">
        <v>6793</v>
      </c>
      <c r="U222">
        <v>236</v>
      </c>
      <c r="V222" t="s">
        <v>6835</v>
      </c>
      <c r="W222" t="s">
        <v>6838</v>
      </c>
      <c r="X222" t="s">
        <v>6857</v>
      </c>
      <c r="Y222" t="s">
        <v>7087</v>
      </c>
      <c r="AA222" t="s">
        <v>9248</v>
      </c>
      <c r="AB222">
        <v>90</v>
      </c>
      <c r="AC222" t="s">
        <v>10931</v>
      </c>
      <c r="AE222">
        <v>2</v>
      </c>
      <c r="AF222">
        <v>1</v>
      </c>
      <c r="AG222">
        <v>0</v>
      </c>
      <c r="AH222">
        <v>39.71</v>
      </c>
      <c r="AL222">
        <v>4960</v>
      </c>
      <c r="AR222">
        <v>3.35</v>
      </c>
      <c r="AS222" t="s">
        <v>11133</v>
      </c>
      <c r="AT222" t="s">
        <v>141</v>
      </c>
      <c r="AV222" t="s">
        <v>11230</v>
      </c>
      <c r="AW222" t="s">
        <v>11148</v>
      </c>
      <c r="AX222" t="s">
        <v>11133</v>
      </c>
    </row>
    <row r="223" spans="1:50">
      <c r="A223" s="1">
        <f>HYPERLINK("https://lsnyc.legalserver.org/matter/dynamic-profile/view/1896372","19-1896372")</f>
        <v>0</v>
      </c>
      <c r="B223" t="s">
        <v>118</v>
      </c>
      <c r="C223" t="s">
        <v>482</v>
      </c>
      <c r="D223" t="s">
        <v>1824</v>
      </c>
      <c r="E223" t="s">
        <v>3292</v>
      </c>
      <c r="F223">
        <v>2</v>
      </c>
      <c r="G223" t="s">
        <v>5637</v>
      </c>
      <c r="H223">
        <v>11236</v>
      </c>
      <c r="I223" t="s">
        <v>5696</v>
      </c>
      <c r="J223" t="s">
        <v>5696</v>
      </c>
      <c r="L223" t="s">
        <v>5740</v>
      </c>
      <c r="M223" t="s">
        <v>6734</v>
      </c>
      <c r="N223" t="s">
        <v>6739</v>
      </c>
      <c r="O223" t="s">
        <v>6753</v>
      </c>
      <c r="R223" t="s">
        <v>6793</v>
      </c>
      <c r="U223">
        <v>1600</v>
      </c>
      <c r="V223" t="s">
        <v>6835</v>
      </c>
      <c r="X223" t="s">
        <v>6862</v>
      </c>
      <c r="Y223" t="s">
        <v>7088</v>
      </c>
      <c r="AA223" t="s">
        <v>9249</v>
      </c>
      <c r="AB223">
        <v>0</v>
      </c>
      <c r="AC223" t="s">
        <v>8953</v>
      </c>
      <c r="AD223" t="s">
        <v>5741</v>
      </c>
      <c r="AE223">
        <v>4</v>
      </c>
      <c r="AF223">
        <v>1</v>
      </c>
      <c r="AG223">
        <v>0</v>
      </c>
      <c r="AH223">
        <v>230.58</v>
      </c>
      <c r="AK223" t="s">
        <v>10966</v>
      </c>
      <c r="AL223">
        <v>28800</v>
      </c>
      <c r="AR223">
        <v>4.4</v>
      </c>
      <c r="AS223" t="s">
        <v>11157</v>
      </c>
      <c r="AT223" t="s">
        <v>11186</v>
      </c>
      <c r="AV223" t="s">
        <v>11230</v>
      </c>
      <c r="AW223" t="s">
        <v>11164</v>
      </c>
      <c r="AX223" t="s">
        <v>11140</v>
      </c>
    </row>
    <row r="224" spans="1:50">
      <c r="A224" s="1">
        <f>HYPERLINK("https://lsnyc.legalserver.org/matter/dynamic-profile/view/1900226","19-1900226")</f>
        <v>0</v>
      </c>
      <c r="B224" t="s">
        <v>68</v>
      </c>
      <c r="C224" t="s">
        <v>508</v>
      </c>
      <c r="D224" t="s">
        <v>1825</v>
      </c>
      <c r="E224" t="s">
        <v>3293</v>
      </c>
      <c r="F224">
        <v>1</v>
      </c>
      <c r="G224" t="s">
        <v>5637</v>
      </c>
      <c r="H224">
        <v>11233</v>
      </c>
      <c r="I224" t="s">
        <v>5695</v>
      </c>
      <c r="J224" t="s">
        <v>5696</v>
      </c>
      <c r="K224" t="s">
        <v>5782</v>
      </c>
      <c r="L224" t="s">
        <v>6714</v>
      </c>
      <c r="M224" t="s">
        <v>6734</v>
      </c>
      <c r="N224" t="s">
        <v>6739</v>
      </c>
      <c r="O224" t="s">
        <v>6754</v>
      </c>
      <c r="R224" t="s">
        <v>6793</v>
      </c>
      <c r="U224">
        <v>800</v>
      </c>
      <c r="V224" t="s">
        <v>6835</v>
      </c>
      <c r="W224" t="s">
        <v>6849</v>
      </c>
      <c r="X224" t="s">
        <v>6857</v>
      </c>
      <c r="Y224" t="s">
        <v>7089</v>
      </c>
      <c r="AA224" t="s">
        <v>9250</v>
      </c>
      <c r="AB224">
        <v>4</v>
      </c>
      <c r="AC224" t="s">
        <v>10930</v>
      </c>
      <c r="AE224">
        <v>5</v>
      </c>
      <c r="AF224">
        <v>2</v>
      </c>
      <c r="AG224">
        <v>0</v>
      </c>
      <c r="AH224">
        <v>20.93</v>
      </c>
      <c r="AK224" t="s">
        <v>10966</v>
      </c>
      <c r="AL224">
        <v>3540</v>
      </c>
      <c r="AR224">
        <v>1.75</v>
      </c>
      <c r="AS224" t="s">
        <v>11117</v>
      </c>
      <c r="AT224" t="s">
        <v>11198</v>
      </c>
      <c r="AU224" t="s">
        <v>11228</v>
      </c>
      <c r="AV224" t="s">
        <v>11230</v>
      </c>
      <c r="AW224" t="s">
        <v>11127</v>
      </c>
      <c r="AX224" t="s">
        <v>11117</v>
      </c>
    </row>
    <row r="225" spans="1:50">
      <c r="A225" s="1">
        <f>HYPERLINK("https://lsnyc.legalserver.org/matter/dynamic-profile/view/1904202","19-1904202")</f>
        <v>0</v>
      </c>
      <c r="B225" t="s">
        <v>99</v>
      </c>
      <c r="C225" t="s">
        <v>423</v>
      </c>
      <c r="D225" t="s">
        <v>1826</v>
      </c>
      <c r="E225" t="s">
        <v>3294</v>
      </c>
      <c r="F225">
        <v>4</v>
      </c>
      <c r="G225" t="s">
        <v>5637</v>
      </c>
      <c r="H225">
        <v>11220</v>
      </c>
      <c r="I225" t="s">
        <v>5695</v>
      </c>
      <c r="J225" t="s">
        <v>5696</v>
      </c>
      <c r="K225" t="s">
        <v>5783</v>
      </c>
      <c r="L225" t="s">
        <v>6714</v>
      </c>
      <c r="M225" t="s">
        <v>6734</v>
      </c>
      <c r="N225" t="s">
        <v>6739</v>
      </c>
      <c r="O225" t="s">
        <v>6754</v>
      </c>
      <c r="R225" t="s">
        <v>6793</v>
      </c>
      <c r="U225">
        <v>1385</v>
      </c>
      <c r="V225" t="s">
        <v>6835</v>
      </c>
      <c r="W225" t="s">
        <v>6843</v>
      </c>
      <c r="X225" t="s">
        <v>6857</v>
      </c>
      <c r="Y225" t="s">
        <v>7090</v>
      </c>
      <c r="AA225" t="s">
        <v>9251</v>
      </c>
      <c r="AB225">
        <v>14</v>
      </c>
      <c r="AC225" t="s">
        <v>10929</v>
      </c>
      <c r="AE225">
        <v>27</v>
      </c>
      <c r="AF225">
        <v>1</v>
      </c>
      <c r="AG225">
        <v>0</v>
      </c>
      <c r="AH225">
        <v>81.95</v>
      </c>
      <c r="AK225" t="s">
        <v>10967</v>
      </c>
      <c r="AL225">
        <v>10236</v>
      </c>
      <c r="AR225">
        <v>1.5</v>
      </c>
      <c r="AS225" t="s">
        <v>6812</v>
      </c>
      <c r="AT225" t="s">
        <v>11198</v>
      </c>
      <c r="AU225" t="s">
        <v>11228</v>
      </c>
      <c r="AV225" t="s">
        <v>11230</v>
      </c>
      <c r="AW225" t="s">
        <v>6818</v>
      </c>
      <c r="AX225" t="s">
        <v>6812</v>
      </c>
    </row>
    <row r="226" spans="1:50">
      <c r="A226" s="1">
        <f>HYPERLINK("https://lsnyc.legalserver.org/matter/dynamic-profile/view/1902215","19-1902215")</f>
        <v>0</v>
      </c>
      <c r="B226" t="s">
        <v>85</v>
      </c>
      <c r="C226" t="s">
        <v>509</v>
      </c>
      <c r="D226" t="s">
        <v>1741</v>
      </c>
      <c r="E226" t="s">
        <v>3295</v>
      </c>
      <c r="F226" t="s">
        <v>5158</v>
      </c>
      <c r="G226" t="s">
        <v>5637</v>
      </c>
      <c r="H226">
        <v>11213</v>
      </c>
      <c r="I226" t="s">
        <v>5696</v>
      </c>
      <c r="J226" t="s">
        <v>5696</v>
      </c>
      <c r="L226" t="s">
        <v>6714</v>
      </c>
      <c r="M226" t="s">
        <v>6734</v>
      </c>
      <c r="N226" t="s">
        <v>6739</v>
      </c>
      <c r="O226" t="s">
        <v>6754</v>
      </c>
      <c r="R226" t="s">
        <v>6793</v>
      </c>
      <c r="U226">
        <v>0</v>
      </c>
      <c r="V226" t="s">
        <v>6835</v>
      </c>
      <c r="X226" t="s">
        <v>6857</v>
      </c>
      <c r="Y226" t="s">
        <v>7091</v>
      </c>
      <c r="AA226" t="s">
        <v>9252</v>
      </c>
      <c r="AB226">
        <v>0</v>
      </c>
      <c r="AE226">
        <v>0</v>
      </c>
      <c r="AF226">
        <v>1</v>
      </c>
      <c r="AG226">
        <v>0</v>
      </c>
      <c r="AH226">
        <v>76.86</v>
      </c>
      <c r="AK226" t="s">
        <v>10966</v>
      </c>
      <c r="AL226">
        <v>9600</v>
      </c>
      <c r="AR226">
        <v>3.5</v>
      </c>
      <c r="AS226" t="s">
        <v>6825</v>
      </c>
      <c r="AT226" t="s">
        <v>85</v>
      </c>
      <c r="AV226" t="s">
        <v>11230</v>
      </c>
      <c r="AW226" t="s">
        <v>11163</v>
      </c>
      <c r="AX226" t="s">
        <v>6825</v>
      </c>
    </row>
    <row r="227" spans="1:50">
      <c r="A227" s="1">
        <f>HYPERLINK("https://lsnyc.legalserver.org/matter/dynamic-profile/view/1900245","19-1900245")</f>
        <v>0</v>
      </c>
      <c r="B227" t="s">
        <v>104</v>
      </c>
      <c r="C227" t="s">
        <v>510</v>
      </c>
      <c r="D227" t="s">
        <v>1827</v>
      </c>
      <c r="E227" t="s">
        <v>3296</v>
      </c>
      <c r="F227">
        <v>214</v>
      </c>
      <c r="G227" t="s">
        <v>5635</v>
      </c>
      <c r="H227">
        <v>10463</v>
      </c>
      <c r="I227" t="s">
        <v>5696</v>
      </c>
      <c r="J227" t="s">
        <v>5696</v>
      </c>
      <c r="K227" t="s">
        <v>5784</v>
      </c>
      <c r="L227" t="s">
        <v>6714</v>
      </c>
      <c r="M227" t="s">
        <v>6734</v>
      </c>
      <c r="N227" t="s">
        <v>6739</v>
      </c>
      <c r="O227" t="s">
        <v>6758</v>
      </c>
      <c r="P227" t="s">
        <v>5697</v>
      </c>
      <c r="R227" t="s">
        <v>6793</v>
      </c>
      <c r="S227" t="s">
        <v>6801</v>
      </c>
      <c r="U227">
        <v>722</v>
      </c>
      <c r="V227" t="s">
        <v>6833</v>
      </c>
      <c r="W227" t="s">
        <v>6843</v>
      </c>
      <c r="X227" t="s">
        <v>6857</v>
      </c>
      <c r="Y227" t="s">
        <v>6981</v>
      </c>
      <c r="AA227" t="s">
        <v>9253</v>
      </c>
      <c r="AB227">
        <v>70</v>
      </c>
      <c r="AE227">
        <v>6</v>
      </c>
      <c r="AF227">
        <v>1</v>
      </c>
      <c r="AG227">
        <v>0</v>
      </c>
      <c r="AH227">
        <v>192.47</v>
      </c>
      <c r="AK227" t="s">
        <v>10966</v>
      </c>
      <c r="AL227">
        <v>24040</v>
      </c>
      <c r="AR227">
        <v>1.8</v>
      </c>
      <c r="AS227" t="s">
        <v>11162</v>
      </c>
      <c r="AT227" t="s">
        <v>104</v>
      </c>
      <c r="AV227" t="s">
        <v>11230</v>
      </c>
      <c r="AW227" t="s">
        <v>11127</v>
      </c>
      <c r="AX227" t="s">
        <v>11162</v>
      </c>
    </row>
    <row r="228" spans="1:50">
      <c r="A228" s="1">
        <f>HYPERLINK("https://lsnyc.legalserver.org/matter/dynamic-profile/view/1900533","19-1900533")</f>
        <v>0</v>
      </c>
      <c r="B228" t="s">
        <v>133</v>
      </c>
      <c r="C228" t="s">
        <v>410</v>
      </c>
      <c r="D228" t="s">
        <v>1828</v>
      </c>
      <c r="E228" t="s">
        <v>3297</v>
      </c>
      <c r="F228" t="s">
        <v>5128</v>
      </c>
      <c r="G228" t="s">
        <v>5637</v>
      </c>
      <c r="H228">
        <v>11205</v>
      </c>
      <c r="I228" t="s">
        <v>5696</v>
      </c>
      <c r="J228" t="s">
        <v>5696</v>
      </c>
      <c r="K228" t="s">
        <v>5785</v>
      </c>
      <c r="L228" t="s">
        <v>6714</v>
      </c>
      <c r="M228" t="s">
        <v>6734</v>
      </c>
      <c r="N228" t="s">
        <v>6739</v>
      </c>
      <c r="O228" t="s">
        <v>6746</v>
      </c>
      <c r="R228" t="s">
        <v>6794</v>
      </c>
      <c r="S228" t="s">
        <v>6801</v>
      </c>
      <c r="U228">
        <v>677</v>
      </c>
      <c r="V228" t="s">
        <v>6835</v>
      </c>
      <c r="W228" t="s">
        <v>6840</v>
      </c>
      <c r="X228" t="s">
        <v>6857</v>
      </c>
      <c r="Y228" t="s">
        <v>7092</v>
      </c>
      <c r="Z228" t="s">
        <v>8925</v>
      </c>
      <c r="AA228" t="s">
        <v>9254</v>
      </c>
      <c r="AB228">
        <v>0</v>
      </c>
      <c r="AE228">
        <v>0</v>
      </c>
      <c r="AF228">
        <v>7</v>
      </c>
      <c r="AG228">
        <v>4</v>
      </c>
      <c r="AH228">
        <v>14.18</v>
      </c>
      <c r="AK228" t="s">
        <v>10967</v>
      </c>
      <c r="AL228">
        <v>8040</v>
      </c>
      <c r="AR228">
        <v>0.8</v>
      </c>
      <c r="AS228" t="s">
        <v>6819</v>
      </c>
      <c r="AT228" t="s">
        <v>133</v>
      </c>
      <c r="AU228" t="s">
        <v>11229</v>
      </c>
      <c r="AV228" t="s">
        <v>11230</v>
      </c>
      <c r="AW228" t="s">
        <v>6895</v>
      </c>
      <c r="AX228" t="s">
        <v>6819</v>
      </c>
    </row>
    <row r="229" spans="1:50">
      <c r="A229" s="1">
        <f>HYPERLINK("https://lsnyc.legalserver.org/matter/dynamic-profile/view/1900645","19-1900645")</f>
        <v>0</v>
      </c>
      <c r="B229" t="s">
        <v>134</v>
      </c>
      <c r="C229" t="s">
        <v>511</v>
      </c>
      <c r="D229" t="s">
        <v>1829</v>
      </c>
      <c r="E229" t="s">
        <v>3298</v>
      </c>
      <c r="F229" t="s">
        <v>5180</v>
      </c>
      <c r="G229" t="s">
        <v>5637</v>
      </c>
      <c r="H229">
        <v>11233</v>
      </c>
      <c r="I229" t="s">
        <v>5695</v>
      </c>
      <c r="J229" t="s">
        <v>5696</v>
      </c>
      <c r="L229" t="s">
        <v>6719</v>
      </c>
      <c r="M229" t="s">
        <v>6734</v>
      </c>
      <c r="N229" t="s">
        <v>6739</v>
      </c>
      <c r="O229" t="s">
        <v>6756</v>
      </c>
      <c r="R229" t="s">
        <v>6796</v>
      </c>
      <c r="U229">
        <v>1026</v>
      </c>
      <c r="V229" t="s">
        <v>6835</v>
      </c>
      <c r="W229" t="s">
        <v>6838</v>
      </c>
      <c r="X229" t="s">
        <v>6857</v>
      </c>
      <c r="Y229" t="s">
        <v>7093</v>
      </c>
      <c r="AA229" t="s">
        <v>9255</v>
      </c>
      <c r="AB229">
        <v>20</v>
      </c>
      <c r="AC229" t="s">
        <v>10929</v>
      </c>
      <c r="AD229" t="s">
        <v>10944</v>
      </c>
      <c r="AE229">
        <v>18</v>
      </c>
      <c r="AF229">
        <v>2</v>
      </c>
      <c r="AG229">
        <v>0</v>
      </c>
      <c r="AH229">
        <v>111.7</v>
      </c>
      <c r="AK229" t="s">
        <v>10966</v>
      </c>
      <c r="AL229">
        <v>18888</v>
      </c>
      <c r="AR229">
        <v>4.45</v>
      </c>
      <c r="AS229" t="s">
        <v>11163</v>
      </c>
      <c r="AT229" t="s">
        <v>11207</v>
      </c>
      <c r="AV229" t="s">
        <v>11230</v>
      </c>
      <c r="AW229" t="s">
        <v>11163</v>
      </c>
      <c r="AX229" t="s">
        <v>11140</v>
      </c>
    </row>
    <row r="230" spans="1:50">
      <c r="A230" s="1">
        <f>HYPERLINK("https://lsnyc.legalserver.org/matter/dynamic-profile/view/1899800","19-1899800")</f>
        <v>0</v>
      </c>
      <c r="B230" t="s">
        <v>132</v>
      </c>
      <c r="C230" t="s">
        <v>416</v>
      </c>
      <c r="D230" t="s">
        <v>631</v>
      </c>
      <c r="E230" t="s">
        <v>3299</v>
      </c>
      <c r="F230" t="s">
        <v>5211</v>
      </c>
      <c r="G230" t="s">
        <v>5637</v>
      </c>
      <c r="H230">
        <v>11232</v>
      </c>
      <c r="I230" t="s">
        <v>5696</v>
      </c>
      <c r="J230" t="s">
        <v>5696</v>
      </c>
      <c r="L230" t="s">
        <v>6719</v>
      </c>
      <c r="M230" t="s">
        <v>6734</v>
      </c>
      <c r="N230" t="s">
        <v>6739</v>
      </c>
      <c r="O230" t="s">
        <v>6771</v>
      </c>
      <c r="P230" t="s">
        <v>5697</v>
      </c>
      <c r="R230" t="s">
        <v>6793</v>
      </c>
      <c r="U230">
        <v>1132.41</v>
      </c>
      <c r="V230" t="s">
        <v>6835</v>
      </c>
      <c r="W230" t="s">
        <v>6843</v>
      </c>
      <c r="X230" t="s">
        <v>6857</v>
      </c>
      <c r="Y230" t="s">
        <v>7094</v>
      </c>
      <c r="AA230" t="s">
        <v>9256</v>
      </c>
      <c r="AB230">
        <v>7</v>
      </c>
      <c r="AC230" t="s">
        <v>10929</v>
      </c>
      <c r="AD230" t="s">
        <v>10944</v>
      </c>
      <c r="AE230">
        <v>21</v>
      </c>
      <c r="AF230">
        <v>1</v>
      </c>
      <c r="AG230">
        <v>0</v>
      </c>
      <c r="AH230">
        <v>81.47</v>
      </c>
      <c r="AK230" t="s">
        <v>10966</v>
      </c>
      <c r="AL230">
        <v>10176</v>
      </c>
      <c r="AR230">
        <v>10.25</v>
      </c>
      <c r="AS230" t="s">
        <v>6827</v>
      </c>
      <c r="AT230" t="s">
        <v>141</v>
      </c>
      <c r="AV230" t="s">
        <v>11230</v>
      </c>
      <c r="AW230" t="s">
        <v>11132</v>
      </c>
      <c r="AX230" t="s">
        <v>6827</v>
      </c>
    </row>
    <row r="231" spans="1:50">
      <c r="A231" s="1">
        <f>HYPERLINK("https://lsnyc.legalserver.org/matter/dynamic-profile/view/1904290","19-1904290")</f>
        <v>0</v>
      </c>
      <c r="B231" t="s">
        <v>95</v>
      </c>
      <c r="C231" t="s">
        <v>512</v>
      </c>
      <c r="D231" t="s">
        <v>1830</v>
      </c>
      <c r="E231" t="s">
        <v>3300</v>
      </c>
      <c r="F231" t="s">
        <v>5212</v>
      </c>
      <c r="G231" t="s">
        <v>5637</v>
      </c>
      <c r="H231">
        <v>11233</v>
      </c>
      <c r="I231" t="s">
        <v>5695</v>
      </c>
      <c r="J231" t="s">
        <v>5696</v>
      </c>
      <c r="M231" t="s">
        <v>6734</v>
      </c>
      <c r="N231" t="s">
        <v>6739</v>
      </c>
      <c r="O231" t="s">
        <v>6756</v>
      </c>
      <c r="R231" t="s">
        <v>6793</v>
      </c>
      <c r="U231">
        <v>0</v>
      </c>
      <c r="V231" t="s">
        <v>6835</v>
      </c>
      <c r="X231" t="s">
        <v>6857</v>
      </c>
      <c r="Y231" t="s">
        <v>7095</v>
      </c>
      <c r="AA231" t="s">
        <v>9257</v>
      </c>
      <c r="AB231">
        <v>0</v>
      </c>
      <c r="AE231">
        <v>0</v>
      </c>
      <c r="AF231">
        <v>1</v>
      </c>
      <c r="AG231">
        <v>0</v>
      </c>
      <c r="AH231">
        <v>432.35</v>
      </c>
      <c r="AK231" t="s">
        <v>10966</v>
      </c>
      <c r="AL231">
        <v>54000</v>
      </c>
      <c r="AR231">
        <v>0.95</v>
      </c>
      <c r="AS231" t="s">
        <v>6814</v>
      </c>
      <c r="AT231" t="s">
        <v>11198</v>
      </c>
      <c r="AU231" t="s">
        <v>11228</v>
      </c>
      <c r="AV231" t="s">
        <v>11230</v>
      </c>
      <c r="AW231" t="s">
        <v>6813</v>
      </c>
      <c r="AX231" t="s">
        <v>6814</v>
      </c>
    </row>
    <row r="232" spans="1:50">
      <c r="A232" s="1">
        <f>HYPERLINK("https://lsnyc.legalserver.org/matter/dynamic-profile/view/1904212","19-1904212")</f>
        <v>0</v>
      </c>
      <c r="B232" t="s">
        <v>117</v>
      </c>
      <c r="C232" t="s">
        <v>513</v>
      </c>
      <c r="D232" t="s">
        <v>1831</v>
      </c>
      <c r="E232" t="s">
        <v>3301</v>
      </c>
      <c r="F232" t="s">
        <v>5213</v>
      </c>
      <c r="G232" t="s">
        <v>5637</v>
      </c>
      <c r="H232">
        <v>11238</v>
      </c>
      <c r="I232" t="s">
        <v>5695</v>
      </c>
      <c r="J232" t="s">
        <v>5696</v>
      </c>
      <c r="M232" t="s">
        <v>6734</v>
      </c>
      <c r="N232" t="s">
        <v>6739</v>
      </c>
      <c r="O232" t="s">
        <v>6754</v>
      </c>
      <c r="R232" t="s">
        <v>6795</v>
      </c>
      <c r="U232">
        <v>406.65</v>
      </c>
      <c r="V232" t="s">
        <v>6835</v>
      </c>
      <c r="W232" t="s">
        <v>6842</v>
      </c>
      <c r="X232" t="s">
        <v>6857</v>
      </c>
      <c r="Y232" t="s">
        <v>7096</v>
      </c>
      <c r="AA232" t="s">
        <v>9258</v>
      </c>
      <c r="AB232">
        <v>16</v>
      </c>
      <c r="AC232" t="s">
        <v>10929</v>
      </c>
      <c r="AD232" t="s">
        <v>5741</v>
      </c>
      <c r="AE232">
        <v>33</v>
      </c>
      <c r="AF232">
        <v>1</v>
      </c>
      <c r="AG232">
        <v>0</v>
      </c>
      <c r="AH232">
        <v>55.92</v>
      </c>
      <c r="AK232" t="s">
        <v>10966</v>
      </c>
      <c r="AL232">
        <v>6984</v>
      </c>
      <c r="AR232">
        <v>1.75</v>
      </c>
      <c r="AS232" t="s">
        <v>6823</v>
      </c>
      <c r="AT232" t="s">
        <v>11198</v>
      </c>
      <c r="AU232" t="s">
        <v>11228</v>
      </c>
      <c r="AV232" t="s">
        <v>11230</v>
      </c>
      <c r="AW232" t="s">
        <v>6818</v>
      </c>
      <c r="AX232" t="s">
        <v>6823</v>
      </c>
    </row>
    <row r="233" spans="1:50">
      <c r="A233" s="1">
        <f>HYPERLINK("https://lsnyc.legalserver.org/matter/dynamic-profile/view/1903177","19-1903177")</f>
        <v>0</v>
      </c>
      <c r="B233" t="s">
        <v>117</v>
      </c>
      <c r="C233" t="s">
        <v>514</v>
      </c>
      <c r="D233" t="s">
        <v>1820</v>
      </c>
      <c r="E233" t="s">
        <v>3302</v>
      </c>
      <c r="G233" t="s">
        <v>5637</v>
      </c>
      <c r="H233">
        <v>11225</v>
      </c>
      <c r="I233" t="s">
        <v>5697</v>
      </c>
      <c r="J233" t="s">
        <v>5696</v>
      </c>
      <c r="M233" t="s">
        <v>6734</v>
      </c>
      <c r="N233" t="s">
        <v>6739</v>
      </c>
      <c r="O233" t="s">
        <v>6754</v>
      </c>
      <c r="R233" t="s">
        <v>6793</v>
      </c>
      <c r="U233">
        <v>0</v>
      </c>
      <c r="V233" t="s">
        <v>6835</v>
      </c>
      <c r="W233" t="s">
        <v>6843</v>
      </c>
      <c r="X233" t="s">
        <v>6857</v>
      </c>
      <c r="Y233" t="s">
        <v>7097</v>
      </c>
      <c r="AA233" t="s">
        <v>9259</v>
      </c>
      <c r="AB233">
        <v>194</v>
      </c>
      <c r="AE233">
        <v>0</v>
      </c>
      <c r="AF233">
        <v>2</v>
      </c>
      <c r="AG233">
        <v>0</v>
      </c>
      <c r="AH233">
        <v>4.26</v>
      </c>
      <c r="AK233" t="s">
        <v>10966</v>
      </c>
      <c r="AL233">
        <v>720</v>
      </c>
      <c r="AR233">
        <v>2.75</v>
      </c>
      <c r="AS233" t="s">
        <v>6820</v>
      </c>
      <c r="AT233" t="s">
        <v>11198</v>
      </c>
      <c r="AV233" t="s">
        <v>11230</v>
      </c>
      <c r="AW233" t="s">
        <v>6820</v>
      </c>
      <c r="AX233" t="s">
        <v>6820</v>
      </c>
    </row>
    <row r="234" spans="1:50">
      <c r="A234" s="1">
        <f>HYPERLINK("https://lsnyc.legalserver.org/matter/dynamic-profile/view/1904286","19-1904286")</f>
        <v>0</v>
      </c>
      <c r="B234" t="s">
        <v>135</v>
      </c>
      <c r="C234" t="s">
        <v>515</v>
      </c>
      <c r="D234" t="s">
        <v>1832</v>
      </c>
      <c r="E234" t="s">
        <v>3303</v>
      </c>
      <c r="F234" t="s">
        <v>5214</v>
      </c>
      <c r="G234" t="s">
        <v>5637</v>
      </c>
      <c r="H234">
        <v>11220</v>
      </c>
      <c r="I234" t="s">
        <v>5695</v>
      </c>
      <c r="J234" t="s">
        <v>5696</v>
      </c>
      <c r="M234" t="s">
        <v>6734</v>
      </c>
      <c r="N234" t="s">
        <v>6739</v>
      </c>
      <c r="O234" t="s">
        <v>6756</v>
      </c>
      <c r="R234" t="s">
        <v>6793</v>
      </c>
      <c r="U234">
        <v>0</v>
      </c>
      <c r="V234" t="s">
        <v>6835</v>
      </c>
      <c r="W234" t="s">
        <v>6838</v>
      </c>
      <c r="X234" t="s">
        <v>6857</v>
      </c>
      <c r="Y234" t="s">
        <v>7098</v>
      </c>
      <c r="AA234" t="s">
        <v>9260</v>
      </c>
      <c r="AB234">
        <v>0</v>
      </c>
      <c r="AE234">
        <v>0</v>
      </c>
      <c r="AF234">
        <v>3</v>
      </c>
      <c r="AG234">
        <v>0</v>
      </c>
      <c r="AH234">
        <v>59.35</v>
      </c>
      <c r="AK234" t="s">
        <v>10967</v>
      </c>
      <c r="AL234">
        <v>12660</v>
      </c>
      <c r="AR234">
        <v>0.5</v>
      </c>
      <c r="AS234" t="s">
        <v>6816</v>
      </c>
      <c r="AT234" t="s">
        <v>11198</v>
      </c>
      <c r="AU234" t="s">
        <v>11228</v>
      </c>
      <c r="AV234" t="s">
        <v>11230</v>
      </c>
      <c r="AW234" t="s">
        <v>6813</v>
      </c>
      <c r="AX234" t="s">
        <v>6816</v>
      </c>
    </row>
    <row r="235" spans="1:50">
      <c r="A235" s="1">
        <f>HYPERLINK("https://lsnyc.legalserver.org/matter/dynamic-profile/view/1898169","19-1898169")</f>
        <v>0</v>
      </c>
      <c r="B235" t="s">
        <v>136</v>
      </c>
      <c r="C235" t="s">
        <v>479</v>
      </c>
      <c r="D235" t="s">
        <v>1833</v>
      </c>
      <c r="E235" t="s">
        <v>3304</v>
      </c>
      <c r="G235" t="s">
        <v>5637</v>
      </c>
      <c r="H235">
        <v>11233</v>
      </c>
      <c r="I235" t="s">
        <v>5696</v>
      </c>
      <c r="J235" t="s">
        <v>5696</v>
      </c>
      <c r="M235" t="s">
        <v>6734</v>
      </c>
      <c r="N235" t="s">
        <v>6739</v>
      </c>
      <c r="O235" t="s">
        <v>6771</v>
      </c>
      <c r="R235" t="s">
        <v>6794</v>
      </c>
      <c r="S235" t="s">
        <v>6801</v>
      </c>
      <c r="U235">
        <v>1028</v>
      </c>
      <c r="V235" t="s">
        <v>6835</v>
      </c>
      <c r="W235" t="s">
        <v>6843</v>
      </c>
      <c r="X235" t="s">
        <v>6857</v>
      </c>
      <c r="Y235" t="s">
        <v>7099</v>
      </c>
      <c r="AA235" t="s">
        <v>9261</v>
      </c>
      <c r="AB235">
        <v>73</v>
      </c>
      <c r="AD235" t="s">
        <v>10948</v>
      </c>
      <c r="AE235">
        <v>0</v>
      </c>
      <c r="AF235">
        <v>1</v>
      </c>
      <c r="AG235">
        <v>0</v>
      </c>
      <c r="AH235">
        <v>36.12</v>
      </c>
      <c r="AK235" t="s">
        <v>10974</v>
      </c>
      <c r="AL235">
        <v>4512</v>
      </c>
      <c r="AR235">
        <v>5</v>
      </c>
      <c r="AS235" t="s">
        <v>6813</v>
      </c>
      <c r="AT235" t="s">
        <v>11191</v>
      </c>
      <c r="AV235" t="s">
        <v>11230</v>
      </c>
      <c r="AW235" t="s">
        <v>10961</v>
      </c>
      <c r="AX235" t="s">
        <v>11156</v>
      </c>
    </row>
    <row r="236" spans="1:50">
      <c r="A236" s="1">
        <f>HYPERLINK("https://lsnyc.legalserver.org/matter/dynamic-profile/view/1899392","19-1899392")</f>
        <v>0</v>
      </c>
      <c r="B236" t="s">
        <v>95</v>
      </c>
      <c r="C236" t="s">
        <v>516</v>
      </c>
      <c r="D236" t="s">
        <v>1834</v>
      </c>
      <c r="E236" t="s">
        <v>3305</v>
      </c>
      <c r="F236" t="s">
        <v>5215</v>
      </c>
      <c r="G236" t="s">
        <v>5637</v>
      </c>
      <c r="H236">
        <v>11222</v>
      </c>
      <c r="I236" t="s">
        <v>5696</v>
      </c>
      <c r="J236" t="s">
        <v>5696</v>
      </c>
      <c r="M236" t="s">
        <v>6734</v>
      </c>
      <c r="N236" t="s">
        <v>6739</v>
      </c>
      <c r="O236" t="s">
        <v>6769</v>
      </c>
      <c r="R236" t="s">
        <v>6793</v>
      </c>
      <c r="U236">
        <v>1126.73</v>
      </c>
      <c r="V236" t="s">
        <v>6835</v>
      </c>
      <c r="X236" t="s">
        <v>6857</v>
      </c>
      <c r="Y236" t="s">
        <v>7100</v>
      </c>
      <c r="AA236" t="s">
        <v>9262</v>
      </c>
      <c r="AB236">
        <v>6</v>
      </c>
      <c r="AC236" t="s">
        <v>10929</v>
      </c>
      <c r="AE236">
        <v>17</v>
      </c>
      <c r="AF236">
        <v>3</v>
      </c>
      <c r="AG236">
        <v>0</v>
      </c>
      <c r="AH236">
        <v>85.98</v>
      </c>
      <c r="AK236" t="s">
        <v>10975</v>
      </c>
      <c r="AL236">
        <v>18340</v>
      </c>
      <c r="AR236">
        <v>2.15</v>
      </c>
      <c r="AS236" t="s">
        <v>11139</v>
      </c>
      <c r="AT236" t="s">
        <v>11208</v>
      </c>
      <c r="AV236" t="s">
        <v>11230</v>
      </c>
      <c r="AW236" t="s">
        <v>11139</v>
      </c>
      <c r="AX236" t="s">
        <v>6808</v>
      </c>
    </row>
    <row r="237" spans="1:50">
      <c r="A237" s="1">
        <f>HYPERLINK("https://lsnyc.legalserver.org/matter/dynamic-profile/view/1898827","19-1898827")</f>
        <v>0</v>
      </c>
      <c r="B237" t="s">
        <v>56</v>
      </c>
      <c r="C237" t="s">
        <v>334</v>
      </c>
      <c r="D237" t="s">
        <v>1835</v>
      </c>
      <c r="E237" t="s">
        <v>3306</v>
      </c>
      <c r="F237" t="s">
        <v>5216</v>
      </c>
      <c r="G237" t="s">
        <v>5637</v>
      </c>
      <c r="H237">
        <v>11207</v>
      </c>
      <c r="I237" t="s">
        <v>5696</v>
      </c>
      <c r="J237" t="s">
        <v>5696</v>
      </c>
      <c r="M237" t="s">
        <v>6734</v>
      </c>
      <c r="N237" t="s">
        <v>6739</v>
      </c>
      <c r="O237" t="s">
        <v>6748</v>
      </c>
      <c r="R237" t="s">
        <v>6794</v>
      </c>
      <c r="U237">
        <v>0</v>
      </c>
      <c r="V237" t="s">
        <v>6835</v>
      </c>
      <c r="X237" t="s">
        <v>6857</v>
      </c>
      <c r="Y237" t="s">
        <v>7101</v>
      </c>
      <c r="AA237" t="s">
        <v>9263</v>
      </c>
      <c r="AB237">
        <v>0</v>
      </c>
      <c r="AC237" t="s">
        <v>10931</v>
      </c>
      <c r="AE237">
        <v>1</v>
      </c>
      <c r="AF237">
        <v>1</v>
      </c>
      <c r="AG237">
        <v>0</v>
      </c>
      <c r="AH237">
        <v>76.86</v>
      </c>
      <c r="AK237" t="s">
        <v>10966</v>
      </c>
      <c r="AL237">
        <v>9600</v>
      </c>
      <c r="AR237">
        <v>1.5</v>
      </c>
      <c r="AS237" t="s">
        <v>10959</v>
      </c>
      <c r="AT237" t="s">
        <v>11203</v>
      </c>
      <c r="AV237" t="s">
        <v>11230</v>
      </c>
      <c r="AW237" t="s">
        <v>10959</v>
      </c>
      <c r="AX237" t="s">
        <v>10959</v>
      </c>
    </row>
    <row r="238" spans="1:50">
      <c r="A238" s="1">
        <f>HYPERLINK("https://lsnyc.legalserver.org/matter/dynamic-profile/view/1899157","19-1899157")</f>
        <v>0</v>
      </c>
      <c r="B238" t="s">
        <v>113</v>
      </c>
      <c r="C238" t="s">
        <v>517</v>
      </c>
      <c r="D238" t="s">
        <v>1836</v>
      </c>
      <c r="E238" t="s">
        <v>3307</v>
      </c>
      <c r="F238" t="s">
        <v>5217</v>
      </c>
      <c r="G238" t="s">
        <v>5635</v>
      </c>
      <c r="H238">
        <v>10456</v>
      </c>
      <c r="I238" t="s">
        <v>5696</v>
      </c>
      <c r="J238" t="s">
        <v>5696</v>
      </c>
      <c r="M238" t="s">
        <v>6734</v>
      </c>
      <c r="N238" t="s">
        <v>6739</v>
      </c>
      <c r="O238" t="s">
        <v>6768</v>
      </c>
      <c r="R238" t="s">
        <v>6793</v>
      </c>
      <c r="U238">
        <v>1993</v>
      </c>
      <c r="V238" t="s">
        <v>6833</v>
      </c>
      <c r="W238" t="s">
        <v>6848</v>
      </c>
      <c r="X238" t="s">
        <v>6857</v>
      </c>
      <c r="Y238" t="s">
        <v>7102</v>
      </c>
      <c r="AA238" t="s">
        <v>9264</v>
      </c>
      <c r="AB238">
        <v>50</v>
      </c>
      <c r="AC238" t="s">
        <v>10936</v>
      </c>
      <c r="AD238" t="s">
        <v>10944</v>
      </c>
      <c r="AE238">
        <v>9</v>
      </c>
      <c r="AF238">
        <v>1</v>
      </c>
      <c r="AG238">
        <v>2</v>
      </c>
      <c r="AH238">
        <v>48.76</v>
      </c>
      <c r="AK238" t="s">
        <v>10966</v>
      </c>
      <c r="AL238">
        <v>10400</v>
      </c>
      <c r="AR238">
        <v>2.15</v>
      </c>
      <c r="AS238" t="s">
        <v>11148</v>
      </c>
      <c r="AT238" t="s">
        <v>11203</v>
      </c>
      <c r="AV238" t="s">
        <v>11230</v>
      </c>
      <c r="AW238" t="s">
        <v>11134</v>
      </c>
      <c r="AX238" t="s">
        <v>11148</v>
      </c>
    </row>
    <row r="239" spans="1:50">
      <c r="A239" s="1">
        <f>HYPERLINK("https://lsnyc.legalserver.org/matter/dynamic-profile/view/1900268","19-1900268")</f>
        <v>0</v>
      </c>
      <c r="B239" t="s">
        <v>117</v>
      </c>
      <c r="C239" t="s">
        <v>518</v>
      </c>
      <c r="D239" t="s">
        <v>1837</v>
      </c>
      <c r="E239" t="s">
        <v>3308</v>
      </c>
      <c r="F239" t="s">
        <v>5162</v>
      </c>
      <c r="G239" t="s">
        <v>5637</v>
      </c>
      <c r="H239">
        <v>11226</v>
      </c>
      <c r="I239" t="s">
        <v>5695</v>
      </c>
      <c r="J239" t="s">
        <v>5696</v>
      </c>
      <c r="M239" t="s">
        <v>6734</v>
      </c>
      <c r="N239" t="s">
        <v>6739</v>
      </c>
      <c r="O239" t="s">
        <v>6754</v>
      </c>
      <c r="R239" t="s">
        <v>6793</v>
      </c>
      <c r="U239">
        <v>1851</v>
      </c>
      <c r="V239" t="s">
        <v>6835</v>
      </c>
      <c r="W239" t="s">
        <v>6843</v>
      </c>
      <c r="X239" t="s">
        <v>6857</v>
      </c>
      <c r="Y239" t="s">
        <v>7103</v>
      </c>
      <c r="AA239" t="s">
        <v>9265</v>
      </c>
      <c r="AB239">
        <v>90</v>
      </c>
      <c r="AC239" t="s">
        <v>10929</v>
      </c>
      <c r="AE239">
        <v>15</v>
      </c>
      <c r="AF239">
        <v>2</v>
      </c>
      <c r="AG239">
        <v>0</v>
      </c>
      <c r="AH239">
        <v>413.96</v>
      </c>
      <c r="AK239" t="s">
        <v>10966</v>
      </c>
      <c r="AL239">
        <v>70000</v>
      </c>
      <c r="AR239">
        <v>2.25</v>
      </c>
      <c r="AS239" t="s">
        <v>6825</v>
      </c>
      <c r="AT239" t="s">
        <v>11198</v>
      </c>
      <c r="AU239" t="s">
        <v>11228</v>
      </c>
      <c r="AV239" t="s">
        <v>11230</v>
      </c>
      <c r="AW239" t="s">
        <v>11127</v>
      </c>
      <c r="AX239" t="s">
        <v>6825</v>
      </c>
    </row>
    <row r="240" spans="1:50">
      <c r="A240" s="1">
        <f>HYPERLINK("https://lsnyc.legalserver.org/matter/dynamic-profile/view/1898256","19-1898256")</f>
        <v>0</v>
      </c>
      <c r="B240" t="s">
        <v>118</v>
      </c>
      <c r="C240" t="s">
        <v>519</v>
      </c>
      <c r="D240" t="s">
        <v>1838</v>
      </c>
      <c r="E240" t="s">
        <v>3309</v>
      </c>
      <c r="F240" t="s">
        <v>5203</v>
      </c>
      <c r="G240" t="s">
        <v>5637</v>
      </c>
      <c r="H240">
        <v>11226</v>
      </c>
      <c r="I240" t="s">
        <v>5696</v>
      </c>
      <c r="J240" t="s">
        <v>5696</v>
      </c>
      <c r="M240" t="s">
        <v>6734</v>
      </c>
      <c r="N240" t="s">
        <v>6739</v>
      </c>
      <c r="O240" t="s">
        <v>6748</v>
      </c>
      <c r="R240" t="s">
        <v>6793</v>
      </c>
      <c r="U240">
        <v>425.99</v>
      </c>
      <c r="V240" t="s">
        <v>6835</v>
      </c>
      <c r="W240" t="s">
        <v>6853</v>
      </c>
      <c r="X240" t="s">
        <v>6857</v>
      </c>
      <c r="Y240" t="s">
        <v>7104</v>
      </c>
      <c r="AA240" t="s">
        <v>9266</v>
      </c>
      <c r="AB240">
        <v>75</v>
      </c>
      <c r="AC240" t="s">
        <v>10936</v>
      </c>
      <c r="AD240" t="s">
        <v>10944</v>
      </c>
      <c r="AE240">
        <v>16</v>
      </c>
      <c r="AF240">
        <v>1</v>
      </c>
      <c r="AG240">
        <v>0</v>
      </c>
      <c r="AH240">
        <v>52.27</v>
      </c>
      <c r="AK240" t="s">
        <v>10966</v>
      </c>
      <c r="AL240">
        <v>6528</v>
      </c>
      <c r="AR240">
        <v>5.4</v>
      </c>
      <c r="AS240" t="s">
        <v>11155</v>
      </c>
      <c r="AT240" t="s">
        <v>11203</v>
      </c>
      <c r="AV240" t="s">
        <v>11230</v>
      </c>
      <c r="AW240" t="s">
        <v>10956</v>
      </c>
      <c r="AX240" t="s">
        <v>11157</v>
      </c>
    </row>
    <row r="241" spans="1:50">
      <c r="A241" s="1">
        <f>HYPERLINK("https://lsnyc.legalserver.org/matter/dynamic-profile/view/1903244","19-1903244")</f>
        <v>0</v>
      </c>
      <c r="B241" t="s">
        <v>95</v>
      </c>
      <c r="C241" t="s">
        <v>520</v>
      </c>
      <c r="D241" t="s">
        <v>1839</v>
      </c>
      <c r="E241" t="s">
        <v>3310</v>
      </c>
      <c r="F241" t="s">
        <v>5218</v>
      </c>
      <c r="G241" t="s">
        <v>5637</v>
      </c>
      <c r="H241">
        <v>11218</v>
      </c>
      <c r="I241" t="s">
        <v>5695</v>
      </c>
      <c r="J241" t="s">
        <v>5696</v>
      </c>
      <c r="M241" t="s">
        <v>6734</v>
      </c>
      <c r="N241" t="s">
        <v>6739</v>
      </c>
      <c r="O241" t="s">
        <v>6746</v>
      </c>
      <c r="Q241" t="s">
        <v>6756</v>
      </c>
      <c r="R241" t="s">
        <v>6793</v>
      </c>
      <c r="U241">
        <v>1650</v>
      </c>
      <c r="V241" t="s">
        <v>6835</v>
      </c>
      <c r="W241" t="s">
        <v>6843</v>
      </c>
      <c r="X241" t="s">
        <v>6857</v>
      </c>
      <c r="Y241" t="s">
        <v>7105</v>
      </c>
      <c r="AB241">
        <v>0</v>
      </c>
      <c r="AE241">
        <v>13</v>
      </c>
      <c r="AF241">
        <v>1</v>
      </c>
      <c r="AG241">
        <v>0</v>
      </c>
      <c r="AH241">
        <v>0</v>
      </c>
      <c r="AK241" t="s">
        <v>10966</v>
      </c>
      <c r="AL241">
        <v>0</v>
      </c>
      <c r="AR241">
        <v>0.6</v>
      </c>
      <c r="AS241" t="s">
        <v>6814</v>
      </c>
      <c r="AT241" t="s">
        <v>11198</v>
      </c>
      <c r="AU241" t="s">
        <v>11228</v>
      </c>
      <c r="AV241" t="s">
        <v>11230</v>
      </c>
      <c r="AW241" t="s">
        <v>11139</v>
      </c>
      <c r="AX241" t="s">
        <v>11139</v>
      </c>
    </row>
    <row r="242" spans="1:50">
      <c r="A242" s="1">
        <f>HYPERLINK("https://lsnyc.legalserver.org/matter/dynamic-profile/view/1903270","19-1903270")</f>
        <v>0</v>
      </c>
      <c r="B242" t="s">
        <v>95</v>
      </c>
      <c r="C242" t="s">
        <v>521</v>
      </c>
      <c r="D242" t="s">
        <v>1840</v>
      </c>
      <c r="E242" t="s">
        <v>3311</v>
      </c>
      <c r="G242" t="s">
        <v>5637</v>
      </c>
      <c r="H242">
        <v>11220</v>
      </c>
      <c r="I242" t="s">
        <v>5695</v>
      </c>
      <c r="J242" t="s">
        <v>5696</v>
      </c>
      <c r="M242" t="s">
        <v>6734</v>
      </c>
      <c r="N242" t="s">
        <v>6739</v>
      </c>
      <c r="O242" t="s">
        <v>6756</v>
      </c>
      <c r="R242" t="s">
        <v>6793</v>
      </c>
      <c r="U242">
        <v>0</v>
      </c>
      <c r="V242" t="s">
        <v>6835</v>
      </c>
      <c r="X242" t="s">
        <v>6857</v>
      </c>
      <c r="Y242" t="s">
        <v>7106</v>
      </c>
      <c r="AB242">
        <v>0</v>
      </c>
      <c r="AE242">
        <v>0</v>
      </c>
      <c r="AF242">
        <v>1</v>
      </c>
      <c r="AG242">
        <v>0</v>
      </c>
      <c r="AH242">
        <v>16.04</v>
      </c>
      <c r="AK242" t="s">
        <v>10966</v>
      </c>
      <c r="AL242">
        <v>2004</v>
      </c>
      <c r="AR242">
        <v>0.25</v>
      </c>
      <c r="AS242" t="s">
        <v>6818</v>
      </c>
      <c r="AT242" t="s">
        <v>11198</v>
      </c>
      <c r="AU242" t="s">
        <v>11228</v>
      </c>
      <c r="AV242" t="s">
        <v>11230</v>
      </c>
      <c r="AW242" t="s">
        <v>11139</v>
      </c>
      <c r="AX242" t="s">
        <v>6818</v>
      </c>
    </row>
    <row r="243" spans="1:50">
      <c r="A243" s="1">
        <f>HYPERLINK("https://lsnyc.legalserver.org/matter/dynamic-profile/view/1895940","19-1895940")</f>
        <v>0</v>
      </c>
      <c r="B243" t="s">
        <v>95</v>
      </c>
      <c r="C243" t="s">
        <v>522</v>
      </c>
      <c r="D243" t="s">
        <v>1841</v>
      </c>
      <c r="E243" t="s">
        <v>3312</v>
      </c>
      <c r="F243" t="s">
        <v>5219</v>
      </c>
      <c r="G243" t="s">
        <v>5637</v>
      </c>
      <c r="H243">
        <v>11209</v>
      </c>
      <c r="I243" t="s">
        <v>5696</v>
      </c>
      <c r="J243" t="s">
        <v>5696</v>
      </c>
      <c r="M243" t="s">
        <v>6734</v>
      </c>
      <c r="N243" t="s">
        <v>6739</v>
      </c>
      <c r="O243" t="s">
        <v>6756</v>
      </c>
      <c r="R243" t="s">
        <v>6793</v>
      </c>
      <c r="U243">
        <v>0</v>
      </c>
      <c r="V243" t="s">
        <v>6835</v>
      </c>
      <c r="X243" t="s">
        <v>6857</v>
      </c>
      <c r="Y243" t="s">
        <v>7107</v>
      </c>
      <c r="AB243">
        <v>0</v>
      </c>
      <c r="AE243">
        <v>0</v>
      </c>
      <c r="AF243">
        <v>1</v>
      </c>
      <c r="AG243">
        <v>0</v>
      </c>
      <c r="AH243">
        <v>78.78</v>
      </c>
      <c r="AK243" t="s">
        <v>10966</v>
      </c>
      <c r="AL243">
        <v>9840</v>
      </c>
      <c r="AR243">
        <v>1.25</v>
      </c>
      <c r="AS243" t="s">
        <v>11129</v>
      </c>
      <c r="AT243" t="s">
        <v>11209</v>
      </c>
      <c r="AV243" t="s">
        <v>11230</v>
      </c>
      <c r="AW243" t="s">
        <v>11170</v>
      </c>
      <c r="AX243" t="s">
        <v>11160</v>
      </c>
    </row>
    <row r="244" spans="1:50">
      <c r="A244" s="1">
        <f>HYPERLINK("https://lsnyc.legalserver.org/matter/dynamic-profile/view/1905128","19-1905128")</f>
        <v>0</v>
      </c>
      <c r="B244" t="s">
        <v>89</v>
      </c>
      <c r="C244" t="s">
        <v>523</v>
      </c>
      <c r="D244" t="s">
        <v>1842</v>
      </c>
      <c r="E244" t="s">
        <v>3313</v>
      </c>
      <c r="G244" t="s">
        <v>5636</v>
      </c>
      <c r="H244">
        <v>10304</v>
      </c>
      <c r="I244" t="s">
        <v>5695</v>
      </c>
      <c r="J244" t="s">
        <v>5696</v>
      </c>
      <c r="L244" t="s">
        <v>5740</v>
      </c>
      <c r="M244" t="s">
        <v>6735</v>
      </c>
      <c r="N244" t="s">
        <v>6739</v>
      </c>
      <c r="O244" t="s">
        <v>6757</v>
      </c>
      <c r="P244" t="s">
        <v>5697</v>
      </c>
      <c r="R244" t="s">
        <v>6793</v>
      </c>
      <c r="S244" t="s">
        <v>6801</v>
      </c>
      <c r="T244" t="s">
        <v>6814</v>
      </c>
      <c r="U244">
        <v>1831</v>
      </c>
      <c r="V244" t="s">
        <v>6834</v>
      </c>
      <c r="W244" t="s">
        <v>6846</v>
      </c>
      <c r="X244" t="s">
        <v>6857</v>
      </c>
      <c r="Y244" t="s">
        <v>7108</v>
      </c>
      <c r="AA244" t="s">
        <v>9267</v>
      </c>
      <c r="AB244">
        <v>0</v>
      </c>
      <c r="AC244" t="s">
        <v>10930</v>
      </c>
      <c r="AE244">
        <v>1</v>
      </c>
      <c r="AF244">
        <v>1</v>
      </c>
      <c r="AG244">
        <v>0</v>
      </c>
      <c r="AH244">
        <v>105.68</v>
      </c>
      <c r="AK244" t="s">
        <v>10966</v>
      </c>
      <c r="AL244">
        <v>13200</v>
      </c>
      <c r="AR244">
        <v>1.5</v>
      </c>
      <c r="AS244" t="s">
        <v>6814</v>
      </c>
      <c r="AT244" t="s">
        <v>89</v>
      </c>
      <c r="AV244" t="s">
        <v>11230</v>
      </c>
      <c r="AW244" t="s">
        <v>6814</v>
      </c>
      <c r="AX244" t="s">
        <v>6821</v>
      </c>
    </row>
    <row r="245" spans="1:50">
      <c r="A245" s="1">
        <f>HYPERLINK("https://lsnyc.legalserver.org/matter/dynamic-profile/view/1906159","19-1906159")</f>
        <v>0</v>
      </c>
      <c r="B245" t="s">
        <v>137</v>
      </c>
      <c r="C245" t="s">
        <v>504</v>
      </c>
      <c r="D245" t="s">
        <v>1746</v>
      </c>
      <c r="E245" t="s">
        <v>3287</v>
      </c>
      <c r="F245" t="s">
        <v>5220</v>
      </c>
      <c r="G245" t="s">
        <v>5635</v>
      </c>
      <c r="H245">
        <v>10469</v>
      </c>
      <c r="I245" t="s">
        <v>5696</v>
      </c>
      <c r="J245" t="s">
        <v>5696</v>
      </c>
      <c r="K245" t="s">
        <v>5780</v>
      </c>
      <c r="L245" t="s">
        <v>6714</v>
      </c>
      <c r="M245" t="s">
        <v>6736</v>
      </c>
      <c r="N245" t="s">
        <v>6739</v>
      </c>
      <c r="O245" t="s">
        <v>6772</v>
      </c>
      <c r="R245" t="s">
        <v>6793</v>
      </c>
      <c r="S245" t="s">
        <v>6801</v>
      </c>
      <c r="U245">
        <v>1000</v>
      </c>
      <c r="V245" t="s">
        <v>6833</v>
      </c>
      <c r="W245" t="s">
        <v>6838</v>
      </c>
      <c r="X245" t="s">
        <v>6857</v>
      </c>
      <c r="Y245" t="s">
        <v>7083</v>
      </c>
      <c r="AA245" t="s">
        <v>9244</v>
      </c>
      <c r="AB245">
        <v>0</v>
      </c>
      <c r="AC245" t="s">
        <v>10939</v>
      </c>
      <c r="AE245">
        <v>0</v>
      </c>
      <c r="AF245">
        <v>2</v>
      </c>
      <c r="AG245">
        <v>0</v>
      </c>
      <c r="AH245">
        <v>172.02</v>
      </c>
      <c r="AK245" t="s">
        <v>10966</v>
      </c>
      <c r="AL245">
        <v>29088</v>
      </c>
      <c r="AR245">
        <v>1.35</v>
      </c>
      <c r="AS245" t="s">
        <v>6827</v>
      </c>
      <c r="AT245" t="s">
        <v>104</v>
      </c>
      <c r="AV245" t="s">
        <v>11230</v>
      </c>
      <c r="AW245" t="s">
        <v>6821</v>
      </c>
      <c r="AX245" t="s">
        <v>6827</v>
      </c>
    </row>
    <row r="246" spans="1:50">
      <c r="A246" s="1">
        <f>HYPERLINK("https://lsnyc.legalserver.org/matter/dynamic-profile/view/1898173","19-1898173")</f>
        <v>0</v>
      </c>
      <c r="B246" t="s">
        <v>138</v>
      </c>
      <c r="C246" t="s">
        <v>524</v>
      </c>
      <c r="D246" t="s">
        <v>1843</v>
      </c>
      <c r="E246" t="s">
        <v>3314</v>
      </c>
      <c r="F246" t="s">
        <v>5221</v>
      </c>
      <c r="G246" t="s">
        <v>5637</v>
      </c>
      <c r="H246">
        <v>11224</v>
      </c>
      <c r="I246" t="s">
        <v>5697</v>
      </c>
      <c r="J246" t="s">
        <v>5697</v>
      </c>
      <c r="K246" t="s">
        <v>5786</v>
      </c>
      <c r="L246" t="s">
        <v>6712</v>
      </c>
      <c r="N246" t="s">
        <v>6739</v>
      </c>
      <c r="O246" t="s">
        <v>6746</v>
      </c>
      <c r="R246" t="s">
        <v>6794</v>
      </c>
      <c r="U246">
        <v>513</v>
      </c>
      <c r="V246" t="s">
        <v>6835</v>
      </c>
      <c r="W246" t="s">
        <v>6840</v>
      </c>
      <c r="X246" t="s">
        <v>6857</v>
      </c>
      <c r="Y246" t="s">
        <v>7109</v>
      </c>
      <c r="Z246" t="s">
        <v>8926</v>
      </c>
      <c r="AA246" t="s">
        <v>9268</v>
      </c>
      <c r="AB246">
        <v>0</v>
      </c>
      <c r="AE246">
        <v>0</v>
      </c>
      <c r="AF246">
        <v>1</v>
      </c>
      <c r="AG246">
        <v>0</v>
      </c>
      <c r="AH246">
        <v>178.99</v>
      </c>
      <c r="AK246" t="s">
        <v>10966</v>
      </c>
      <c r="AL246">
        <v>22356</v>
      </c>
      <c r="AR246">
        <v>2</v>
      </c>
      <c r="AS246" t="s">
        <v>11141</v>
      </c>
      <c r="AT246" t="s">
        <v>11190</v>
      </c>
      <c r="AV246" t="s">
        <v>11230</v>
      </c>
      <c r="AW246" t="s">
        <v>10961</v>
      </c>
      <c r="AX246" t="s">
        <v>11141</v>
      </c>
    </row>
    <row r="247" spans="1:50">
      <c r="A247" s="1">
        <f>HYPERLINK("https://lsnyc.legalserver.org/matter/dynamic-profile/view/1903954","19-1903954")</f>
        <v>0</v>
      </c>
      <c r="B247" t="s">
        <v>136</v>
      </c>
      <c r="C247" t="s">
        <v>525</v>
      </c>
      <c r="D247" t="s">
        <v>1844</v>
      </c>
      <c r="E247" t="s">
        <v>3315</v>
      </c>
      <c r="F247">
        <v>3</v>
      </c>
      <c r="G247" t="s">
        <v>5637</v>
      </c>
      <c r="H247">
        <v>11203</v>
      </c>
      <c r="I247" t="s">
        <v>5696</v>
      </c>
      <c r="J247" t="s">
        <v>5696</v>
      </c>
      <c r="K247" t="s">
        <v>5787</v>
      </c>
      <c r="L247" t="s">
        <v>6712</v>
      </c>
      <c r="N247" t="s">
        <v>6739</v>
      </c>
      <c r="O247" t="s">
        <v>6771</v>
      </c>
      <c r="P247" t="s">
        <v>5697</v>
      </c>
      <c r="R247" t="s">
        <v>6793</v>
      </c>
      <c r="U247">
        <v>2400</v>
      </c>
      <c r="V247" t="s">
        <v>6835</v>
      </c>
      <c r="W247" t="s">
        <v>6843</v>
      </c>
      <c r="X247" t="s">
        <v>6857</v>
      </c>
      <c r="Y247" t="s">
        <v>7110</v>
      </c>
      <c r="AA247" t="s">
        <v>9269</v>
      </c>
      <c r="AB247">
        <v>8</v>
      </c>
      <c r="AC247" t="s">
        <v>8953</v>
      </c>
      <c r="AE247">
        <v>3</v>
      </c>
      <c r="AF247">
        <v>5</v>
      </c>
      <c r="AG247">
        <v>0</v>
      </c>
      <c r="AH247">
        <v>35.08</v>
      </c>
      <c r="AK247" t="s">
        <v>10966</v>
      </c>
      <c r="AL247">
        <v>10584</v>
      </c>
      <c r="AR247">
        <v>4</v>
      </c>
      <c r="AS247" t="s">
        <v>6812</v>
      </c>
      <c r="AT247" t="s">
        <v>141</v>
      </c>
      <c r="AV247" t="s">
        <v>11230</v>
      </c>
      <c r="AW247" t="s">
        <v>6825</v>
      </c>
      <c r="AX247" t="s">
        <v>6812</v>
      </c>
    </row>
    <row r="248" spans="1:50">
      <c r="A248" s="1">
        <f>HYPERLINK("https://lsnyc.legalserver.org/matter/dynamic-profile/view/1901590","19-1901590")</f>
        <v>0</v>
      </c>
      <c r="B248" t="s">
        <v>136</v>
      </c>
      <c r="C248" t="s">
        <v>526</v>
      </c>
      <c r="D248" t="s">
        <v>1845</v>
      </c>
      <c r="E248" t="s">
        <v>3316</v>
      </c>
      <c r="F248" t="s">
        <v>5102</v>
      </c>
      <c r="G248" t="s">
        <v>5637</v>
      </c>
      <c r="H248">
        <v>11208</v>
      </c>
      <c r="I248" t="s">
        <v>5696</v>
      </c>
      <c r="J248" t="s">
        <v>5696</v>
      </c>
      <c r="L248" t="s">
        <v>6712</v>
      </c>
      <c r="N248" t="s">
        <v>6739</v>
      </c>
      <c r="O248" t="s">
        <v>6773</v>
      </c>
      <c r="R248" t="s">
        <v>6793</v>
      </c>
      <c r="U248">
        <v>0</v>
      </c>
      <c r="V248" t="s">
        <v>6835</v>
      </c>
      <c r="W248" t="s">
        <v>6848</v>
      </c>
      <c r="X248" t="s">
        <v>6857</v>
      </c>
      <c r="Y248" t="s">
        <v>7111</v>
      </c>
      <c r="AA248" t="s">
        <v>9270</v>
      </c>
      <c r="AB248">
        <v>3</v>
      </c>
      <c r="AC248" t="s">
        <v>10930</v>
      </c>
      <c r="AE248">
        <v>25</v>
      </c>
      <c r="AF248">
        <v>2</v>
      </c>
      <c r="AG248">
        <v>0</v>
      </c>
      <c r="AH248">
        <v>118.27</v>
      </c>
      <c r="AK248" t="s">
        <v>10966</v>
      </c>
      <c r="AL248">
        <v>20000</v>
      </c>
      <c r="AR248">
        <v>7.75</v>
      </c>
      <c r="AS248" t="s">
        <v>6823</v>
      </c>
      <c r="AT248" t="s">
        <v>11203</v>
      </c>
      <c r="AV248" t="s">
        <v>11230</v>
      </c>
      <c r="AW248" t="s">
        <v>11124</v>
      </c>
      <c r="AX248" t="s">
        <v>6823</v>
      </c>
    </row>
    <row r="249" spans="1:50">
      <c r="A249" s="1">
        <f>HYPERLINK("https://lsnyc.legalserver.org/matter/dynamic-profile/view/1903843","19-1903843")</f>
        <v>0</v>
      </c>
      <c r="B249" t="s">
        <v>75</v>
      </c>
      <c r="C249" t="s">
        <v>325</v>
      </c>
      <c r="D249" t="s">
        <v>1846</v>
      </c>
      <c r="E249" t="s">
        <v>3317</v>
      </c>
      <c r="F249" t="s">
        <v>5222</v>
      </c>
      <c r="G249" t="s">
        <v>5638</v>
      </c>
      <c r="H249">
        <v>10003</v>
      </c>
      <c r="I249" t="s">
        <v>5696</v>
      </c>
      <c r="J249" t="s">
        <v>5696</v>
      </c>
      <c r="K249" t="s">
        <v>5788</v>
      </c>
      <c r="L249" t="s">
        <v>6712</v>
      </c>
      <c r="N249" t="s">
        <v>6739</v>
      </c>
      <c r="O249" t="s">
        <v>6753</v>
      </c>
      <c r="R249" t="s">
        <v>6793</v>
      </c>
      <c r="U249">
        <v>811</v>
      </c>
      <c r="V249" t="s">
        <v>6836</v>
      </c>
      <c r="W249" t="s">
        <v>6839</v>
      </c>
      <c r="X249" t="s">
        <v>6857</v>
      </c>
      <c r="Y249" t="s">
        <v>7112</v>
      </c>
      <c r="AA249" t="s">
        <v>9271</v>
      </c>
      <c r="AB249">
        <v>90</v>
      </c>
      <c r="AD249" t="s">
        <v>5741</v>
      </c>
      <c r="AE249">
        <v>10</v>
      </c>
      <c r="AF249">
        <v>1</v>
      </c>
      <c r="AG249">
        <v>0</v>
      </c>
      <c r="AH249">
        <v>326.66</v>
      </c>
      <c r="AK249" t="s">
        <v>10966</v>
      </c>
      <c r="AL249">
        <v>40800</v>
      </c>
      <c r="AR249">
        <v>3.1</v>
      </c>
      <c r="AS249" t="s">
        <v>6814</v>
      </c>
      <c r="AT249" t="s">
        <v>11188</v>
      </c>
      <c r="AV249" t="s">
        <v>11230</v>
      </c>
      <c r="AW249" t="s">
        <v>6807</v>
      </c>
      <c r="AX249" t="s">
        <v>6814</v>
      </c>
    </row>
    <row r="250" spans="1:50">
      <c r="A250" s="1">
        <f>HYPERLINK("https://lsnyc.legalserver.org/matter/dynamic-profile/view/1895436","19-1895436")</f>
        <v>0</v>
      </c>
      <c r="B250" t="s">
        <v>139</v>
      </c>
      <c r="C250" t="s">
        <v>527</v>
      </c>
      <c r="D250" t="s">
        <v>1847</v>
      </c>
      <c r="E250" t="s">
        <v>3318</v>
      </c>
      <c r="F250" t="s">
        <v>5223</v>
      </c>
      <c r="G250" t="s">
        <v>5635</v>
      </c>
      <c r="H250">
        <v>10462</v>
      </c>
      <c r="I250" t="s">
        <v>5696</v>
      </c>
      <c r="J250" t="s">
        <v>5696</v>
      </c>
      <c r="K250" t="s">
        <v>5789</v>
      </c>
      <c r="L250" t="s">
        <v>6712</v>
      </c>
      <c r="N250" t="s">
        <v>6739</v>
      </c>
      <c r="O250" t="s">
        <v>6748</v>
      </c>
      <c r="R250" t="s">
        <v>6793</v>
      </c>
      <c r="U250">
        <v>1300</v>
      </c>
      <c r="V250" t="s">
        <v>6833</v>
      </c>
      <c r="X250" t="s">
        <v>6857</v>
      </c>
      <c r="Y250" t="s">
        <v>7113</v>
      </c>
      <c r="AA250" t="s">
        <v>9272</v>
      </c>
      <c r="AB250">
        <v>0</v>
      </c>
      <c r="AC250" t="s">
        <v>10930</v>
      </c>
      <c r="AD250" t="s">
        <v>5741</v>
      </c>
      <c r="AE250">
        <v>6</v>
      </c>
      <c r="AF250">
        <v>1</v>
      </c>
      <c r="AG250">
        <v>1</v>
      </c>
      <c r="AH250">
        <v>20.01</v>
      </c>
      <c r="AK250" t="s">
        <v>10966</v>
      </c>
      <c r="AL250">
        <v>3384</v>
      </c>
      <c r="AR250">
        <v>1</v>
      </c>
      <c r="AS250" t="s">
        <v>10960</v>
      </c>
      <c r="AT250" t="s">
        <v>11186</v>
      </c>
      <c r="AV250" t="s">
        <v>11230</v>
      </c>
      <c r="AW250" t="s">
        <v>10960</v>
      </c>
      <c r="AX250" t="s">
        <v>11134</v>
      </c>
    </row>
    <row r="251" spans="1:50">
      <c r="A251" s="1">
        <f>HYPERLINK("https://lsnyc.legalserver.org/matter/dynamic-profile/view/1899755","19-1899755")</f>
        <v>0</v>
      </c>
      <c r="B251" t="s">
        <v>133</v>
      </c>
      <c r="C251" t="s">
        <v>528</v>
      </c>
      <c r="D251" t="s">
        <v>1848</v>
      </c>
      <c r="E251" t="s">
        <v>3319</v>
      </c>
      <c r="F251" t="s">
        <v>5224</v>
      </c>
      <c r="G251" t="s">
        <v>5637</v>
      </c>
      <c r="H251">
        <v>11216</v>
      </c>
      <c r="I251" t="s">
        <v>5695</v>
      </c>
      <c r="J251" t="s">
        <v>5696</v>
      </c>
      <c r="K251" t="s">
        <v>5790</v>
      </c>
      <c r="L251" t="s">
        <v>6712</v>
      </c>
      <c r="N251" t="s">
        <v>6739</v>
      </c>
      <c r="O251" t="s">
        <v>6756</v>
      </c>
      <c r="P251" t="s">
        <v>5695</v>
      </c>
      <c r="R251" t="s">
        <v>6793</v>
      </c>
      <c r="U251">
        <v>1000</v>
      </c>
      <c r="V251" t="s">
        <v>6835</v>
      </c>
      <c r="W251" t="s">
        <v>6850</v>
      </c>
      <c r="X251" t="s">
        <v>6857</v>
      </c>
      <c r="Y251" t="s">
        <v>7114</v>
      </c>
      <c r="AA251" t="s">
        <v>9273</v>
      </c>
      <c r="AB251">
        <v>80</v>
      </c>
      <c r="AC251" t="s">
        <v>10929</v>
      </c>
      <c r="AD251" t="s">
        <v>6841</v>
      </c>
      <c r="AE251">
        <v>2</v>
      </c>
      <c r="AF251">
        <v>2</v>
      </c>
      <c r="AG251">
        <v>0</v>
      </c>
      <c r="AH251">
        <v>13.99</v>
      </c>
      <c r="AK251" t="s">
        <v>10966</v>
      </c>
      <c r="AL251">
        <v>2366</v>
      </c>
      <c r="AR251">
        <v>1</v>
      </c>
      <c r="AS251" t="s">
        <v>11146</v>
      </c>
      <c r="AT251" t="s">
        <v>11204</v>
      </c>
      <c r="AV251" t="s">
        <v>11230</v>
      </c>
      <c r="AW251" t="s">
        <v>11146</v>
      </c>
      <c r="AX251" t="s">
        <v>10957</v>
      </c>
    </row>
    <row r="252" spans="1:50">
      <c r="A252" s="1">
        <f>HYPERLINK("https://lsnyc.legalserver.org/matter/dynamic-profile/view/1897922","19-1897922")</f>
        <v>0</v>
      </c>
      <c r="B252" t="s">
        <v>75</v>
      </c>
      <c r="C252" t="s">
        <v>345</v>
      </c>
      <c r="D252" t="s">
        <v>1673</v>
      </c>
      <c r="E252" t="s">
        <v>3113</v>
      </c>
      <c r="F252" t="s">
        <v>5114</v>
      </c>
      <c r="G252" t="s">
        <v>5638</v>
      </c>
      <c r="H252">
        <v>10002</v>
      </c>
      <c r="I252" t="s">
        <v>5696</v>
      </c>
      <c r="J252" t="s">
        <v>5696</v>
      </c>
      <c r="L252" t="s">
        <v>6712</v>
      </c>
      <c r="N252" t="s">
        <v>6739</v>
      </c>
      <c r="O252" t="s">
        <v>6758</v>
      </c>
      <c r="P252" t="s">
        <v>5697</v>
      </c>
      <c r="R252" t="s">
        <v>6793</v>
      </c>
      <c r="U252">
        <v>954</v>
      </c>
      <c r="V252" t="s">
        <v>6836</v>
      </c>
      <c r="X252" t="s">
        <v>6857</v>
      </c>
      <c r="Y252" t="s">
        <v>6910</v>
      </c>
      <c r="AB252">
        <v>0</v>
      </c>
      <c r="AC252" t="s">
        <v>10929</v>
      </c>
      <c r="AE252">
        <v>3</v>
      </c>
      <c r="AF252">
        <v>1</v>
      </c>
      <c r="AG252">
        <v>0</v>
      </c>
      <c r="AH252">
        <v>195.52</v>
      </c>
      <c r="AK252" t="s">
        <v>10966</v>
      </c>
      <c r="AL252">
        <v>24420</v>
      </c>
      <c r="AR252">
        <v>4.1</v>
      </c>
      <c r="AS252" t="s">
        <v>6818</v>
      </c>
      <c r="AT252" t="s">
        <v>11199</v>
      </c>
      <c r="AV252" t="s">
        <v>11230</v>
      </c>
      <c r="AW252" t="s">
        <v>11125</v>
      </c>
      <c r="AX252" t="s">
        <v>11149</v>
      </c>
    </row>
    <row r="253" spans="1:50">
      <c r="A253" s="1">
        <f>HYPERLINK("https://lsnyc.legalserver.org/matter/dynamic-profile/view/1890241","19-1890241")</f>
        <v>0</v>
      </c>
      <c r="B253" t="s">
        <v>140</v>
      </c>
      <c r="C253" t="s">
        <v>529</v>
      </c>
      <c r="D253" t="s">
        <v>1849</v>
      </c>
      <c r="E253" t="s">
        <v>3320</v>
      </c>
      <c r="F253" t="s">
        <v>5118</v>
      </c>
      <c r="G253" t="s">
        <v>5637</v>
      </c>
      <c r="H253">
        <v>11228</v>
      </c>
      <c r="I253" t="s">
        <v>5696</v>
      </c>
      <c r="J253" t="s">
        <v>5696</v>
      </c>
      <c r="K253" t="s">
        <v>5791</v>
      </c>
      <c r="L253" t="s">
        <v>6712</v>
      </c>
      <c r="N253" t="s">
        <v>6739</v>
      </c>
      <c r="O253" t="s">
        <v>6756</v>
      </c>
      <c r="R253" t="s">
        <v>6793</v>
      </c>
      <c r="S253" t="s">
        <v>6804</v>
      </c>
      <c r="U253">
        <v>0</v>
      </c>
      <c r="V253" t="s">
        <v>6835</v>
      </c>
      <c r="X253" t="s">
        <v>6857</v>
      </c>
      <c r="Y253" t="s">
        <v>7115</v>
      </c>
      <c r="AB253">
        <v>0</v>
      </c>
      <c r="AC253" t="s">
        <v>10930</v>
      </c>
      <c r="AD253" t="s">
        <v>5741</v>
      </c>
      <c r="AE253">
        <v>1</v>
      </c>
      <c r="AF253">
        <v>1</v>
      </c>
      <c r="AG253">
        <v>0</v>
      </c>
      <c r="AH253">
        <v>46.21</v>
      </c>
      <c r="AK253" t="s">
        <v>10968</v>
      </c>
      <c r="AL253">
        <v>5772</v>
      </c>
      <c r="AR253">
        <v>2.45</v>
      </c>
      <c r="AS253" t="s">
        <v>11154</v>
      </c>
      <c r="AT253" t="s">
        <v>11209</v>
      </c>
      <c r="AV253" t="s">
        <v>11230</v>
      </c>
      <c r="AW253" t="s">
        <v>11121</v>
      </c>
      <c r="AX253" t="s">
        <v>11121</v>
      </c>
    </row>
    <row r="254" spans="1:50">
      <c r="A254" s="1">
        <f>HYPERLINK("https://lsnyc.legalserver.org/matter/dynamic-profile/view/1898086","19-1898086")</f>
        <v>0</v>
      </c>
      <c r="B254" t="s">
        <v>139</v>
      </c>
      <c r="C254" t="s">
        <v>530</v>
      </c>
      <c r="D254" t="s">
        <v>1850</v>
      </c>
      <c r="E254" t="s">
        <v>3321</v>
      </c>
      <c r="F254" t="s">
        <v>5116</v>
      </c>
      <c r="G254" t="s">
        <v>5635</v>
      </c>
      <c r="H254">
        <v>10467</v>
      </c>
      <c r="I254" t="s">
        <v>5696</v>
      </c>
      <c r="J254" t="s">
        <v>5696</v>
      </c>
      <c r="K254" t="s">
        <v>5792</v>
      </c>
      <c r="L254" t="s">
        <v>6713</v>
      </c>
      <c r="N254" t="s">
        <v>6739</v>
      </c>
      <c r="O254" t="s">
        <v>6748</v>
      </c>
      <c r="R254" t="s">
        <v>6793</v>
      </c>
      <c r="U254">
        <v>1060</v>
      </c>
      <c r="V254" t="s">
        <v>6833</v>
      </c>
      <c r="X254" t="s">
        <v>6857</v>
      </c>
      <c r="Y254" t="s">
        <v>7116</v>
      </c>
      <c r="AA254" t="s">
        <v>9274</v>
      </c>
      <c r="AB254">
        <v>5</v>
      </c>
      <c r="AE254">
        <v>1</v>
      </c>
      <c r="AF254">
        <v>5</v>
      </c>
      <c r="AG254">
        <v>0</v>
      </c>
      <c r="AH254">
        <v>0</v>
      </c>
      <c r="AK254" t="s">
        <v>10966</v>
      </c>
      <c r="AL254">
        <v>0</v>
      </c>
      <c r="AM254" t="s">
        <v>11017</v>
      </c>
      <c r="AR254">
        <v>1</v>
      </c>
      <c r="AS254" t="s">
        <v>10961</v>
      </c>
      <c r="AT254" t="s">
        <v>11185</v>
      </c>
      <c r="AV254" t="s">
        <v>11230</v>
      </c>
      <c r="AW254" t="s">
        <v>10961</v>
      </c>
      <c r="AX254" t="s">
        <v>11134</v>
      </c>
    </row>
    <row r="255" spans="1:50">
      <c r="A255" s="1">
        <f>HYPERLINK("https://lsnyc.legalserver.org/matter/dynamic-profile/view/1900863","19-1900863")</f>
        <v>0</v>
      </c>
      <c r="B255" t="s">
        <v>141</v>
      </c>
      <c r="C255" t="s">
        <v>531</v>
      </c>
      <c r="D255" t="s">
        <v>1717</v>
      </c>
      <c r="E255" t="s">
        <v>3322</v>
      </c>
      <c r="F255">
        <v>303</v>
      </c>
      <c r="G255" t="s">
        <v>5637</v>
      </c>
      <c r="H255">
        <v>11212</v>
      </c>
      <c r="I255" t="s">
        <v>5696</v>
      </c>
      <c r="J255" t="s">
        <v>5696</v>
      </c>
      <c r="L255" t="s">
        <v>5740</v>
      </c>
      <c r="N255" t="s">
        <v>6739</v>
      </c>
      <c r="O255" t="s">
        <v>6745</v>
      </c>
      <c r="R255" t="s">
        <v>6793</v>
      </c>
      <c r="U255">
        <v>3000</v>
      </c>
      <c r="V255" t="s">
        <v>6835</v>
      </c>
      <c r="X255" t="s">
        <v>6857</v>
      </c>
      <c r="Y255" t="s">
        <v>7117</v>
      </c>
      <c r="AA255" t="s">
        <v>9275</v>
      </c>
      <c r="AB255">
        <v>0</v>
      </c>
      <c r="AD255" t="s">
        <v>10948</v>
      </c>
      <c r="AE255">
        <v>3</v>
      </c>
      <c r="AF255">
        <v>1</v>
      </c>
      <c r="AG255">
        <v>3</v>
      </c>
      <c r="AH255">
        <v>64.87</v>
      </c>
      <c r="AK255" t="s">
        <v>10966</v>
      </c>
      <c r="AL255">
        <v>16704</v>
      </c>
      <c r="AR255">
        <v>3</v>
      </c>
      <c r="AS255" t="s">
        <v>6816</v>
      </c>
      <c r="AT255" t="s">
        <v>11186</v>
      </c>
      <c r="AV255" t="s">
        <v>11230</v>
      </c>
      <c r="AW255" t="s">
        <v>11157</v>
      </c>
      <c r="AX255" t="s">
        <v>6816</v>
      </c>
    </row>
    <row r="256" spans="1:50">
      <c r="A256" s="1">
        <f>HYPERLINK("https://lsnyc.legalserver.org/matter/dynamic-profile/view/1899550","19-1899550")</f>
        <v>0</v>
      </c>
      <c r="B256" t="s">
        <v>69</v>
      </c>
      <c r="C256" t="s">
        <v>532</v>
      </c>
      <c r="D256" t="s">
        <v>1851</v>
      </c>
      <c r="E256" t="s">
        <v>3323</v>
      </c>
      <c r="F256" t="s">
        <v>5176</v>
      </c>
      <c r="G256" t="s">
        <v>5637</v>
      </c>
      <c r="H256">
        <v>11233</v>
      </c>
      <c r="I256" t="s">
        <v>5697</v>
      </c>
      <c r="J256" t="s">
        <v>5696</v>
      </c>
      <c r="L256" t="s">
        <v>5740</v>
      </c>
      <c r="N256" t="s">
        <v>6739</v>
      </c>
      <c r="O256" t="s">
        <v>6745</v>
      </c>
      <c r="P256" t="s">
        <v>5697</v>
      </c>
      <c r="R256" t="s">
        <v>6793</v>
      </c>
      <c r="S256" t="s">
        <v>6801</v>
      </c>
      <c r="U256">
        <v>650</v>
      </c>
      <c r="V256" t="s">
        <v>6835</v>
      </c>
      <c r="X256" t="s">
        <v>6857</v>
      </c>
      <c r="Y256" t="s">
        <v>7118</v>
      </c>
      <c r="AA256" t="s">
        <v>9276</v>
      </c>
      <c r="AB256">
        <v>12</v>
      </c>
      <c r="AC256" t="s">
        <v>10929</v>
      </c>
      <c r="AD256" t="s">
        <v>5741</v>
      </c>
      <c r="AE256">
        <v>2</v>
      </c>
      <c r="AF256">
        <v>1</v>
      </c>
      <c r="AG256">
        <v>0</v>
      </c>
      <c r="AH256">
        <v>82.23999999999999</v>
      </c>
      <c r="AK256" t="s">
        <v>10966</v>
      </c>
      <c r="AL256">
        <v>10272</v>
      </c>
      <c r="AM256" t="s">
        <v>11018</v>
      </c>
      <c r="AR256">
        <v>1.25</v>
      </c>
      <c r="AS256" t="s">
        <v>11132</v>
      </c>
      <c r="AT256" t="s">
        <v>11186</v>
      </c>
      <c r="AU256" t="s">
        <v>5741</v>
      </c>
      <c r="AV256" t="s">
        <v>11230</v>
      </c>
      <c r="AW256" t="s">
        <v>11128</v>
      </c>
      <c r="AX256" t="s">
        <v>11132</v>
      </c>
    </row>
    <row r="257" spans="1:50">
      <c r="A257" s="1">
        <f>HYPERLINK("https://lsnyc.legalserver.org/matter/dynamic-profile/view/1899716","19-1899716")</f>
        <v>0</v>
      </c>
      <c r="B257" t="s">
        <v>132</v>
      </c>
      <c r="C257" t="s">
        <v>533</v>
      </c>
      <c r="D257" t="s">
        <v>1852</v>
      </c>
      <c r="E257" t="s">
        <v>3324</v>
      </c>
      <c r="F257" t="s">
        <v>5105</v>
      </c>
      <c r="G257" t="s">
        <v>5637</v>
      </c>
      <c r="H257">
        <v>11233</v>
      </c>
      <c r="I257" t="s">
        <v>5696</v>
      </c>
      <c r="J257" t="s">
        <v>5696</v>
      </c>
      <c r="L257" t="s">
        <v>5740</v>
      </c>
      <c r="N257" t="s">
        <v>6739</v>
      </c>
      <c r="O257" t="s">
        <v>6771</v>
      </c>
      <c r="Q257" t="s">
        <v>6771</v>
      </c>
      <c r="R257" t="s">
        <v>6793</v>
      </c>
      <c r="U257">
        <v>1781</v>
      </c>
      <c r="V257" t="s">
        <v>6835</v>
      </c>
      <c r="W257" t="s">
        <v>6838</v>
      </c>
      <c r="X257" t="s">
        <v>6857</v>
      </c>
      <c r="Y257" t="s">
        <v>7119</v>
      </c>
      <c r="AA257" t="s">
        <v>9277</v>
      </c>
      <c r="AB257">
        <v>8</v>
      </c>
      <c r="AC257" t="s">
        <v>8953</v>
      </c>
      <c r="AD257" t="s">
        <v>10948</v>
      </c>
      <c r="AE257">
        <v>14</v>
      </c>
      <c r="AF257">
        <v>2</v>
      </c>
      <c r="AG257">
        <v>1</v>
      </c>
      <c r="AH257">
        <v>49.68</v>
      </c>
      <c r="AK257" t="s">
        <v>10966</v>
      </c>
      <c r="AL257">
        <v>10596</v>
      </c>
      <c r="AR257">
        <v>5.2</v>
      </c>
      <c r="AS257" t="s">
        <v>6826</v>
      </c>
      <c r="AT257" t="s">
        <v>11186</v>
      </c>
      <c r="AV257" t="s">
        <v>11230</v>
      </c>
      <c r="AW257" t="s">
        <v>11146</v>
      </c>
      <c r="AX257" t="s">
        <v>6826</v>
      </c>
    </row>
    <row r="258" spans="1:50">
      <c r="A258" s="1">
        <f>HYPERLINK("https://lsnyc.legalserver.org/matter/dynamic-profile/view/1896433","19-1896433")</f>
        <v>0</v>
      </c>
      <c r="B258" t="s">
        <v>82</v>
      </c>
      <c r="C258" t="s">
        <v>534</v>
      </c>
      <c r="D258" t="s">
        <v>1853</v>
      </c>
      <c r="E258" t="s">
        <v>3325</v>
      </c>
      <c r="F258" t="s">
        <v>5225</v>
      </c>
      <c r="G258" t="s">
        <v>5637</v>
      </c>
      <c r="H258">
        <v>11203</v>
      </c>
      <c r="I258" t="s">
        <v>5695</v>
      </c>
      <c r="J258" t="s">
        <v>5697</v>
      </c>
      <c r="L258" t="s">
        <v>5740</v>
      </c>
      <c r="N258" t="s">
        <v>6739</v>
      </c>
      <c r="O258" t="s">
        <v>6756</v>
      </c>
      <c r="R258" t="s">
        <v>6795</v>
      </c>
      <c r="U258">
        <v>1134</v>
      </c>
      <c r="V258" t="s">
        <v>6835</v>
      </c>
      <c r="W258" t="s">
        <v>6838</v>
      </c>
      <c r="X258" t="s">
        <v>6857</v>
      </c>
      <c r="Y258" t="s">
        <v>7120</v>
      </c>
      <c r="AA258" t="s">
        <v>9278</v>
      </c>
      <c r="AB258">
        <v>0</v>
      </c>
      <c r="AD258" t="s">
        <v>10944</v>
      </c>
      <c r="AE258">
        <v>1</v>
      </c>
      <c r="AF258">
        <v>2</v>
      </c>
      <c r="AG258">
        <v>0</v>
      </c>
      <c r="AH258">
        <v>0</v>
      </c>
      <c r="AK258" t="s">
        <v>10966</v>
      </c>
      <c r="AL258">
        <v>0</v>
      </c>
      <c r="AR258">
        <v>1</v>
      </c>
      <c r="AS258" t="s">
        <v>11164</v>
      </c>
      <c r="AT258" t="s">
        <v>11190</v>
      </c>
      <c r="AV258" t="s">
        <v>11230</v>
      </c>
      <c r="AW258" t="s">
        <v>11164</v>
      </c>
      <c r="AX258" t="s">
        <v>11130</v>
      </c>
    </row>
    <row r="259" spans="1:50">
      <c r="A259" s="1">
        <f>HYPERLINK("https://lsnyc.legalserver.org/matter/dynamic-profile/view/1899373","19-1899373")</f>
        <v>0</v>
      </c>
      <c r="B259" t="s">
        <v>51</v>
      </c>
      <c r="C259" t="s">
        <v>535</v>
      </c>
      <c r="D259" t="s">
        <v>1854</v>
      </c>
      <c r="E259" t="s">
        <v>3326</v>
      </c>
      <c r="F259">
        <v>513</v>
      </c>
      <c r="G259" t="s">
        <v>5636</v>
      </c>
      <c r="H259">
        <v>10304</v>
      </c>
      <c r="I259" t="s">
        <v>5695</v>
      </c>
      <c r="J259" t="s">
        <v>5696</v>
      </c>
      <c r="L259" t="s">
        <v>5740</v>
      </c>
      <c r="N259" t="s">
        <v>6739</v>
      </c>
      <c r="O259" t="s">
        <v>6745</v>
      </c>
      <c r="P259" t="s">
        <v>5697</v>
      </c>
      <c r="R259" t="s">
        <v>6793</v>
      </c>
      <c r="U259">
        <v>1202</v>
      </c>
      <c r="V259" t="s">
        <v>6834</v>
      </c>
      <c r="W259" t="s">
        <v>6842</v>
      </c>
      <c r="X259" t="s">
        <v>6857</v>
      </c>
      <c r="Y259" t="s">
        <v>7121</v>
      </c>
      <c r="AA259" t="s">
        <v>9279</v>
      </c>
      <c r="AB259">
        <v>105</v>
      </c>
      <c r="AC259" t="s">
        <v>10929</v>
      </c>
      <c r="AD259" t="s">
        <v>10948</v>
      </c>
      <c r="AE259">
        <v>8</v>
      </c>
      <c r="AF259">
        <v>1</v>
      </c>
      <c r="AG259">
        <v>0</v>
      </c>
      <c r="AH259">
        <v>83.59</v>
      </c>
      <c r="AK259" t="s">
        <v>10966</v>
      </c>
      <c r="AL259">
        <v>10440</v>
      </c>
      <c r="AO259" t="s">
        <v>6841</v>
      </c>
      <c r="AR259">
        <v>0.5</v>
      </c>
      <c r="AS259" t="s">
        <v>6819</v>
      </c>
      <c r="AT259" t="s">
        <v>11177</v>
      </c>
      <c r="AU259" t="s">
        <v>11228</v>
      </c>
      <c r="AV259" t="s">
        <v>11230</v>
      </c>
      <c r="AW259" t="s">
        <v>6819</v>
      </c>
      <c r="AX259" t="s">
        <v>6819</v>
      </c>
    </row>
    <row r="260" spans="1:50">
      <c r="A260" s="1">
        <f>HYPERLINK("https://lsnyc.legalserver.org/matter/dynamic-profile/view/1904198","19-1904198")</f>
        <v>0</v>
      </c>
      <c r="B260" t="s">
        <v>112</v>
      </c>
      <c r="C260" t="s">
        <v>482</v>
      </c>
      <c r="D260" t="s">
        <v>1855</v>
      </c>
      <c r="E260" t="s">
        <v>3327</v>
      </c>
      <c r="F260">
        <v>51</v>
      </c>
      <c r="G260" t="s">
        <v>5638</v>
      </c>
      <c r="H260">
        <v>10033</v>
      </c>
      <c r="I260" t="s">
        <v>5696</v>
      </c>
      <c r="J260" t="s">
        <v>5696</v>
      </c>
      <c r="L260" t="s">
        <v>5740</v>
      </c>
      <c r="N260" t="s">
        <v>6739</v>
      </c>
      <c r="O260" t="s">
        <v>6748</v>
      </c>
      <c r="R260" t="s">
        <v>6793</v>
      </c>
      <c r="U260">
        <v>1395</v>
      </c>
      <c r="V260" t="s">
        <v>6836</v>
      </c>
      <c r="X260" t="s">
        <v>6857</v>
      </c>
      <c r="Y260" t="s">
        <v>7122</v>
      </c>
      <c r="AA260" t="s">
        <v>9280</v>
      </c>
      <c r="AB260">
        <v>0</v>
      </c>
      <c r="AC260" t="s">
        <v>10929</v>
      </c>
      <c r="AD260" t="s">
        <v>10948</v>
      </c>
      <c r="AE260">
        <v>11</v>
      </c>
      <c r="AF260">
        <v>1</v>
      </c>
      <c r="AG260">
        <v>0</v>
      </c>
      <c r="AH260">
        <v>134.51</v>
      </c>
      <c r="AK260" t="s">
        <v>10966</v>
      </c>
      <c r="AL260">
        <v>16800</v>
      </c>
      <c r="AR260">
        <v>1</v>
      </c>
      <c r="AS260" t="s">
        <v>6818</v>
      </c>
      <c r="AT260" t="s">
        <v>11186</v>
      </c>
      <c r="AV260" t="s">
        <v>11230</v>
      </c>
      <c r="AW260" t="s">
        <v>6818</v>
      </c>
      <c r="AX260" t="s">
        <v>6828</v>
      </c>
    </row>
    <row r="261" spans="1:50">
      <c r="A261" s="1">
        <f>HYPERLINK("https://lsnyc.legalserver.org/matter/dynamic-profile/view/1901547","19-1901547")</f>
        <v>0</v>
      </c>
      <c r="B261" t="s">
        <v>91</v>
      </c>
      <c r="C261" t="s">
        <v>536</v>
      </c>
      <c r="D261" t="s">
        <v>1856</v>
      </c>
      <c r="E261" t="s">
        <v>3328</v>
      </c>
      <c r="F261" t="s">
        <v>5161</v>
      </c>
      <c r="G261" t="s">
        <v>5637</v>
      </c>
      <c r="H261">
        <v>11233</v>
      </c>
      <c r="I261" t="s">
        <v>5695</v>
      </c>
      <c r="J261" t="s">
        <v>5696</v>
      </c>
      <c r="L261" t="s">
        <v>5740</v>
      </c>
      <c r="N261" t="s">
        <v>6739</v>
      </c>
      <c r="O261" t="s">
        <v>6745</v>
      </c>
      <c r="P261" t="s">
        <v>5697</v>
      </c>
      <c r="R261" t="s">
        <v>6793</v>
      </c>
      <c r="S261" t="s">
        <v>6801</v>
      </c>
      <c r="U261">
        <v>1879.2</v>
      </c>
      <c r="V261" t="s">
        <v>6835</v>
      </c>
      <c r="W261" t="s">
        <v>6842</v>
      </c>
      <c r="X261" t="s">
        <v>6857</v>
      </c>
      <c r="Y261" t="s">
        <v>7123</v>
      </c>
      <c r="Z261" t="s">
        <v>8927</v>
      </c>
      <c r="AA261" t="s">
        <v>9281</v>
      </c>
      <c r="AB261">
        <v>13</v>
      </c>
      <c r="AC261" t="s">
        <v>10929</v>
      </c>
      <c r="AD261" t="s">
        <v>10949</v>
      </c>
      <c r="AE261">
        <v>0</v>
      </c>
      <c r="AF261">
        <v>3</v>
      </c>
      <c r="AG261">
        <v>2</v>
      </c>
      <c r="AH261">
        <v>122.98</v>
      </c>
      <c r="AK261" t="s">
        <v>10966</v>
      </c>
      <c r="AL261">
        <v>37104</v>
      </c>
      <c r="AR261">
        <v>1</v>
      </c>
      <c r="AS261" t="s">
        <v>6818</v>
      </c>
      <c r="AT261" t="s">
        <v>69</v>
      </c>
      <c r="AU261" t="s">
        <v>11228</v>
      </c>
      <c r="AV261" t="s">
        <v>11230</v>
      </c>
      <c r="AW261" t="s">
        <v>11135</v>
      </c>
      <c r="AX261" t="s">
        <v>6818</v>
      </c>
    </row>
    <row r="262" spans="1:50">
      <c r="A262" s="1">
        <f>HYPERLINK("https://lsnyc.legalserver.org/matter/dynamic-profile/view/1901690","19-1901690")</f>
        <v>0</v>
      </c>
      <c r="B262" t="s">
        <v>91</v>
      </c>
      <c r="C262" t="s">
        <v>537</v>
      </c>
      <c r="D262" t="s">
        <v>1857</v>
      </c>
      <c r="E262" t="s">
        <v>3329</v>
      </c>
      <c r="F262" t="s">
        <v>5226</v>
      </c>
      <c r="G262" t="s">
        <v>5637</v>
      </c>
      <c r="H262">
        <v>11208</v>
      </c>
      <c r="I262" t="s">
        <v>5697</v>
      </c>
      <c r="J262" t="s">
        <v>5696</v>
      </c>
      <c r="L262" t="s">
        <v>5740</v>
      </c>
      <c r="N262" t="s">
        <v>6739</v>
      </c>
      <c r="O262" t="s">
        <v>6745</v>
      </c>
      <c r="P262" t="s">
        <v>5697</v>
      </c>
      <c r="R262" t="s">
        <v>6793</v>
      </c>
      <c r="S262" t="s">
        <v>6801</v>
      </c>
      <c r="U262">
        <v>2300</v>
      </c>
      <c r="V262" t="s">
        <v>6835</v>
      </c>
      <c r="W262" t="s">
        <v>6853</v>
      </c>
      <c r="X262" t="s">
        <v>6857</v>
      </c>
      <c r="Y262" t="s">
        <v>7124</v>
      </c>
      <c r="Z262" t="s">
        <v>5773</v>
      </c>
      <c r="AA262" t="s">
        <v>9282</v>
      </c>
      <c r="AB262">
        <v>2</v>
      </c>
      <c r="AC262" t="s">
        <v>10930</v>
      </c>
      <c r="AD262" t="s">
        <v>5741</v>
      </c>
      <c r="AE262">
        <v>0</v>
      </c>
      <c r="AF262">
        <v>2</v>
      </c>
      <c r="AG262">
        <v>1</v>
      </c>
      <c r="AH262">
        <v>54.85</v>
      </c>
      <c r="AK262" t="s">
        <v>10966</v>
      </c>
      <c r="AL262">
        <v>11700</v>
      </c>
      <c r="AR262">
        <v>1</v>
      </c>
      <c r="AS262" t="s">
        <v>6813</v>
      </c>
      <c r="AT262" t="s">
        <v>69</v>
      </c>
      <c r="AU262" t="s">
        <v>5741</v>
      </c>
      <c r="AV262" t="s">
        <v>11230</v>
      </c>
      <c r="AW262" t="s">
        <v>11149</v>
      </c>
      <c r="AX262" t="s">
        <v>6813</v>
      </c>
    </row>
    <row r="263" spans="1:50">
      <c r="A263" s="1">
        <f>HYPERLINK("https://lsnyc.legalserver.org/matter/dynamic-profile/view/1901028","19-1901028")</f>
        <v>0</v>
      </c>
      <c r="B263" t="s">
        <v>88</v>
      </c>
      <c r="C263" t="s">
        <v>517</v>
      </c>
      <c r="D263" t="s">
        <v>1858</v>
      </c>
      <c r="E263" t="s">
        <v>3330</v>
      </c>
      <c r="F263" t="s">
        <v>5227</v>
      </c>
      <c r="G263" t="s">
        <v>5637</v>
      </c>
      <c r="H263">
        <v>11217</v>
      </c>
      <c r="I263" t="s">
        <v>5696</v>
      </c>
      <c r="J263" t="s">
        <v>5696</v>
      </c>
      <c r="L263" t="s">
        <v>5740</v>
      </c>
      <c r="N263" t="s">
        <v>6739</v>
      </c>
      <c r="O263" t="s">
        <v>6748</v>
      </c>
      <c r="P263" t="s">
        <v>5697</v>
      </c>
      <c r="R263" t="s">
        <v>6793</v>
      </c>
      <c r="U263">
        <v>3830</v>
      </c>
      <c r="V263" t="s">
        <v>6835</v>
      </c>
      <c r="W263" t="s">
        <v>6841</v>
      </c>
      <c r="X263" t="s">
        <v>6859</v>
      </c>
      <c r="Y263" t="s">
        <v>7125</v>
      </c>
      <c r="AB263">
        <v>700</v>
      </c>
      <c r="AC263" t="s">
        <v>10929</v>
      </c>
      <c r="AD263" t="s">
        <v>10945</v>
      </c>
      <c r="AE263">
        <v>1</v>
      </c>
      <c r="AF263">
        <v>1</v>
      </c>
      <c r="AG263">
        <v>0</v>
      </c>
      <c r="AH263">
        <v>134.8</v>
      </c>
      <c r="AK263" t="s">
        <v>10966</v>
      </c>
      <c r="AL263">
        <v>16836</v>
      </c>
      <c r="AR263">
        <v>0.5</v>
      </c>
      <c r="AS263" t="s">
        <v>11120</v>
      </c>
      <c r="AT263" t="s">
        <v>11180</v>
      </c>
      <c r="AV263" t="s">
        <v>11230</v>
      </c>
      <c r="AW263" t="s">
        <v>11120</v>
      </c>
      <c r="AX263" t="s">
        <v>11163</v>
      </c>
    </row>
    <row r="264" spans="1:50">
      <c r="A264" s="1">
        <f>HYPERLINK("https://lsnyc.legalserver.org/matter/dynamic-profile/view/1897417","19-1897417")</f>
        <v>0</v>
      </c>
      <c r="B264" t="s">
        <v>94</v>
      </c>
      <c r="C264" t="s">
        <v>538</v>
      </c>
      <c r="D264" t="s">
        <v>1859</v>
      </c>
      <c r="E264" t="s">
        <v>3331</v>
      </c>
      <c r="G264" t="s">
        <v>5637</v>
      </c>
      <c r="H264">
        <v>11232</v>
      </c>
      <c r="I264" t="s">
        <v>5696</v>
      </c>
      <c r="J264" t="s">
        <v>5696</v>
      </c>
      <c r="L264" t="s">
        <v>5740</v>
      </c>
      <c r="N264" t="s">
        <v>6739</v>
      </c>
      <c r="O264" t="s">
        <v>6756</v>
      </c>
      <c r="P264" t="s">
        <v>5695</v>
      </c>
      <c r="R264" t="s">
        <v>6793</v>
      </c>
      <c r="U264">
        <v>0</v>
      </c>
      <c r="V264" t="s">
        <v>6835</v>
      </c>
      <c r="X264" t="s">
        <v>6857</v>
      </c>
      <c r="Y264" t="s">
        <v>7126</v>
      </c>
      <c r="AB264">
        <v>0</v>
      </c>
      <c r="AC264" t="s">
        <v>8953</v>
      </c>
      <c r="AE264">
        <v>0</v>
      </c>
      <c r="AF264">
        <v>2</v>
      </c>
      <c r="AG264">
        <v>1</v>
      </c>
      <c r="AH264">
        <v>0</v>
      </c>
      <c r="AK264" t="s">
        <v>10967</v>
      </c>
      <c r="AL264">
        <v>0</v>
      </c>
      <c r="AR264">
        <v>1.75</v>
      </c>
      <c r="AS264" t="s">
        <v>11165</v>
      </c>
      <c r="AT264" t="s">
        <v>94</v>
      </c>
      <c r="AV264" t="s">
        <v>11230</v>
      </c>
      <c r="AW264" t="s">
        <v>11165</v>
      </c>
      <c r="AX264" t="s">
        <v>11165</v>
      </c>
    </row>
    <row r="265" spans="1:50">
      <c r="A265" s="1">
        <f>HYPERLINK("https://lsnyc.legalserver.org/matter/dynamic-profile/view/1897560","19-1897560")</f>
        <v>0</v>
      </c>
      <c r="B265" t="s">
        <v>139</v>
      </c>
      <c r="C265" t="s">
        <v>539</v>
      </c>
      <c r="D265" t="s">
        <v>1860</v>
      </c>
      <c r="E265" t="s">
        <v>3332</v>
      </c>
      <c r="F265" t="s">
        <v>5228</v>
      </c>
      <c r="G265" t="s">
        <v>5635</v>
      </c>
      <c r="H265">
        <v>10457</v>
      </c>
      <c r="I265" t="s">
        <v>5696</v>
      </c>
      <c r="J265" t="s">
        <v>5696</v>
      </c>
      <c r="K265" t="s">
        <v>5793</v>
      </c>
      <c r="L265" t="s">
        <v>6714</v>
      </c>
      <c r="N265" t="s">
        <v>6739</v>
      </c>
      <c r="O265" t="s">
        <v>6748</v>
      </c>
      <c r="P265" t="s">
        <v>5697</v>
      </c>
      <c r="R265" t="s">
        <v>6793</v>
      </c>
      <c r="U265">
        <v>1347</v>
      </c>
      <c r="V265" t="s">
        <v>6833</v>
      </c>
      <c r="W265" t="s">
        <v>6848</v>
      </c>
      <c r="X265" t="s">
        <v>6857</v>
      </c>
      <c r="Y265" t="s">
        <v>7127</v>
      </c>
      <c r="AA265" t="s">
        <v>9283</v>
      </c>
      <c r="AB265">
        <v>72</v>
      </c>
      <c r="AC265" t="s">
        <v>10929</v>
      </c>
      <c r="AD265" t="s">
        <v>5741</v>
      </c>
      <c r="AE265">
        <v>4</v>
      </c>
      <c r="AF265">
        <v>1</v>
      </c>
      <c r="AG265">
        <v>5</v>
      </c>
      <c r="AH265">
        <v>97.59999999999999</v>
      </c>
      <c r="AK265" t="s">
        <v>10966</v>
      </c>
      <c r="AL265">
        <v>33760</v>
      </c>
      <c r="AR265">
        <v>0.5</v>
      </c>
      <c r="AS265" t="s">
        <v>11159</v>
      </c>
      <c r="AT265" t="s">
        <v>11180</v>
      </c>
      <c r="AV265" t="s">
        <v>11230</v>
      </c>
      <c r="AW265" t="s">
        <v>11159</v>
      </c>
      <c r="AX265" t="s">
        <v>11129</v>
      </c>
    </row>
    <row r="266" spans="1:50">
      <c r="A266" s="1">
        <f>HYPERLINK("https://lsnyc.legalserver.org/matter/dynamic-profile/view/1901496","19-1901496")</f>
        <v>0</v>
      </c>
      <c r="B266" t="s">
        <v>56</v>
      </c>
      <c r="C266" t="s">
        <v>540</v>
      </c>
      <c r="D266" t="s">
        <v>1861</v>
      </c>
      <c r="E266" t="s">
        <v>3333</v>
      </c>
      <c r="F266" t="s">
        <v>5229</v>
      </c>
      <c r="G266" t="s">
        <v>5636</v>
      </c>
      <c r="H266">
        <v>10308</v>
      </c>
      <c r="I266" t="s">
        <v>5696</v>
      </c>
      <c r="J266" t="s">
        <v>5696</v>
      </c>
      <c r="K266" t="s">
        <v>5794</v>
      </c>
      <c r="L266" t="s">
        <v>6714</v>
      </c>
      <c r="N266" t="s">
        <v>6739</v>
      </c>
      <c r="O266" t="s">
        <v>6748</v>
      </c>
      <c r="R266" t="s">
        <v>6793</v>
      </c>
      <c r="U266">
        <v>2000</v>
      </c>
      <c r="V266" t="s">
        <v>6835</v>
      </c>
      <c r="W266" t="s">
        <v>6841</v>
      </c>
      <c r="X266" t="s">
        <v>6857</v>
      </c>
      <c r="Y266" t="s">
        <v>7128</v>
      </c>
      <c r="AA266" t="s">
        <v>9284</v>
      </c>
      <c r="AB266">
        <v>0</v>
      </c>
      <c r="AD266" t="s">
        <v>5741</v>
      </c>
      <c r="AE266">
        <v>0</v>
      </c>
      <c r="AF266">
        <v>2</v>
      </c>
      <c r="AG266">
        <v>1</v>
      </c>
      <c r="AH266">
        <v>0</v>
      </c>
      <c r="AK266" t="s">
        <v>10966</v>
      </c>
      <c r="AL266">
        <v>0</v>
      </c>
      <c r="AR266">
        <v>1.7</v>
      </c>
      <c r="AS266" t="s">
        <v>6818</v>
      </c>
      <c r="AT266" t="s">
        <v>11188</v>
      </c>
      <c r="AV266" t="s">
        <v>11230</v>
      </c>
      <c r="AW266" t="s">
        <v>11135</v>
      </c>
      <c r="AX266" t="s">
        <v>6818</v>
      </c>
    </row>
    <row r="267" spans="1:50">
      <c r="A267" s="1">
        <f>HYPERLINK("https://lsnyc.legalserver.org/matter/dynamic-profile/view/1898290","19-1898290")</f>
        <v>0</v>
      </c>
      <c r="B267" t="s">
        <v>142</v>
      </c>
      <c r="C267" t="s">
        <v>493</v>
      </c>
      <c r="D267" t="s">
        <v>1757</v>
      </c>
      <c r="E267" t="s">
        <v>3334</v>
      </c>
      <c r="F267" t="s">
        <v>5137</v>
      </c>
      <c r="G267" t="s">
        <v>5635</v>
      </c>
      <c r="H267">
        <v>10453</v>
      </c>
      <c r="I267" t="s">
        <v>5695</v>
      </c>
      <c r="J267" t="s">
        <v>5695</v>
      </c>
      <c r="K267" t="s">
        <v>5795</v>
      </c>
      <c r="L267" t="s">
        <v>6714</v>
      </c>
      <c r="N267" t="s">
        <v>6739</v>
      </c>
      <c r="O267" t="s">
        <v>6774</v>
      </c>
      <c r="P267" t="s">
        <v>5697</v>
      </c>
      <c r="R267" t="s">
        <v>6793</v>
      </c>
      <c r="U267">
        <v>1460</v>
      </c>
      <c r="V267" t="s">
        <v>6833</v>
      </c>
      <c r="W267" t="s">
        <v>6839</v>
      </c>
      <c r="X267" t="s">
        <v>6857</v>
      </c>
      <c r="Y267" t="s">
        <v>7129</v>
      </c>
      <c r="AA267" t="s">
        <v>9285</v>
      </c>
      <c r="AB267">
        <v>51</v>
      </c>
      <c r="AC267" t="s">
        <v>8953</v>
      </c>
      <c r="AD267" t="s">
        <v>5741</v>
      </c>
      <c r="AE267">
        <v>4</v>
      </c>
      <c r="AF267">
        <v>3</v>
      </c>
      <c r="AG267">
        <v>1</v>
      </c>
      <c r="AH267">
        <v>0</v>
      </c>
      <c r="AK267" t="s">
        <v>10966</v>
      </c>
      <c r="AL267">
        <v>0</v>
      </c>
      <c r="AM267" t="s">
        <v>11019</v>
      </c>
      <c r="AR267">
        <v>5.8</v>
      </c>
      <c r="AS267" t="s">
        <v>11162</v>
      </c>
      <c r="AT267" t="s">
        <v>219</v>
      </c>
      <c r="AV267" t="s">
        <v>11230</v>
      </c>
      <c r="AW267" t="s">
        <v>10956</v>
      </c>
      <c r="AX267" t="s">
        <v>11144</v>
      </c>
    </row>
    <row r="268" spans="1:50">
      <c r="A268" s="1">
        <f>HYPERLINK("https://lsnyc.legalserver.org/matter/dynamic-profile/view/1896669","19-1896669")</f>
        <v>0</v>
      </c>
      <c r="B268" t="s">
        <v>118</v>
      </c>
      <c r="C268" t="s">
        <v>541</v>
      </c>
      <c r="D268" t="s">
        <v>1762</v>
      </c>
      <c r="E268" t="s">
        <v>3335</v>
      </c>
      <c r="F268" t="s">
        <v>5230</v>
      </c>
      <c r="G268" t="s">
        <v>5637</v>
      </c>
      <c r="H268">
        <v>11207</v>
      </c>
      <c r="I268" t="s">
        <v>5696</v>
      </c>
      <c r="J268" t="s">
        <v>5696</v>
      </c>
      <c r="K268" t="s">
        <v>5796</v>
      </c>
      <c r="L268" t="s">
        <v>6714</v>
      </c>
      <c r="N268" t="s">
        <v>6739</v>
      </c>
      <c r="O268" t="s">
        <v>6748</v>
      </c>
      <c r="R268" t="s">
        <v>6794</v>
      </c>
      <c r="U268">
        <v>305</v>
      </c>
      <c r="V268" t="s">
        <v>6835</v>
      </c>
      <c r="X268" t="s">
        <v>6857</v>
      </c>
      <c r="Y268" t="s">
        <v>7130</v>
      </c>
      <c r="AA268" t="s">
        <v>9286</v>
      </c>
      <c r="AB268">
        <v>0</v>
      </c>
      <c r="AC268" t="s">
        <v>10940</v>
      </c>
      <c r="AD268" t="s">
        <v>10943</v>
      </c>
      <c r="AE268">
        <v>1</v>
      </c>
      <c r="AF268">
        <v>1</v>
      </c>
      <c r="AG268">
        <v>0</v>
      </c>
      <c r="AH268">
        <v>111.74</v>
      </c>
      <c r="AK268" t="s">
        <v>10966</v>
      </c>
      <c r="AL268">
        <v>13956</v>
      </c>
      <c r="AR268">
        <v>2.1</v>
      </c>
      <c r="AS268" t="s">
        <v>11125</v>
      </c>
      <c r="AT268" t="s">
        <v>11188</v>
      </c>
      <c r="AV268" t="s">
        <v>11230</v>
      </c>
      <c r="AW268" t="s">
        <v>11122</v>
      </c>
      <c r="AX268" t="s">
        <v>11132</v>
      </c>
    </row>
    <row r="269" spans="1:50">
      <c r="A269" s="1">
        <f>HYPERLINK("https://lsnyc.legalserver.org/matter/dynamic-profile/view/1902639","19-1902639")</f>
        <v>0</v>
      </c>
      <c r="B269" t="s">
        <v>137</v>
      </c>
      <c r="C269" t="s">
        <v>542</v>
      </c>
      <c r="D269" t="s">
        <v>1862</v>
      </c>
      <c r="E269" t="s">
        <v>3336</v>
      </c>
      <c r="F269" t="s">
        <v>5182</v>
      </c>
      <c r="G269" t="s">
        <v>5635</v>
      </c>
      <c r="H269">
        <v>10463</v>
      </c>
      <c r="I269" t="s">
        <v>5696</v>
      </c>
      <c r="J269" t="s">
        <v>5696</v>
      </c>
      <c r="K269" t="s">
        <v>5797</v>
      </c>
      <c r="L269" t="s">
        <v>6714</v>
      </c>
      <c r="N269" t="s">
        <v>6739</v>
      </c>
      <c r="O269" t="s">
        <v>6768</v>
      </c>
      <c r="R269" t="s">
        <v>6793</v>
      </c>
      <c r="U269">
        <v>1367</v>
      </c>
      <c r="V269" t="s">
        <v>6833</v>
      </c>
      <c r="X269" t="s">
        <v>6857</v>
      </c>
      <c r="Y269" t="s">
        <v>7131</v>
      </c>
      <c r="AA269" t="s">
        <v>9287</v>
      </c>
      <c r="AB269">
        <v>0</v>
      </c>
      <c r="AD269" t="s">
        <v>10943</v>
      </c>
      <c r="AE269">
        <v>3</v>
      </c>
      <c r="AF269">
        <v>1</v>
      </c>
      <c r="AG269">
        <v>0</v>
      </c>
      <c r="AH269">
        <v>156.7</v>
      </c>
      <c r="AK269" t="s">
        <v>10966</v>
      </c>
      <c r="AL269">
        <v>19572</v>
      </c>
      <c r="AR269">
        <v>2.9</v>
      </c>
      <c r="AS269" t="s">
        <v>6828</v>
      </c>
      <c r="AT269" t="s">
        <v>11186</v>
      </c>
      <c r="AV269" t="s">
        <v>11230</v>
      </c>
      <c r="AW269" t="s">
        <v>11137</v>
      </c>
      <c r="AX269" t="s">
        <v>11137</v>
      </c>
    </row>
    <row r="270" spans="1:50">
      <c r="A270" s="1">
        <f>HYPERLINK("https://lsnyc.legalserver.org/matter/dynamic-profile/view/1899790","19-1899790")</f>
        <v>0</v>
      </c>
      <c r="B270" t="s">
        <v>113</v>
      </c>
      <c r="C270" t="s">
        <v>543</v>
      </c>
      <c r="D270" t="s">
        <v>1863</v>
      </c>
      <c r="E270" t="s">
        <v>3337</v>
      </c>
      <c r="F270" t="s">
        <v>5231</v>
      </c>
      <c r="G270" t="s">
        <v>5635</v>
      </c>
      <c r="H270">
        <v>10460</v>
      </c>
      <c r="I270" t="s">
        <v>5696</v>
      </c>
      <c r="J270" t="s">
        <v>5696</v>
      </c>
      <c r="K270" t="s">
        <v>5798</v>
      </c>
      <c r="L270" t="s">
        <v>6714</v>
      </c>
      <c r="N270" t="s">
        <v>6739</v>
      </c>
      <c r="O270" t="s">
        <v>6758</v>
      </c>
      <c r="R270" t="s">
        <v>6793</v>
      </c>
      <c r="U270">
        <v>1300</v>
      </c>
      <c r="V270" t="s">
        <v>6833</v>
      </c>
      <c r="X270" t="s">
        <v>6857</v>
      </c>
      <c r="Y270" t="s">
        <v>7132</v>
      </c>
      <c r="AB270">
        <v>0</v>
      </c>
      <c r="AE270">
        <v>1</v>
      </c>
      <c r="AF270">
        <v>1</v>
      </c>
      <c r="AG270">
        <v>0</v>
      </c>
      <c r="AH270">
        <v>17.68</v>
      </c>
      <c r="AK270" t="s">
        <v>10966</v>
      </c>
      <c r="AL270">
        <v>2208</v>
      </c>
      <c r="AR270">
        <v>1.25</v>
      </c>
      <c r="AS270" t="s">
        <v>11143</v>
      </c>
      <c r="AT270" t="s">
        <v>11188</v>
      </c>
      <c r="AV270" t="s">
        <v>11230</v>
      </c>
      <c r="AW270" t="s">
        <v>11132</v>
      </c>
      <c r="AX270" t="s">
        <v>11143</v>
      </c>
    </row>
    <row r="271" spans="1:50">
      <c r="A271" s="1">
        <f>HYPERLINK("https://lsnyc.legalserver.org/matter/dynamic-profile/view/1900915","19-1900915")</f>
        <v>0</v>
      </c>
      <c r="B271" t="s">
        <v>113</v>
      </c>
      <c r="C271" t="s">
        <v>396</v>
      </c>
      <c r="D271" t="s">
        <v>1864</v>
      </c>
      <c r="E271" t="s">
        <v>3338</v>
      </c>
      <c r="F271" t="s">
        <v>5180</v>
      </c>
      <c r="G271" t="s">
        <v>5635</v>
      </c>
      <c r="H271">
        <v>10460</v>
      </c>
      <c r="I271" t="s">
        <v>5696</v>
      </c>
      <c r="J271" t="s">
        <v>5696</v>
      </c>
      <c r="K271" t="s">
        <v>5799</v>
      </c>
      <c r="L271" t="s">
        <v>6714</v>
      </c>
      <c r="N271" t="s">
        <v>6739</v>
      </c>
      <c r="O271" t="s">
        <v>6748</v>
      </c>
      <c r="P271" t="s">
        <v>5697</v>
      </c>
      <c r="Q271" t="s">
        <v>6758</v>
      </c>
      <c r="R271" t="s">
        <v>6793</v>
      </c>
      <c r="U271">
        <v>1300</v>
      </c>
      <c r="V271" t="s">
        <v>6833</v>
      </c>
      <c r="X271" t="s">
        <v>6857</v>
      </c>
      <c r="Y271" t="s">
        <v>7133</v>
      </c>
      <c r="AB271">
        <v>35</v>
      </c>
      <c r="AC271" t="s">
        <v>8953</v>
      </c>
      <c r="AD271" t="s">
        <v>5741</v>
      </c>
      <c r="AE271">
        <v>28</v>
      </c>
      <c r="AF271">
        <v>1</v>
      </c>
      <c r="AG271">
        <v>0</v>
      </c>
      <c r="AH271">
        <v>166.53</v>
      </c>
      <c r="AK271" t="s">
        <v>10966</v>
      </c>
      <c r="AL271">
        <v>20800</v>
      </c>
      <c r="AR271">
        <v>0.75</v>
      </c>
      <c r="AS271" t="s">
        <v>11148</v>
      </c>
      <c r="AT271" t="s">
        <v>11189</v>
      </c>
      <c r="AV271" t="s">
        <v>11230</v>
      </c>
      <c r="AW271" t="s">
        <v>11157</v>
      </c>
      <c r="AX271" t="s">
        <v>11148</v>
      </c>
    </row>
    <row r="272" spans="1:50">
      <c r="A272" s="1">
        <f>HYPERLINK("https://lsnyc.legalserver.org/matter/dynamic-profile/view/1896595","19-1896595")</f>
        <v>0</v>
      </c>
      <c r="B272" t="s">
        <v>143</v>
      </c>
      <c r="C272" t="s">
        <v>377</v>
      </c>
      <c r="D272" t="s">
        <v>1865</v>
      </c>
      <c r="E272" t="s">
        <v>3339</v>
      </c>
      <c r="F272" t="s">
        <v>5232</v>
      </c>
      <c r="G272" t="s">
        <v>5637</v>
      </c>
      <c r="H272">
        <v>11207</v>
      </c>
      <c r="I272" t="s">
        <v>5696</v>
      </c>
      <c r="J272" t="s">
        <v>5696</v>
      </c>
      <c r="K272" t="s">
        <v>5800</v>
      </c>
      <c r="L272" t="s">
        <v>6714</v>
      </c>
      <c r="N272" t="s">
        <v>6739</v>
      </c>
      <c r="O272" t="s">
        <v>6756</v>
      </c>
      <c r="P272" t="s">
        <v>5697</v>
      </c>
      <c r="R272" t="s">
        <v>6793</v>
      </c>
      <c r="S272" t="s">
        <v>6804</v>
      </c>
      <c r="U272">
        <v>1000</v>
      </c>
      <c r="V272" t="s">
        <v>6835</v>
      </c>
      <c r="W272" t="s">
        <v>6838</v>
      </c>
      <c r="X272" t="s">
        <v>6857</v>
      </c>
      <c r="Y272" t="s">
        <v>7119</v>
      </c>
      <c r="AB272">
        <v>4</v>
      </c>
      <c r="AC272" t="s">
        <v>10930</v>
      </c>
      <c r="AD272" t="s">
        <v>5741</v>
      </c>
      <c r="AE272">
        <v>10</v>
      </c>
      <c r="AF272">
        <v>1</v>
      </c>
      <c r="AG272">
        <v>0</v>
      </c>
      <c r="AH272">
        <v>78.20999999999999</v>
      </c>
      <c r="AL272">
        <v>9768</v>
      </c>
      <c r="AR272">
        <v>1.1</v>
      </c>
      <c r="AS272" t="s">
        <v>11121</v>
      </c>
      <c r="AT272" t="s">
        <v>143</v>
      </c>
      <c r="AV272" t="s">
        <v>11230</v>
      </c>
      <c r="AW272" t="s">
        <v>11121</v>
      </c>
      <c r="AX272" t="s">
        <v>11121</v>
      </c>
    </row>
    <row r="273" spans="1:50">
      <c r="A273" s="1">
        <f>HYPERLINK("https://lsnyc.legalserver.org/matter/dynamic-profile/view/1903599","19-1903599")</f>
        <v>0</v>
      </c>
      <c r="B273" t="s">
        <v>95</v>
      </c>
      <c r="C273" t="s">
        <v>544</v>
      </c>
      <c r="D273" t="s">
        <v>1866</v>
      </c>
      <c r="E273" t="s">
        <v>3340</v>
      </c>
      <c r="F273" t="s">
        <v>5130</v>
      </c>
      <c r="G273" t="s">
        <v>5637</v>
      </c>
      <c r="H273">
        <v>11205</v>
      </c>
      <c r="I273" t="s">
        <v>5695</v>
      </c>
      <c r="J273" t="s">
        <v>5696</v>
      </c>
      <c r="K273" t="s">
        <v>5741</v>
      </c>
      <c r="L273" t="s">
        <v>6716</v>
      </c>
      <c r="N273" t="s">
        <v>6739</v>
      </c>
      <c r="O273" t="s">
        <v>6756</v>
      </c>
      <c r="P273" t="s">
        <v>5697</v>
      </c>
      <c r="R273" t="s">
        <v>6794</v>
      </c>
      <c r="S273" t="s">
        <v>6801</v>
      </c>
      <c r="U273">
        <v>0</v>
      </c>
      <c r="V273" t="s">
        <v>6835</v>
      </c>
      <c r="W273" t="s">
        <v>6842</v>
      </c>
      <c r="X273" t="s">
        <v>6857</v>
      </c>
      <c r="Y273" t="s">
        <v>7134</v>
      </c>
      <c r="Z273" t="s">
        <v>8928</v>
      </c>
      <c r="AB273">
        <v>0</v>
      </c>
      <c r="AC273" t="s">
        <v>10931</v>
      </c>
      <c r="AD273" t="s">
        <v>5741</v>
      </c>
      <c r="AE273">
        <v>0</v>
      </c>
      <c r="AF273">
        <v>2</v>
      </c>
      <c r="AG273">
        <v>3</v>
      </c>
      <c r="AH273">
        <v>59.71</v>
      </c>
      <c r="AK273" t="s">
        <v>10966</v>
      </c>
      <c r="AL273">
        <v>18016</v>
      </c>
      <c r="AR273">
        <v>0.85</v>
      </c>
      <c r="AS273" t="s">
        <v>6818</v>
      </c>
      <c r="AT273" t="s">
        <v>69</v>
      </c>
      <c r="AU273" t="s">
        <v>11228</v>
      </c>
      <c r="AV273" t="s">
        <v>11230</v>
      </c>
      <c r="AW273" t="s">
        <v>11147</v>
      </c>
      <c r="AX273" t="s">
        <v>6818</v>
      </c>
    </row>
    <row r="274" spans="1:50">
      <c r="A274" s="1">
        <f>HYPERLINK("https://lsnyc.legalserver.org/matter/dynamic-profile/view/1900424","19-1900424")</f>
        <v>0</v>
      </c>
      <c r="B274" t="s">
        <v>91</v>
      </c>
      <c r="C274" t="s">
        <v>386</v>
      </c>
      <c r="D274" t="s">
        <v>1762</v>
      </c>
      <c r="E274" t="s">
        <v>3341</v>
      </c>
      <c r="F274" t="s">
        <v>5128</v>
      </c>
      <c r="G274" t="s">
        <v>5637</v>
      </c>
      <c r="H274">
        <v>11239</v>
      </c>
      <c r="I274" t="s">
        <v>5697</v>
      </c>
      <c r="J274" t="s">
        <v>5696</v>
      </c>
      <c r="K274" t="s">
        <v>5738</v>
      </c>
      <c r="L274" t="s">
        <v>6719</v>
      </c>
      <c r="N274" t="s">
        <v>6739</v>
      </c>
      <c r="O274" t="s">
        <v>6745</v>
      </c>
      <c r="P274" t="s">
        <v>5697</v>
      </c>
      <c r="R274" t="s">
        <v>6793</v>
      </c>
      <c r="S274" t="s">
        <v>6801</v>
      </c>
      <c r="U274">
        <v>0</v>
      </c>
      <c r="V274" t="s">
        <v>6835</v>
      </c>
      <c r="W274" t="s">
        <v>6848</v>
      </c>
      <c r="X274" t="s">
        <v>6857</v>
      </c>
      <c r="Y274" t="s">
        <v>7135</v>
      </c>
      <c r="AA274" t="s">
        <v>9288</v>
      </c>
      <c r="AB274">
        <v>24</v>
      </c>
      <c r="AD274" t="s">
        <v>10944</v>
      </c>
      <c r="AE274">
        <v>6</v>
      </c>
      <c r="AF274">
        <v>1</v>
      </c>
      <c r="AG274">
        <v>0</v>
      </c>
      <c r="AH274">
        <v>0</v>
      </c>
      <c r="AK274" t="s">
        <v>10966</v>
      </c>
      <c r="AL274">
        <v>0</v>
      </c>
      <c r="AR274">
        <v>2.75</v>
      </c>
      <c r="AS274" t="s">
        <v>11138</v>
      </c>
      <c r="AT274" t="s">
        <v>11203</v>
      </c>
      <c r="AU274" t="s">
        <v>5741</v>
      </c>
      <c r="AV274" t="s">
        <v>11230</v>
      </c>
      <c r="AW274" t="s">
        <v>11160</v>
      </c>
      <c r="AX274" t="s">
        <v>11138</v>
      </c>
    </row>
    <row r="275" spans="1:50">
      <c r="A275" s="1">
        <f>HYPERLINK("https://lsnyc.legalserver.org/matter/dynamic-profile/view/1901634","19-1901634")</f>
        <v>0</v>
      </c>
      <c r="B275" t="s">
        <v>67</v>
      </c>
      <c r="C275" t="s">
        <v>472</v>
      </c>
      <c r="D275" t="s">
        <v>1796</v>
      </c>
      <c r="E275" t="s">
        <v>3342</v>
      </c>
      <c r="F275" t="s">
        <v>5233</v>
      </c>
      <c r="G275" t="s">
        <v>5637</v>
      </c>
      <c r="H275">
        <v>11207</v>
      </c>
      <c r="I275" t="s">
        <v>5696</v>
      </c>
      <c r="J275" t="s">
        <v>5696</v>
      </c>
      <c r="L275" t="s">
        <v>6718</v>
      </c>
      <c r="N275" t="s">
        <v>6739</v>
      </c>
      <c r="O275" t="s">
        <v>6745</v>
      </c>
      <c r="R275" t="s">
        <v>6793</v>
      </c>
      <c r="U275">
        <v>835</v>
      </c>
      <c r="V275" t="s">
        <v>6835</v>
      </c>
      <c r="W275" t="s">
        <v>6853</v>
      </c>
      <c r="X275" t="s">
        <v>6857</v>
      </c>
      <c r="Y275" t="s">
        <v>7136</v>
      </c>
      <c r="AA275" t="s">
        <v>9289</v>
      </c>
      <c r="AB275">
        <v>52</v>
      </c>
      <c r="AE275">
        <v>30</v>
      </c>
      <c r="AF275">
        <v>1</v>
      </c>
      <c r="AG275">
        <v>0</v>
      </c>
      <c r="AH275">
        <v>187.35</v>
      </c>
      <c r="AK275" t="s">
        <v>10966</v>
      </c>
      <c r="AL275">
        <v>23400</v>
      </c>
      <c r="AR275">
        <v>1</v>
      </c>
      <c r="AS275" t="s">
        <v>11124</v>
      </c>
      <c r="AT275" t="s">
        <v>11210</v>
      </c>
      <c r="AV275" t="s">
        <v>11230</v>
      </c>
      <c r="AW275" t="s">
        <v>11124</v>
      </c>
      <c r="AX275" t="s">
        <v>11149</v>
      </c>
    </row>
    <row r="276" spans="1:50">
      <c r="A276" s="1">
        <f>HYPERLINK("https://lsnyc.legalserver.org/matter/dynamic-profile/view/1905283","19-1905283")</f>
        <v>0</v>
      </c>
      <c r="B276" t="s">
        <v>144</v>
      </c>
      <c r="C276" t="s">
        <v>545</v>
      </c>
      <c r="D276" t="s">
        <v>1762</v>
      </c>
      <c r="E276" t="s">
        <v>3343</v>
      </c>
      <c r="G276" t="s">
        <v>5637</v>
      </c>
      <c r="H276">
        <v>11238</v>
      </c>
      <c r="I276" t="s">
        <v>5696</v>
      </c>
      <c r="J276" t="s">
        <v>5696</v>
      </c>
      <c r="N276" t="s">
        <v>6739</v>
      </c>
      <c r="O276" t="s">
        <v>6775</v>
      </c>
      <c r="R276" t="s">
        <v>6797</v>
      </c>
      <c r="U276">
        <v>0</v>
      </c>
      <c r="V276" t="s">
        <v>6835</v>
      </c>
      <c r="X276" t="s">
        <v>6857</v>
      </c>
      <c r="Y276" t="s">
        <v>7137</v>
      </c>
      <c r="AA276" t="s">
        <v>8917</v>
      </c>
      <c r="AB276">
        <v>0</v>
      </c>
      <c r="AE276">
        <v>0</v>
      </c>
      <c r="AF276">
        <v>1</v>
      </c>
      <c r="AG276">
        <v>0</v>
      </c>
      <c r="AH276">
        <v>67.25</v>
      </c>
      <c r="AK276" t="s">
        <v>10966</v>
      </c>
      <c r="AL276">
        <v>8400</v>
      </c>
      <c r="AR276">
        <v>2</v>
      </c>
      <c r="AS276" t="s">
        <v>6819</v>
      </c>
      <c r="AT276" t="s">
        <v>144</v>
      </c>
      <c r="AV276" t="s">
        <v>11230</v>
      </c>
      <c r="AW276" t="s">
        <v>6819</v>
      </c>
      <c r="AX276" t="s">
        <v>6819</v>
      </c>
    </row>
    <row r="277" spans="1:50">
      <c r="A277" s="1">
        <f>HYPERLINK("https://lsnyc.legalserver.org/matter/dynamic-profile/view/1899458","19-1899458")</f>
        <v>0</v>
      </c>
      <c r="B277" t="s">
        <v>132</v>
      </c>
      <c r="C277" t="s">
        <v>541</v>
      </c>
      <c r="D277" t="s">
        <v>1867</v>
      </c>
      <c r="E277" t="s">
        <v>3344</v>
      </c>
      <c r="F277" t="s">
        <v>5096</v>
      </c>
      <c r="G277" t="s">
        <v>5637</v>
      </c>
      <c r="H277">
        <v>11233</v>
      </c>
      <c r="I277" t="s">
        <v>5696</v>
      </c>
      <c r="J277" t="s">
        <v>5696</v>
      </c>
      <c r="N277" t="s">
        <v>6739</v>
      </c>
      <c r="O277" t="s">
        <v>6773</v>
      </c>
      <c r="R277" t="s">
        <v>6793</v>
      </c>
      <c r="U277">
        <v>3000</v>
      </c>
      <c r="V277" t="s">
        <v>6835</v>
      </c>
      <c r="W277" t="s">
        <v>6841</v>
      </c>
      <c r="X277" t="s">
        <v>6857</v>
      </c>
      <c r="Y277" t="s">
        <v>7138</v>
      </c>
      <c r="AA277" t="s">
        <v>9290</v>
      </c>
      <c r="AB277">
        <v>2</v>
      </c>
      <c r="AE277">
        <v>1</v>
      </c>
      <c r="AF277">
        <v>1</v>
      </c>
      <c r="AG277">
        <v>0</v>
      </c>
      <c r="AH277">
        <v>249.8</v>
      </c>
      <c r="AK277" t="s">
        <v>10966</v>
      </c>
      <c r="AL277">
        <v>31200</v>
      </c>
      <c r="AR277">
        <v>5.1</v>
      </c>
      <c r="AS277" t="s">
        <v>11135</v>
      </c>
      <c r="AT277" t="s">
        <v>11181</v>
      </c>
      <c r="AV277" t="s">
        <v>11230</v>
      </c>
      <c r="AW277" t="s">
        <v>11158</v>
      </c>
      <c r="AX277" t="s">
        <v>11135</v>
      </c>
    </row>
    <row r="278" spans="1:50">
      <c r="A278" s="1">
        <f>HYPERLINK("https://lsnyc.legalserver.org/matter/dynamic-profile/view/1898685","19-1898685")</f>
        <v>0</v>
      </c>
      <c r="B278" t="s">
        <v>128</v>
      </c>
      <c r="C278" t="s">
        <v>546</v>
      </c>
      <c r="D278" t="s">
        <v>1868</v>
      </c>
      <c r="E278" t="s">
        <v>3345</v>
      </c>
      <c r="G278" t="s">
        <v>5637</v>
      </c>
      <c r="H278">
        <v>11216</v>
      </c>
      <c r="I278" t="s">
        <v>5696</v>
      </c>
      <c r="J278" t="s">
        <v>5696</v>
      </c>
      <c r="N278" t="s">
        <v>6739</v>
      </c>
      <c r="O278" t="s">
        <v>6769</v>
      </c>
      <c r="R278" t="s">
        <v>6799</v>
      </c>
      <c r="U278">
        <v>0</v>
      </c>
      <c r="V278" t="s">
        <v>6835</v>
      </c>
      <c r="X278" t="s">
        <v>6857</v>
      </c>
      <c r="Y278" t="s">
        <v>7139</v>
      </c>
      <c r="AA278" t="s">
        <v>9291</v>
      </c>
      <c r="AB278">
        <v>0</v>
      </c>
      <c r="AE278">
        <v>0</v>
      </c>
      <c r="AF278">
        <v>1</v>
      </c>
      <c r="AG278">
        <v>0</v>
      </c>
      <c r="AH278">
        <v>192.15</v>
      </c>
      <c r="AL278">
        <v>24000</v>
      </c>
      <c r="AR278">
        <v>1.7</v>
      </c>
      <c r="AS278" t="s">
        <v>11134</v>
      </c>
      <c r="AT278" t="s">
        <v>128</v>
      </c>
      <c r="AV278" t="s">
        <v>11230</v>
      </c>
      <c r="AW278" t="s">
        <v>11152</v>
      </c>
      <c r="AX278" t="s">
        <v>6819</v>
      </c>
    </row>
    <row r="279" spans="1:50">
      <c r="A279" s="1">
        <f>HYPERLINK("https://lsnyc.legalserver.org/matter/dynamic-profile/view/1898824","19-1898824")</f>
        <v>0</v>
      </c>
      <c r="B279" t="s">
        <v>128</v>
      </c>
      <c r="C279" t="s">
        <v>547</v>
      </c>
      <c r="D279" t="s">
        <v>1762</v>
      </c>
      <c r="E279" t="s">
        <v>3346</v>
      </c>
      <c r="G279" t="s">
        <v>5637</v>
      </c>
      <c r="H279">
        <v>11208</v>
      </c>
      <c r="I279" t="s">
        <v>5696</v>
      </c>
      <c r="J279" t="s">
        <v>5696</v>
      </c>
      <c r="N279" t="s">
        <v>6739</v>
      </c>
      <c r="O279" t="s">
        <v>6776</v>
      </c>
      <c r="R279" t="s">
        <v>6799</v>
      </c>
      <c r="U279">
        <v>0</v>
      </c>
      <c r="V279" t="s">
        <v>6835</v>
      </c>
      <c r="X279" t="s">
        <v>6858</v>
      </c>
      <c r="Y279" t="s">
        <v>7140</v>
      </c>
      <c r="AA279" t="s">
        <v>9292</v>
      </c>
      <c r="AB279">
        <v>0</v>
      </c>
      <c r="AE279">
        <v>0</v>
      </c>
      <c r="AF279">
        <v>3</v>
      </c>
      <c r="AG279">
        <v>0</v>
      </c>
      <c r="AH279">
        <v>94.34999999999999</v>
      </c>
      <c r="AL279">
        <v>20124</v>
      </c>
      <c r="AR279">
        <v>1.9</v>
      </c>
      <c r="AS279" t="s">
        <v>11126</v>
      </c>
      <c r="AT279" t="s">
        <v>128</v>
      </c>
      <c r="AV279" t="s">
        <v>11230</v>
      </c>
      <c r="AW279" t="s">
        <v>10959</v>
      </c>
      <c r="AX279" t="s">
        <v>11156</v>
      </c>
    </row>
    <row r="280" spans="1:50">
      <c r="A280" s="1">
        <f>HYPERLINK("https://lsnyc.legalserver.org/matter/dynamic-profile/view/1903384","19-1903384")</f>
        <v>0</v>
      </c>
      <c r="B280" t="s">
        <v>112</v>
      </c>
      <c r="C280" t="s">
        <v>548</v>
      </c>
      <c r="D280" t="s">
        <v>1717</v>
      </c>
      <c r="E280" t="s">
        <v>3347</v>
      </c>
      <c r="F280" t="s">
        <v>5097</v>
      </c>
      <c r="G280" t="s">
        <v>5638</v>
      </c>
      <c r="H280">
        <v>10029</v>
      </c>
      <c r="I280" t="s">
        <v>5696</v>
      </c>
      <c r="J280" t="s">
        <v>5696</v>
      </c>
      <c r="N280" t="s">
        <v>6739</v>
      </c>
      <c r="O280" t="s">
        <v>6753</v>
      </c>
      <c r="R280" t="s">
        <v>6793</v>
      </c>
      <c r="U280">
        <v>1010</v>
      </c>
      <c r="V280" t="s">
        <v>6836</v>
      </c>
      <c r="W280" t="s">
        <v>6841</v>
      </c>
      <c r="X280" t="s">
        <v>6857</v>
      </c>
      <c r="Y280" t="s">
        <v>7141</v>
      </c>
      <c r="AA280" t="s">
        <v>9293</v>
      </c>
      <c r="AB280">
        <v>55</v>
      </c>
      <c r="AC280" t="s">
        <v>10932</v>
      </c>
      <c r="AD280" t="s">
        <v>10944</v>
      </c>
      <c r="AE280">
        <v>3</v>
      </c>
      <c r="AF280">
        <v>1</v>
      </c>
      <c r="AG280">
        <v>0</v>
      </c>
      <c r="AH280">
        <v>266.45</v>
      </c>
      <c r="AK280" t="s">
        <v>10966</v>
      </c>
      <c r="AL280">
        <v>33280</v>
      </c>
      <c r="AR280">
        <v>0.7</v>
      </c>
      <c r="AS280" t="s">
        <v>11136</v>
      </c>
      <c r="AT280" t="s">
        <v>11180</v>
      </c>
      <c r="AV280" t="s">
        <v>11230</v>
      </c>
      <c r="AW280" t="s">
        <v>11136</v>
      </c>
      <c r="AX280" t="s">
        <v>6828</v>
      </c>
    </row>
    <row r="281" spans="1:50">
      <c r="A281" s="1">
        <f>HYPERLINK("https://lsnyc.legalserver.org/matter/dynamic-profile/view/1895536","19-1895536")</f>
        <v>0</v>
      </c>
      <c r="B281" t="s">
        <v>145</v>
      </c>
      <c r="C281" t="s">
        <v>549</v>
      </c>
      <c r="D281" t="s">
        <v>1869</v>
      </c>
      <c r="E281" t="s">
        <v>3348</v>
      </c>
      <c r="F281" t="s">
        <v>5154</v>
      </c>
      <c r="G281" t="s">
        <v>5638</v>
      </c>
      <c r="H281">
        <v>10011</v>
      </c>
      <c r="I281" t="s">
        <v>5696</v>
      </c>
      <c r="J281" t="s">
        <v>5696</v>
      </c>
      <c r="N281" t="s">
        <v>6739</v>
      </c>
      <c r="O281" t="s">
        <v>6777</v>
      </c>
      <c r="R281" t="s">
        <v>6793</v>
      </c>
      <c r="U281">
        <v>0</v>
      </c>
      <c r="V281" t="s">
        <v>6836</v>
      </c>
      <c r="X281" t="s">
        <v>6861</v>
      </c>
      <c r="Y281" t="s">
        <v>7142</v>
      </c>
      <c r="AA281" t="s">
        <v>9294</v>
      </c>
      <c r="AB281">
        <v>0</v>
      </c>
      <c r="AE281">
        <v>0</v>
      </c>
      <c r="AF281">
        <v>1</v>
      </c>
      <c r="AG281">
        <v>0</v>
      </c>
      <c r="AH281">
        <v>148.82</v>
      </c>
      <c r="AK281" t="s">
        <v>10966</v>
      </c>
      <c r="AL281">
        <v>18588</v>
      </c>
      <c r="AR281">
        <v>3</v>
      </c>
      <c r="AS281" t="s">
        <v>10961</v>
      </c>
      <c r="AT281" t="s">
        <v>229</v>
      </c>
      <c r="AV281" t="s">
        <v>11230</v>
      </c>
      <c r="AW281" t="s">
        <v>10960</v>
      </c>
      <c r="AX281" t="s">
        <v>10961</v>
      </c>
    </row>
    <row r="282" spans="1:50">
      <c r="A282" s="1">
        <f>HYPERLINK("https://lsnyc.legalserver.org/matter/dynamic-profile/view/1902370","19-1902370")</f>
        <v>0</v>
      </c>
      <c r="B282" t="s">
        <v>146</v>
      </c>
      <c r="C282" t="s">
        <v>550</v>
      </c>
      <c r="D282" t="s">
        <v>1870</v>
      </c>
      <c r="E282" t="s">
        <v>3349</v>
      </c>
      <c r="F282" t="s">
        <v>5234</v>
      </c>
      <c r="G282" t="s">
        <v>5653</v>
      </c>
      <c r="H282">
        <v>11374</v>
      </c>
      <c r="I282" t="s">
        <v>5696</v>
      </c>
      <c r="J282" t="s">
        <v>5696</v>
      </c>
      <c r="N282" t="s">
        <v>6739</v>
      </c>
      <c r="O282" t="s">
        <v>6767</v>
      </c>
      <c r="R282" t="s">
        <v>6798</v>
      </c>
      <c r="U282">
        <v>0</v>
      </c>
      <c r="V282" t="s">
        <v>6837</v>
      </c>
      <c r="X282" t="s">
        <v>6857</v>
      </c>
      <c r="Y282" t="s">
        <v>7143</v>
      </c>
      <c r="AA282" t="s">
        <v>9295</v>
      </c>
      <c r="AB282">
        <v>0</v>
      </c>
      <c r="AE282">
        <v>0</v>
      </c>
      <c r="AF282">
        <v>1</v>
      </c>
      <c r="AG282">
        <v>0</v>
      </c>
      <c r="AH282">
        <v>283.11</v>
      </c>
      <c r="AK282" t="s">
        <v>10966</v>
      </c>
      <c r="AL282">
        <v>35360</v>
      </c>
      <c r="AR282">
        <v>1</v>
      </c>
      <c r="AS282" t="s">
        <v>11117</v>
      </c>
      <c r="AT282" t="s">
        <v>11181</v>
      </c>
      <c r="AV282" t="s">
        <v>11230</v>
      </c>
      <c r="AW282" t="s">
        <v>11140</v>
      </c>
      <c r="AX282" t="s">
        <v>6821</v>
      </c>
    </row>
    <row r="283" spans="1:50">
      <c r="A283" s="1">
        <f>HYPERLINK("https://lsnyc.legalserver.org/matter/dynamic-profile/view/1903923","19-1903923")</f>
        <v>0</v>
      </c>
      <c r="B283" t="s">
        <v>146</v>
      </c>
      <c r="C283" t="s">
        <v>551</v>
      </c>
      <c r="D283" t="s">
        <v>1871</v>
      </c>
      <c r="E283" t="s">
        <v>3350</v>
      </c>
      <c r="G283" t="s">
        <v>5654</v>
      </c>
      <c r="H283">
        <v>11429</v>
      </c>
      <c r="I283" t="s">
        <v>5696</v>
      </c>
      <c r="J283" t="s">
        <v>5696</v>
      </c>
      <c r="N283" t="s">
        <v>6739</v>
      </c>
      <c r="O283" t="s">
        <v>6778</v>
      </c>
      <c r="R283" t="s">
        <v>6798</v>
      </c>
      <c r="U283">
        <v>0</v>
      </c>
      <c r="V283" t="s">
        <v>6837</v>
      </c>
      <c r="X283" t="s">
        <v>6857</v>
      </c>
      <c r="Y283" t="s">
        <v>7144</v>
      </c>
      <c r="AA283" t="s">
        <v>9296</v>
      </c>
      <c r="AB283">
        <v>0</v>
      </c>
      <c r="AE283">
        <v>0</v>
      </c>
      <c r="AF283">
        <v>1</v>
      </c>
      <c r="AG283">
        <v>0</v>
      </c>
      <c r="AH283">
        <v>86.47</v>
      </c>
      <c r="AL283">
        <v>10800</v>
      </c>
      <c r="AR283">
        <v>2.2</v>
      </c>
      <c r="AS283" t="s">
        <v>6818</v>
      </c>
      <c r="AT283" t="s">
        <v>11183</v>
      </c>
      <c r="AV283" t="s">
        <v>11230</v>
      </c>
      <c r="AW283" t="s">
        <v>6817</v>
      </c>
      <c r="AX283" t="s">
        <v>6821</v>
      </c>
    </row>
    <row r="284" spans="1:50">
      <c r="A284" s="1">
        <f>HYPERLINK("https://lsnyc.legalserver.org/matter/dynamic-profile/view/1901351","19-1901351")</f>
        <v>0</v>
      </c>
      <c r="B284" t="s">
        <v>56</v>
      </c>
      <c r="C284" t="s">
        <v>552</v>
      </c>
      <c r="D284" t="s">
        <v>1872</v>
      </c>
      <c r="E284" t="s">
        <v>3351</v>
      </c>
      <c r="F284" t="s">
        <v>5235</v>
      </c>
      <c r="G284" t="s">
        <v>5637</v>
      </c>
      <c r="H284">
        <v>11219</v>
      </c>
      <c r="I284" t="s">
        <v>5696</v>
      </c>
      <c r="J284" t="s">
        <v>5696</v>
      </c>
      <c r="N284" t="s">
        <v>6739</v>
      </c>
      <c r="O284" t="s">
        <v>6753</v>
      </c>
      <c r="R284" t="s">
        <v>6795</v>
      </c>
      <c r="U284">
        <v>0</v>
      </c>
      <c r="V284" t="s">
        <v>6835</v>
      </c>
      <c r="X284" t="s">
        <v>6857</v>
      </c>
      <c r="Y284" t="s">
        <v>7145</v>
      </c>
      <c r="AA284" t="s">
        <v>9297</v>
      </c>
      <c r="AB284">
        <v>0</v>
      </c>
      <c r="AE284">
        <v>0</v>
      </c>
      <c r="AF284">
        <v>1</v>
      </c>
      <c r="AG284">
        <v>0</v>
      </c>
      <c r="AH284">
        <v>317.05</v>
      </c>
      <c r="AL284">
        <v>39600</v>
      </c>
      <c r="AR284">
        <v>0.1</v>
      </c>
      <c r="AS284" t="s">
        <v>11150</v>
      </c>
      <c r="AT284" t="s">
        <v>11202</v>
      </c>
      <c r="AV284" t="s">
        <v>11230</v>
      </c>
      <c r="AW284" t="s">
        <v>11148</v>
      </c>
      <c r="AX284" t="s">
        <v>11150</v>
      </c>
    </row>
    <row r="285" spans="1:50">
      <c r="A285" s="1">
        <f>HYPERLINK("https://lsnyc.legalserver.org/matter/dynamic-profile/view/1895898","19-1895898")</f>
        <v>0</v>
      </c>
      <c r="B285" t="s">
        <v>147</v>
      </c>
      <c r="C285" t="s">
        <v>553</v>
      </c>
      <c r="D285" t="s">
        <v>1873</v>
      </c>
      <c r="E285" t="s">
        <v>3352</v>
      </c>
      <c r="G285" t="s">
        <v>5655</v>
      </c>
      <c r="H285">
        <v>11101</v>
      </c>
      <c r="I285" t="s">
        <v>5696</v>
      </c>
      <c r="J285" t="s">
        <v>5696</v>
      </c>
      <c r="N285" t="s">
        <v>6739</v>
      </c>
      <c r="O285" t="s">
        <v>6758</v>
      </c>
      <c r="R285" t="s">
        <v>6800</v>
      </c>
      <c r="U285">
        <v>0</v>
      </c>
      <c r="V285" t="s">
        <v>6837</v>
      </c>
      <c r="X285" t="s">
        <v>6857</v>
      </c>
      <c r="Y285" t="s">
        <v>7146</v>
      </c>
      <c r="AA285" t="s">
        <v>9298</v>
      </c>
      <c r="AB285">
        <v>0</v>
      </c>
      <c r="AE285">
        <v>0</v>
      </c>
      <c r="AF285">
        <v>1</v>
      </c>
      <c r="AG285">
        <v>0</v>
      </c>
      <c r="AH285">
        <v>27.86</v>
      </c>
      <c r="AK285" t="s">
        <v>10966</v>
      </c>
      <c r="AL285">
        <v>3480</v>
      </c>
      <c r="AR285">
        <v>1.7</v>
      </c>
      <c r="AS285" t="s">
        <v>6815</v>
      </c>
      <c r="AT285" t="s">
        <v>11180</v>
      </c>
      <c r="AV285" t="s">
        <v>11230</v>
      </c>
      <c r="AW285" t="s">
        <v>11170</v>
      </c>
      <c r="AX285" t="s">
        <v>6812</v>
      </c>
    </row>
    <row r="286" spans="1:50">
      <c r="A286" s="1">
        <f>HYPERLINK("https://lsnyc.legalserver.org/matter/dynamic-profile/view/1902376","19-1902376")</f>
        <v>0</v>
      </c>
      <c r="B286" t="s">
        <v>112</v>
      </c>
      <c r="C286" t="s">
        <v>470</v>
      </c>
      <c r="D286" t="s">
        <v>441</v>
      </c>
      <c r="E286" t="s">
        <v>3353</v>
      </c>
      <c r="F286">
        <v>41</v>
      </c>
      <c r="G286" t="s">
        <v>5638</v>
      </c>
      <c r="H286">
        <v>10031</v>
      </c>
      <c r="I286" t="s">
        <v>5696</v>
      </c>
      <c r="J286" t="s">
        <v>5696</v>
      </c>
      <c r="N286" t="s">
        <v>6739</v>
      </c>
      <c r="O286" t="s">
        <v>6748</v>
      </c>
      <c r="R286" t="s">
        <v>6793</v>
      </c>
      <c r="U286">
        <v>618</v>
      </c>
      <c r="V286" t="s">
        <v>6836</v>
      </c>
      <c r="W286" t="s">
        <v>6843</v>
      </c>
      <c r="X286" t="s">
        <v>6857</v>
      </c>
      <c r="Y286" t="s">
        <v>7147</v>
      </c>
      <c r="AA286" t="s">
        <v>9299</v>
      </c>
      <c r="AB286">
        <v>18</v>
      </c>
      <c r="AC286" t="s">
        <v>10929</v>
      </c>
      <c r="AD286" t="s">
        <v>5741</v>
      </c>
      <c r="AE286">
        <v>33</v>
      </c>
      <c r="AF286">
        <v>2</v>
      </c>
      <c r="AG286">
        <v>0</v>
      </c>
      <c r="AH286">
        <v>105.31</v>
      </c>
      <c r="AK286" t="s">
        <v>10966</v>
      </c>
      <c r="AL286">
        <v>17808</v>
      </c>
      <c r="AR286">
        <v>1</v>
      </c>
      <c r="AS286" t="s">
        <v>11140</v>
      </c>
      <c r="AT286" t="s">
        <v>11203</v>
      </c>
      <c r="AV286" t="s">
        <v>11230</v>
      </c>
      <c r="AW286" t="s">
        <v>11140</v>
      </c>
      <c r="AX286" t="s">
        <v>6828</v>
      </c>
    </row>
    <row r="287" spans="1:50">
      <c r="A287" s="1">
        <f>HYPERLINK("https://lsnyc.legalserver.org/matter/dynamic-profile/view/1895960","19-1895960")</f>
        <v>0</v>
      </c>
      <c r="B287" t="s">
        <v>148</v>
      </c>
      <c r="C287" t="s">
        <v>350</v>
      </c>
      <c r="D287" t="s">
        <v>1874</v>
      </c>
      <c r="E287" t="s">
        <v>3354</v>
      </c>
      <c r="F287" t="s">
        <v>5162</v>
      </c>
      <c r="G287" t="s">
        <v>5635</v>
      </c>
      <c r="H287">
        <v>10462</v>
      </c>
      <c r="I287" t="s">
        <v>5696</v>
      </c>
      <c r="J287" t="s">
        <v>5696</v>
      </c>
      <c r="N287" t="s">
        <v>6739</v>
      </c>
      <c r="O287" t="s">
        <v>6767</v>
      </c>
      <c r="R287" t="s">
        <v>6797</v>
      </c>
      <c r="U287">
        <v>0</v>
      </c>
      <c r="V287" t="s">
        <v>6833</v>
      </c>
      <c r="X287" t="s">
        <v>6857</v>
      </c>
      <c r="Y287" t="s">
        <v>7148</v>
      </c>
      <c r="AA287" t="s">
        <v>9300</v>
      </c>
      <c r="AB287">
        <v>0</v>
      </c>
      <c r="AE287">
        <v>0</v>
      </c>
      <c r="AF287">
        <v>2</v>
      </c>
      <c r="AG287">
        <v>0</v>
      </c>
      <c r="AH287">
        <v>384.39</v>
      </c>
      <c r="AK287" t="s">
        <v>10966</v>
      </c>
      <c r="AL287">
        <v>65000</v>
      </c>
      <c r="AR287">
        <v>3.5</v>
      </c>
      <c r="AS287" t="s">
        <v>11124</v>
      </c>
      <c r="AT287" t="s">
        <v>296</v>
      </c>
      <c r="AV287" t="s">
        <v>11230</v>
      </c>
      <c r="AW287" t="s">
        <v>11170</v>
      </c>
      <c r="AX287" t="s">
        <v>11150</v>
      </c>
    </row>
    <row r="288" spans="1:50">
      <c r="A288" s="1">
        <f>HYPERLINK("https://lsnyc.legalserver.org/matter/dynamic-profile/view/1895610","19-1895610")</f>
        <v>0</v>
      </c>
      <c r="B288" t="s">
        <v>149</v>
      </c>
      <c r="C288" t="s">
        <v>335</v>
      </c>
      <c r="D288" t="s">
        <v>1875</v>
      </c>
      <c r="E288" t="s">
        <v>3355</v>
      </c>
      <c r="G288" t="s">
        <v>5636</v>
      </c>
      <c r="H288">
        <v>10314</v>
      </c>
      <c r="I288" t="s">
        <v>5696</v>
      </c>
      <c r="J288" t="s">
        <v>5696</v>
      </c>
      <c r="N288" t="s">
        <v>6739</v>
      </c>
      <c r="O288" t="s">
        <v>6754</v>
      </c>
      <c r="R288" t="s">
        <v>6799</v>
      </c>
      <c r="U288">
        <v>0</v>
      </c>
      <c r="V288" t="s">
        <v>6834</v>
      </c>
      <c r="X288" t="s">
        <v>6857</v>
      </c>
      <c r="Y288" t="s">
        <v>7149</v>
      </c>
      <c r="AA288" t="s">
        <v>9301</v>
      </c>
      <c r="AB288">
        <v>0</v>
      </c>
      <c r="AE288">
        <v>0</v>
      </c>
      <c r="AF288">
        <v>3</v>
      </c>
      <c r="AG288">
        <v>0</v>
      </c>
      <c r="AH288">
        <v>134.8</v>
      </c>
      <c r="AK288" t="s">
        <v>10966</v>
      </c>
      <c r="AL288">
        <v>28752</v>
      </c>
      <c r="AR288">
        <v>1.9</v>
      </c>
      <c r="AS288" t="s">
        <v>11165</v>
      </c>
      <c r="AT288" t="s">
        <v>11211</v>
      </c>
      <c r="AV288" t="s">
        <v>11230</v>
      </c>
      <c r="AW288" t="s">
        <v>11164</v>
      </c>
      <c r="AX288" t="s">
        <v>11165</v>
      </c>
    </row>
    <row r="289" spans="1:50">
      <c r="A289" s="1">
        <f>HYPERLINK("https://lsnyc.legalserver.org/matter/dynamic-profile/view/1903887","19-1903887")</f>
        <v>0</v>
      </c>
      <c r="B289" t="s">
        <v>150</v>
      </c>
      <c r="C289" t="s">
        <v>554</v>
      </c>
      <c r="D289" t="s">
        <v>1876</v>
      </c>
      <c r="E289" t="s">
        <v>3356</v>
      </c>
      <c r="G289" t="s">
        <v>5636</v>
      </c>
      <c r="H289">
        <v>10308</v>
      </c>
      <c r="I289" t="s">
        <v>5696</v>
      </c>
      <c r="J289" t="s">
        <v>5696</v>
      </c>
      <c r="N289" t="s">
        <v>6739</v>
      </c>
      <c r="O289" t="s">
        <v>6779</v>
      </c>
      <c r="R289" t="s">
        <v>6799</v>
      </c>
      <c r="U289">
        <v>0</v>
      </c>
      <c r="V289" t="s">
        <v>6834</v>
      </c>
      <c r="X289" t="s">
        <v>6857</v>
      </c>
      <c r="Y289" t="s">
        <v>7150</v>
      </c>
      <c r="AA289" t="s">
        <v>9302</v>
      </c>
      <c r="AB289">
        <v>0</v>
      </c>
      <c r="AE289">
        <v>0</v>
      </c>
      <c r="AF289">
        <v>2</v>
      </c>
      <c r="AG289">
        <v>3</v>
      </c>
      <c r="AH289">
        <v>646.34</v>
      </c>
      <c r="AK289" t="s">
        <v>10966</v>
      </c>
      <c r="AL289">
        <v>195000</v>
      </c>
      <c r="AR289">
        <v>0.6</v>
      </c>
      <c r="AS289" t="s">
        <v>6807</v>
      </c>
      <c r="AT289" t="s">
        <v>11211</v>
      </c>
      <c r="AV289" t="s">
        <v>11230</v>
      </c>
      <c r="AW289" t="s">
        <v>6807</v>
      </c>
      <c r="AX289" t="s">
        <v>6807</v>
      </c>
    </row>
    <row r="290" spans="1:50">
      <c r="A290" s="1">
        <f>HYPERLINK("https://lsnyc.legalserver.org/matter/dynamic-profile/view/1903990","19-1903990")</f>
        <v>0</v>
      </c>
      <c r="B290" t="s">
        <v>85</v>
      </c>
      <c r="C290" t="s">
        <v>412</v>
      </c>
      <c r="D290" t="s">
        <v>1815</v>
      </c>
      <c r="E290" t="s">
        <v>3280</v>
      </c>
      <c r="F290" t="s">
        <v>5205</v>
      </c>
      <c r="G290" t="s">
        <v>5637</v>
      </c>
      <c r="H290">
        <v>11218</v>
      </c>
      <c r="I290" t="s">
        <v>5696</v>
      </c>
      <c r="J290" t="s">
        <v>5696</v>
      </c>
      <c r="N290" t="s">
        <v>6739</v>
      </c>
      <c r="O290" t="s">
        <v>6754</v>
      </c>
      <c r="R290" t="s">
        <v>6795</v>
      </c>
      <c r="U290">
        <v>0</v>
      </c>
      <c r="V290" t="s">
        <v>6835</v>
      </c>
      <c r="X290" t="s">
        <v>6857</v>
      </c>
      <c r="Y290" t="s">
        <v>7076</v>
      </c>
      <c r="AA290" t="s">
        <v>9240</v>
      </c>
      <c r="AB290">
        <v>0</v>
      </c>
      <c r="AE290">
        <v>0</v>
      </c>
      <c r="AF290">
        <v>2</v>
      </c>
      <c r="AG290">
        <v>0</v>
      </c>
      <c r="AH290">
        <v>131.85</v>
      </c>
      <c r="AL290">
        <v>22296</v>
      </c>
      <c r="AR290">
        <v>1</v>
      </c>
      <c r="AS290" t="s">
        <v>6808</v>
      </c>
      <c r="AT290" t="s">
        <v>85</v>
      </c>
      <c r="AV290" t="s">
        <v>11230</v>
      </c>
      <c r="AW290" t="s">
        <v>6825</v>
      </c>
      <c r="AX290" t="s">
        <v>6808</v>
      </c>
    </row>
    <row r="291" spans="1:50">
      <c r="A291" s="1">
        <f>HYPERLINK("https://lsnyc.legalserver.org/matter/dynamic-profile/view/1897084","19-1897084")</f>
        <v>0</v>
      </c>
      <c r="B291" t="s">
        <v>151</v>
      </c>
      <c r="C291" t="s">
        <v>555</v>
      </c>
      <c r="D291" t="s">
        <v>1877</v>
      </c>
      <c r="E291" t="s">
        <v>3357</v>
      </c>
      <c r="G291" t="s">
        <v>5637</v>
      </c>
      <c r="H291">
        <v>11221</v>
      </c>
      <c r="I291" t="s">
        <v>5696</v>
      </c>
      <c r="J291" t="s">
        <v>5696</v>
      </c>
      <c r="N291" t="s">
        <v>6739</v>
      </c>
      <c r="O291" t="s">
        <v>6780</v>
      </c>
      <c r="R291" t="s">
        <v>6799</v>
      </c>
      <c r="U291">
        <v>0</v>
      </c>
      <c r="V291" t="s">
        <v>6835</v>
      </c>
      <c r="X291" t="s">
        <v>6857</v>
      </c>
      <c r="Y291" t="s">
        <v>7151</v>
      </c>
      <c r="AA291" t="s">
        <v>9303</v>
      </c>
      <c r="AB291">
        <v>0</v>
      </c>
      <c r="AE291">
        <v>0</v>
      </c>
      <c r="AF291">
        <v>2</v>
      </c>
      <c r="AG291">
        <v>0</v>
      </c>
      <c r="AH291">
        <v>106.45</v>
      </c>
      <c r="AK291" t="s">
        <v>10966</v>
      </c>
      <c r="AL291">
        <v>18000</v>
      </c>
      <c r="AR291">
        <v>6.55</v>
      </c>
      <c r="AS291" t="s">
        <v>11125</v>
      </c>
      <c r="AT291" t="s">
        <v>144</v>
      </c>
      <c r="AV291" t="s">
        <v>11230</v>
      </c>
      <c r="AW291" t="s">
        <v>11159</v>
      </c>
      <c r="AX291" t="s">
        <v>10954</v>
      </c>
    </row>
    <row r="292" spans="1:50">
      <c r="A292" s="1">
        <f>HYPERLINK("https://lsnyc.legalserver.org/matter/dynamic-profile/view/1896887","19-1896887")</f>
        <v>0</v>
      </c>
      <c r="B292" t="s">
        <v>64</v>
      </c>
      <c r="C292" t="s">
        <v>556</v>
      </c>
      <c r="D292" t="s">
        <v>1686</v>
      </c>
      <c r="E292" t="s">
        <v>3358</v>
      </c>
      <c r="F292" t="s">
        <v>5236</v>
      </c>
      <c r="G292" t="s">
        <v>5635</v>
      </c>
      <c r="H292">
        <v>10453</v>
      </c>
      <c r="I292" t="s">
        <v>5696</v>
      </c>
      <c r="J292" t="s">
        <v>5696</v>
      </c>
      <c r="N292" t="s">
        <v>6739</v>
      </c>
      <c r="O292" t="s">
        <v>6748</v>
      </c>
      <c r="R292" t="s">
        <v>6793</v>
      </c>
      <c r="U292">
        <v>1527</v>
      </c>
      <c r="V292" t="s">
        <v>6833</v>
      </c>
      <c r="X292" t="s">
        <v>6857</v>
      </c>
      <c r="Y292" t="s">
        <v>7152</v>
      </c>
      <c r="AA292" t="s">
        <v>9304</v>
      </c>
      <c r="AB292">
        <v>40</v>
      </c>
      <c r="AE292">
        <v>5</v>
      </c>
      <c r="AF292">
        <v>3</v>
      </c>
      <c r="AG292">
        <v>4</v>
      </c>
      <c r="AH292">
        <v>131.38</v>
      </c>
      <c r="AK292" t="s">
        <v>10966</v>
      </c>
      <c r="AL292">
        <v>51252</v>
      </c>
      <c r="AR292">
        <v>1.1</v>
      </c>
      <c r="AS292" t="s">
        <v>10956</v>
      </c>
      <c r="AT292" t="s">
        <v>11192</v>
      </c>
      <c r="AV292" t="s">
        <v>11230</v>
      </c>
      <c r="AW292" t="s">
        <v>11130</v>
      </c>
      <c r="AX292" t="s">
        <v>10956</v>
      </c>
    </row>
    <row r="293" spans="1:50">
      <c r="A293" s="1">
        <f>HYPERLINK("https://lsnyc.legalserver.org/matter/dynamic-profile/view/1897890","19-1897890")</f>
        <v>0</v>
      </c>
      <c r="B293" t="s">
        <v>85</v>
      </c>
      <c r="C293" t="s">
        <v>557</v>
      </c>
      <c r="D293" t="s">
        <v>1878</v>
      </c>
      <c r="E293" t="s">
        <v>3359</v>
      </c>
      <c r="F293" t="s">
        <v>5093</v>
      </c>
      <c r="G293" t="s">
        <v>5637</v>
      </c>
      <c r="H293">
        <v>11231</v>
      </c>
      <c r="I293" t="s">
        <v>5696</v>
      </c>
      <c r="J293" t="s">
        <v>5696</v>
      </c>
      <c r="N293" t="s">
        <v>6739</v>
      </c>
      <c r="O293" t="s">
        <v>6754</v>
      </c>
      <c r="R293" t="s">
        <v>6794</v>
      </c>
      <c r="U293">
        <v>276</v>
      </c>
      <c r="V293" t="s">
        <v>6835</v>
      </c>
      <c r="X293" t="s">
        <v>6857</v>
      </c>
      <c r="Y293" t="s">
        <v>6987</v>
      </c>
      <c r="AA293" t="s">
        <v>9305</v>
      </c>
      <c r="AB293">
        <v>30</v>
      </c>
      <c r="AE293">
        <v>11</v>
      </c>
      <c r="AF293">
        <v>1</v>
      </c>
      <c r="AG293">
        <v>0</v>
      </c>
      <c r="AH293">
        <v>18.35</v>
      </c>
      <c r="AK293" t="s">
        <v>10966</v>
      </c>
      <c r="AL293">
        <v>2292</v>
      </c>
      <c r="AR293">
        <v>3.75</v>
      </c>
      <c r="AS293" t="s">
        <v>11143</v>
      </c>
      <c r="AT293" t="s">
        <v>11192</v>
      </c>
      <c r="AV293" t="s">
        <v>11230</v>
      </c>
      <c r="AW293" t="s">
        <v>11125</v>
      </c>
      <c r="AX293" t="s">
        <v>11143</v>
      </c>
    </row>
    <row r="294" spans="1:50">
      <c r="A294" s="1">
        <f>HYPERLINK("https://lsnyc.legalserver.org/matter/dynamic-profile/view/1897497","19-1897497")</f>
        <v>0</v>
      </c>
      <c r="B294" t="s">
        <v>69</v>
      </c>
      <c r="C294" t="s">
        <v>558</v>
      </c>
      <c r="D294" t="s">
        <v>1879</v>
      </c>
      <c r="E294" t="s">
        <v>3360</v>
      </c>
      <c r="F294" t="s">
        <v>5152</v>
      </c>
      <c r="G294" t="s">
        <v>5637</v>
      </c>
      <c r="H294">
        <v>11208</v>
      </c>
      <c r="I294" t="s">
        <v>5696</v>
      </c>
      <c r="J294" t="s">
        <v>5696</v>
      </c>
      <c r="N294" t="s">
        <v>6739</v>
      </c>
      <c r="O294" t="s">
        <v>6748</v>
      </c>
      <c r="R294" t="s">
        <v>6793</v>
      </c>
      <c r="U294">
        <v>1057</v>
      </c>
      <c r="V294" t="s">
        <v>6835</v>
      </c>
      <c r="W294" t="s">
        <v>6842</v>
      </c>
      <c r="X294" t="s">
        <v>6857</v>
      </c>
      <c r="Y294" t="s">
        <v>7153</v>
      </c>
      <c r="AA294" t="s">
        <v>9306</v>
      </c>
      <c r="AB294">
        <v>270</v>
      </c>
      <c r="AD294" t="s">
        <v>10944</v>
      </c>
      <c r="AE294">
        <v>6</v>
      </c>
      <c r="AF294">
        <v>1</v>
      </c>
      <c r="AG294">
        <v>2</v>
      </c>
      <c r="AH294">
        <v>28.69</v>
      </c>
      <c r="AK294" t="s">
        <v>10966</v>
      </c>
      <c r="AL294">
        <v>6120</v>
      </c>
      <c r="AR294">
        <v>1.25</v>
      </c>
      <c r="AS294" t="s">
        <v>11129</v>
      </c>
      <c r="AT294" t="s">
        <v>11203</v>
      </c>
      <c r="AV294" t="s">
        <v>11230</v>
      </c>
      <c r="AW294" t="s">
        <v>11165</v>
      </c>
      <c r="AX294" t="s">
        <v>11142</v>
      </c>
    </row>
    <row r="295" spans="1:50">
      <c r="A295" s="1">
        <f>HYPERLINK("https://lsnyc.legalserver.org/matter/dynamic-profile/view/1895877","19-1895877")</f>
        <v>0</v>
      </c>
      <c r="B295" t="s">
        <v>152</v>
      </c>
      <c r="C295" t="s">
        <v>559</v>
      </c>
      <c r="D295" t="s">
        <v>1880</v>
      </c>
      <c r="E295" t="s">
        <v>3361</v>
      </c>
      <c r="F295">
        <v>22</v>
      </c>
      <c r="G295" t="s">
        <v>5638</v>
      </c>
      <c r="H295">
        <v>10030</v>
      </c>
      <c r="I295" t="s">
        <v>5696</v>
      </c>
      <c r="J295" t="s">
        <v>5696</v>
      </c>
      <c r="N295" t="s">
        <v>6739</v>
      </c>
      <c r="O295" t="s">
        <v>6767</v>
      </c>
      <c r="R295" t="s">
        <v>6797</v>
      </c>
      <c r="U295">
        <v>0</v>
      </c>
      <c r="V295" t="s">
        <v>6833</v>
      </c>
      <c r="X295" t="s">
        <v>6857</v>
      </c>
      <c r="Y295" t="s">
        <v>7154</v>
      </c>
      <c r="AA295" t="s">
        <v>9307</v>
      </c>
      <c r="AB295">
        <v>0</v>
      </c>
      <c r="AE295">
        <v>0</v>
      </c>
      <c r="AF295">
        <v>2</v>
      </c>
      <c r="AG295">
        <v>0</v>
      </c>
      <c r="AH295">
        <v>313.42</v>
      </c>
      <c r="AK295" t="s">
        <v>10966</v>
      </c>
      <c r="AL295">
        <v>53000</v>
      </c>
      <c r="AR295">
        <v>5</v>
      </c>
      <c r="AS295" t="s">
        <v>10961</v>
      </c>
      <c r="AT295" t="s">
        <v>296</v>
      </c>
      <c r="AV295" t="s">
        <v>11230</v>
      </c>
      <c r="AW295" t="s">
        <v>11170</v>
      </c>
      <c r="AX295" t="s">
        <v>11160</v>
      </c>
    </row>
    <row r="296" spans="1:50">
      <c r="A296" s="1">
        <f>HYPERLINK("https://lsnyc.legalserver.org/matter/dynamic-profile/view/1896697","19-1896697")</f>
        <v>0</v>
      </c>
      <c r="B296" t="s">
        <v>152</v>
      </c>
      <c r="C296" t="s">
        <v>512</v>
      </c>
      <c r="D296" t="s">
        <v>1702</v>
      </c>
      <c r="E296" t="s">
        <v>3362</v>
      </c>
      <c r="F296" t="s">
        <v>5237</v>
      </c>
      <c r="G296" t="s">
        <v>5635</v>
      </c>
      <c r="H296">
        <v>10462</v>
      </c>
      <c r="I296" t="s">
        <v>5696</v>
      </c>
      <c r="J296" t="s">
        <v>5696</v>
      </c>
      <c r="N296" t="s">
        <v>6739</v>
      </c>
      <c r="O296" t="s">
        <v>6767</v>
      </c>
      <c r="R296" t="s">
        <v>6798</v>
      </c>
      <c r="U296">
        <v>0</v>
      </c>
      <c r="V296" t="s">
        <v>6833</v>
      </c>
      <c r="X296" t="s">
        <v>6857</v>
      </c>
      <c r="Y296" t="s">
        <v>7155</v>
      </c>
      <c r="AA296" t="s">
        <v>9308</v>
      </c>
      <c r="AB296">
        <v>0</v>
      </c>
      <c r="AE296">
        <v>0</v>
      </c>
      <c r="AF296">
        <v>2</v>
      </c>
      <c r="AG296">
        <v>0</v>
      </c>
      <c r="AH296">
        <v>53.22</v>
      </c>
      <c r="AK296" t="s">
        <v>10966</v>
      </c>
      <c r="AL296">
        <v>9000</v>
      </c>
      <c r="AR296">
        <v>4</v>
      </c>
      <c r="AS296" t="s">
        <v>10961</v>
      </c>
      <c r="AT296" t="s">
        <v>296</v>
      </c>
      <c r="AV296" t="s">
        <v>11230</v>
      </c>
      <c r="AW296" t="s">
        <v>11122</v>
      </c>
      <c r="AX296" t="s">
        <v>11160</v>
      </c>
    </row>
    <row r="297" spans="1:50">
      <c r="A297" s="1">
        <f>HYPERLINK("https://lsnyc.legalserver.org/matter/dynamic-profile/view/1904970","19-1904970")</f>
        <v>0</v>
      </c>
      <c r="B297" t="s">
        <v>112</v>
      </c>
      <c r="C297" t="s">
        <v>560</v>
      </c>
      <c r="D297" t="s">
        <v>1881</v>
      </c>
      <c r="E297" t="s">
        <v>3363</v>
      </c>
      <c r="F297" t="s">
        <v>5180</v>
      </c>
      <c r="G297" t="s">
        <v>5638</v>
      </c>
      <c r="H297">
        <v>10029</v>
      </c>
      <c r="I297" t="s">
        <v>5696</v>
      </c>
      <c r="J297" t="s">
        <v>5696</v>
      </c>
      <c r="N297" t="s">
        <v>6739</v>
      </c>
      <c r="O297" t="s">
        <v>6748</v>
      </c>
      <c r="R297" t="s">
        <v>6793</v>
      </c>
      <c r="U297">
        <v>900.15</v>
      </c>
      <c r="V297" t="s">
        <v>6836</v>
      </c>
      <c r="W297" t="s">
        <v>6843</v>
      </c>
      <c r="X297" t="s">
        <v>6857</v>
      </c>
      <c r="Y297" t="s">
        <v>7156</v>
      </c>
      <c r="AA297" t="s">
        <v>9309</v>
      </c>
      <c r="AB297">
        <v>20</v>
      </c>
      <c r="AD297" t="s">
        <v>5741</v>
      </c>
      <c r="AE297">
        <v>17</v>
      </c>
      <c r="AF297">
        <v>1</v>
      </c>
      <c r="AG297">
        <v>0</v>
      </c>
      <c r="AH297">
        <v>124.9</v>
      </c>
      <c r="AK297" t="s">
        <v>10966</v>
      </c>
      <c r="AL297">
        <v>15600</v>
      </c>
      <c r="AR297">
        <v>1</v>
      </c>
      <c r="AS297" t="s">
        <v>6812</v>
      </c>
      <c r="AT297" t="s">
        <v>11203</v>
      </c>
      <c r="AV297" t="s">
        <v>11230</v>
      </c>
      <c r="AW297" t="s">
        <v>6812</v>
      </c>
      <c r="AX297" t="s">
        <v>6828</v>
      </c>
    </row>
    <row r="298" spans="1:50">
      <c r="A298" s="1">
        <f>HYPERLINK("https://lsnyc.legalserver.org/matter/dynamic-profile/view/1899734","19-1899734")</f>
        <v>0</v>
      </c>
      <c r="B298" t="s">
        <v>146</v>
      </c>
      <c r="C298" t="s">
        <v>561</v>
      </c>
      <c r="D298" t="s">
        <v>1739</v>
      </c>
      <c r="E298" t="s">
        <v>3364</v>
      </c>
      <c r="G298" t="s">
        <v>5656</v>
      </c>
      <c r="H298">
        <v>11413</v>
      </c>
      <c r="I298" t="s">
        <v>5696</v>
      </c>
      <c r="J298" t="s">
        <v>5696</v>
      </c>
      <c r="N298" t="s">
        <v>6739</v>
      </c>
      <c r="O298" t="s">
        <v>6767</v>
      </c>
      <c r="R298" t="s">
        <v>6799</v>
      </c>
      <c r="U298">
        <v>0</v>
      </c>
      <c r="V298" t="s">
        <v>6837</v>
      </c>
      <c r="X298" t="s">
        <v>6857</v>
      </c>
      <c r="Y298" t="s">
        <v>7157</v>
      </c>
      <c r="AA298" t="s">
        <v>9310</v>
      </c>
      <c r="AB298">
        <v>0</v>
      </c>
      <c r="AE298">
        <v>0</v>
      </c>
      <c r="AF298">
        <v>4</v>
      </c>
      <c r="AG298">
        <v>2</v>
      </c>
      <c r="AH298">
        <v>171.44</v>
      </c>
      <c r="AK298" t="s">
        <v>10966</v>
      </c>
      <c r="AL298">
        <v>59300</v>
      </c>
      <c r="AR298">
        <v>1.5</v>
      </c>
      <c r="AS298" t="s">
        <v>11146</v>
      </c>
      <c r="AT298" t="s">
        <v>11186</v>
      </c>
      <c r="AV298" t="s">
        <v>11230</v>
      </c>
      <c r="AW298" t="s">
        <v>11146</v>
      </c>
      <c r="AX298" t="s">
        <v>11146</v>
      </c>
    </row>
    <row r="299" spans="1:50">
      <c r="A299" s="1">
        <f>HYPERLINK("https://lsnyc.legalserver.org/matter/dynamic-profile/view/1900091","19-1900091")</f>
        <v>0</v>
      </c>
      <c r="B299" t="s">
        <v>132</v>
      </c>
      <c r="C299" t="s">
        <v>410</v>
      </c>
      <c r="D299" t="s">
        <v>1717</v>
      </c>
      <c r="E299" t="s">
        <v>3365</v>
      </c>
      <c r="F299" t="s">
        <v>5238</v>
      </c>
      <c r="G299" t="s">
        <v>5637</v>
      </c>
      <c r="H299">
        <v>11208</v>
      </c>
      <c r="I299" t="s">
        <v>5696</v>
      </c>
      <c r="J299" t="s">
        <v>5696</v>
      </c>
      <c r="N299" t="s">
        <v>6739</v>
      </c>
      <c r="O299" t="s">
        <v>6771</v>
      </c>
      <c r="R299" t="s">
        <v>6800</v>
      </c>
      <c r="U299">
        <v>0</v>
      </c>
      <c r="V299" t="s">
        <v>6835</v>
      </c>
      <c r="X299" t="s">
        <v>6857</v>
      </c>
      <c r="Y299" t="s">
        <v>7158</v>
      </c>
      <c r="AA299" t="s">
        <v>9311</v>
      </c>
      <c r="AB299">
        <v>0</v>
      </c>
      <c r="AE299">
        <v>0</v>
      </c>
      <c r="AF299">
        <v>1</v>
      </c>
      <c r="AG299">
        <v>0</v>
      </c>
      <c r="AH299">
        <v>18.06</v>
      </c>
      <c r="AK299" t="s">
        <v>10967</v>
      </c>
      <c r="AL299">
        <v>2256</v>
      </c>
      <c r="AR299">
        <v>2.25</v>
      </c>
      <c r="AS299" t="s">
        <v>11117</v>
      </c>
      <c r="AT299" t="s">
        <v>11183</v>
      </c>
      <c r="AV299" t="s">
        <v>11230</v>
      </c>
      <c r="AW299" t="s">
        <v>10954</v>
      </c>
      <c r="AX299" t="s">
        <v>11117</v>
      </c>
    </row>
    <row r="300" spans="1:50">
      <c r="A300" s="1">
        <f>HYPERLINK("https://lsnyc.legalserver.org/matter/dynamic-profile/view/1898790","19-1898790")</f>
        <v>0</v>
      </c>
      <c r="B300" t="s">
        <v>95</v>
      </c>
      <c r="C300" t="s">
        <v>562</v>
      </c>
      <c r="D300" t="s">
        <v>1762</v>
      </c>
      <c r="E300" t="s">
        <v>3366</v>
      </c>
      <c r="F300" t="s">
        <v>5139</v>
      </c>
      <c r="G300" t="s">
        <v>5637</v>
      </c>
      <c r="H300">
        <v>11205</v>
      </c>
      <c r="I300" t="s">
        <v>5696</v>
      </c>
      <c r="J300" t="s">
        <v>5696</v>
      </c>
      <c r="N300" t="s">
        <v>6739</v>
      </c>
      <c r="O300" t="s">
        <v>6756</v>
      </c>
      <c r="R300" t="s">
        <v>6793</v>
      </c>
      <c r="U300">
        <v>0</v>
      </c>
      <c r="V300" t="s">
        <v>6835</v>
      </c>
      <c r="X300" t="s">
        <v>6857</v>
      </c>
      <c r="Y300" t="s">
        <v>7159</v>
      </c>
      <c r="AA300" t="s">
        <v>9312</v>
      </c>
      <c r="AB300">
        <v>0</v>
      </c>
      <c r="AE300">
        <v>0</v>
      </c>
      <c r="AF300">
        <v>1</v>
      </c>
      <c r="AG300">
        <v>1</v>
      </c>
      <c r="AH300">
        <v>22.57</v>
      </c>
      <c r="AL300">
        <v>3816</v>
      </c>
      <c r="AR300">
        <v>2.05</v>
      </c>
      <c r="AS300" t="s">
        <v>10954</v>
      </c>
      <c r="AT300" t="s">
        <v>158</v>
      </c>
      <c r="AV300" t="s">
        <v>11230</v>
      </c>
      <c r="AW300" t="s">
        <v>11152</v>
      </c>
      <c r="AX300" t="s">
        <v>11126</v>
      </c>
    </row>
    <row r="301" spans="1:50">
      <c r="A301" s="1">
        <f>HYPERLINK("https://lsnyc.legalserver.org/matter/dynamic-profile/view/1902140","19-1902140")</f>
        <v>0</v>
      </c>
      <c r="B301" t="s">
        <v>112</v>
      </c>
      <c r="C301" t="s">
        <v>563</v>
      </c>
      <c r="D301" t="s">
        <v>1882</v>
      </c>
      <c r="E301" t="s">
        <v>3367</v>
      </c>
      <c r="F301" t="s">
        <v>5239</v>
      </c>
      <c r="G301" t="s">
        <v>5638</v>
      </c>
      <c r="H301">
        <v>10065</v>
      </c>
      <c r="I301" t="s">
        <v>5696</v>
      </c>
      <c r="J301" t="s">
        <v>5696</v>
      </c>
      <c r="N301" t="s">
        <v>6739</v>
      </c>
      <c r="O301" t="s">
        <v>6748</v>
      </c>
      <c r="R301" t="s">
        <v>6793</v>
      </c>
      <c r="U301">
        <v>0</v>
      </c>
      <c r="V301" t="s">
        <v>6836</v>
      </c>
      <c r="X301" t="s">
        <v>6857</v>
      </c>
      <c r="Y301" t="s">
        <v>7160</v>
      </c>
      <c r="AA301" t="s">
        <v>9313</v>
      </c>
      <c r="AB301">
        <v>0</v>
      </c>
      <c r="AE301">
        <v>6</v>
      </c>
      <c r="AF301">
        <v>1</v>
      </c>
      <c r="AG301">
        <v>0</v>
      </c>
      <c r="AH301">
        <v>0</v>
      </c>
      <c r="AK301" t="s">
        <v>10966</v>
      </c>
      <c r="AL301">
        <v>0</v>
      </c>
      <c r="AR301">
        <v>0.6</v>
      </c>
      <c r="AS301" t="s">
        <v>11163</v>
      </c>
      <c r="AT301" t="s">
        <v>11188</v>
      </c>
      <c r="AV301" t="s">
        <v>11230</v>
      </c>
      <c r="AW301" t="s">
        <v>11163</v>
      </c>
      <c r="AX301" t="s">
        <v>6828</v>
      </c>
    </row>
    <row r="302" spans="1:50">
      <c r="A302" s="1">
        <f>HYPERLINK("https://lsnyc.legalserver.org/matter/dynamic-profile/view/1903103","19-1903103")</f>
        <v>0</v>
      </c>
      <c r="B302" t="s">
        <v>141</v>
      </c>
      <c r="C302" t="s">
        <v>564</v>
      </c>
      <c r="D302" t="s">
        <v>1883</v>
      </c>
      <c r="E302" t="s">
        <v>3368</v>
      </c>
      <c r="F302">
        <v>2</v>
      </c>
      <c r="G302" t="s">
        <v>5637</v>
      </c>
      <c r="H302">
        <v>11231</v>
      </c>
      <c r="I302" t="s">
        <v>5696</v>
      </c>
      <c r="J302" t="s">
        <v>5696</v>
      </c>
      <c r="N302" t="s">
        <v>6739</v>
      </c>
      <c r="O302" t="s">
        <v>6748</v>
      </c>
      <c r="R302" t="s">
        <v>6793</v>
      </c>
      <c r="U302">
        <v>2400</v>
      </c>
      <c r="V302" t="s">
        <v>6835</v>
      </c>
      <c r="W302" t="s">
        <v>6849</v>
      </c>
      <c r="X302" t="s">
        <v>6857</v>
      </c>
      <c r="Y302" t="s">
        <v>7161</v>
      </c>
      <c r="AA302" t="s">
        <v>9314</v>
      </c>
      <c r="AB302">
        <v>2</v>
      </c>
      <c r="AD302" t="s">
        <v>5741</v>
      </c>
      <c r="AE302">
        <v>4</v>
      </c>
      <c r="AF302">
        <v>1</v>
      </c>
      <c r="AG302">
        <v>0</v>
      </c>
      <c r="AH302">
        <v>93.67</v>
      </c>
      <c r="AK302" t="s">
        <v>10966</v>
      </c>
      <c r="AL302">
        <v>11700</v>
      </c>
      <c r="AR302">
        <v>1.75</v>
      </c>
      <c r="AS302" t="s">
        <v>11136</v>
      </c>
      <c r="AT302" t="s">
        <v>11203</v>
      </c>
      <c r="AV302" t="s">
        <v>11230</v>
      </c>
      <c r="AW302" t="s">
        <v>10953</v>
      </c>
      <c r="AX302" t="s">
        <v>11136</v>
      </c>
    </row>
    <row r="303" spans="1:50">
      <c r="A303" s="1">
        <f>HYPERLINK("https://lsnyc.legalserver.org/matter/dynamic-profile/view/1903644","19-1903644")</f>
        <v>0</v>
      </c>
      <c r="B303" t="s">
        <v>95</v>
      </c>
      <c r="C303" t="s">
        <v>565</v>
      </c>
      <c r="D303" t="s">
        <v>1884</v>
      </c>
      <c r="E303" t="s">
        <v>3369</v>
      </c>
      <c r="F303" t="s">
        <v>5189</v>
      </c>
      <c r="G303" t="s">
        <v>5637</v>
      </c>
      <c r="H303">
        <v>11215</v>
      </c>
      <c r="I303" t="s">
        <v>5696</v>
      </c>
      <c r="J303" t="s">
        <v>5696</v>
      </c>
      <c r="N303" t="s">
        <v>6739</v>
      </c>
      <c r="O303" t="s">
        <v>6746</v>
      </c>
      <c r="R303" t="s">
        <v>6793</v>
      </c>
      <c r="U303">
        <v>0</v>
      </c>
      <c r="V303" t="s">
        <v>6835</v>
      </c>
      <c r="X303" t="s">
        <v>6857</v>
      </c>
      <c r="Y303" t="s">
        <v>7162</v>
      </c>
      <c r="AA303" t="s">
        <v>9315</v>
      </c>
      <c r="AB303">
        <v>0</v>
      </c>
      <c r="AE303">
        <v>0</v>
      </c>
      <c r="AF303">
        <v>1</v>
      </c>
      <c r="AG303">
        <v>0</v>
      </c>
      <c r="AH303">
        <v>48.04</v>
      </c>
      <c r="AL303">
        <v>6000</v>
      </c>
      <c r="AR303">
        <v>1.35</v>
      </c>
      <c r="AS303" t="s">
        <v>6818</v>
      </c>
      <c r="AT303" t="s">
        <v>158</v>
      </c>
      <c r="AV303" t="s">
        <v>11230</v>
      </c>
      <c r="AW303" t="s">
        <v>11144</v>
      </c>
      <c r="AX303" t="s">
        <v>6816</v>
      </c>
    </row>
    <row r="304" spans="1:50">
      <c r="A304" s="1">
        <f>HYPERLINK("https://lsnyc.legalserver.org/matter/dynamic-profile/view/1904321","19-1904321")</f>
        <v>0</v>
      </c>
      <c r="B304" t="s">
        <v>56</v>
      </c>
      <c r="C304" t="s">
        <v>566</v>
      </c>
      <c r="D304" t="s">
        <v>1885</v>
      </c>
      <c r="E304" t="s">
        <v>3370</v>
      </c>
      <c r="F304" t="s">
        <v>5237</v>
      </c>
      <c r="G304" t="s">
        <v>5637</v>
      </c>
      <c r="H304">
        <v>11212</v>
      </c>
      <c r="I304" t="s">
        <v>5696</v>
      </c>
      <c r="J304" t="s">
        <v>5696</v>
      </c>
      <c r="N304" t="s">
        <v>6739</v>
      </c>
      <c r="O304" t="s">
        <v>6748</v>
      </c>
      <c r="R304" t="s">
        <v>6794</v>
      </c>
      <c r="U304">
        <v>240</v>
      </c>
      <c r="V304" t="s">
        <v>6835</v>
      </c>
      <c r="X304" t="s">
        <v>6857</v>
      </c>
      <c r="Y304" t="s">
        <v>7163</v>
      </c>
      <c r="AA304" t="s">
        <v>9316</v>
      </c>
      <c r="AB304">
        <v>0</v>
      </c>
      <c r="AC304" t="s">
        <v>10931</v>
      </c>
      <c r="AE304">
        <v>0</v>
      </c>
      <c r="AF304">
        <v>2</v>
      </c>
      <c r="AG304">
        <v>2</v>
      </c>
      <c r="AH304">
        <v>24.23</v>
      </c>
      <c r="AK304" t="s">
        <v>10966</v>
      </c>
      <c r="AL304">
        <v>6240</v>
      </c>
      <c r="AR304">
        <v>1.3</v>
      </c>
      <c r="AS304" t="s">
        <v>6815</v>
      </c>
      <c r="AT304" t="s">
        <v>11203</v>
      </c>
      <c r="AV304" t="s">
        <v>11230</v>
      </c>
      <c r="AW304" t="s">
        <v>6813</v>
      </c>
      <c r="AX304" t="s">
        <v>6815</v>
      </c>
    </row>
    <row r="305" spans="1:50">
      <c r="A305" s="1">
        <f>HYPERLINK("https://lsnyc.legalserver.org/matter/dynamic-profile/view/1895673","19-1895673")</f>
        <v>0</v>
      </c>
      <c r="B305" t="s">
        <v>77</v>
      </c>
      <c r="C305" t="s">
        <v>567</v>
      </c>
      <c r="D305" t="s">
        <v>1848</v>
      </c>
      <c r="E305" t="s">
        <v>3319</v>
      </c>
      <c r="F305" t="s">
        <v>5224</v>
      </c>
      <c r="G305" t="s">
        <v>5637</v>
      </c>
      <c r="H305">
        <v>11216</v>
      </c>
      <c r="I305" t="s">
        <v>5696</v>
      </c>
      <c r="J305" t="s">
        <v>5696</v>
      </c>
      <c r="N305" t="s">
        <v>6739</v>
      </c>
      <c r="O305" t="s">
        <v>6745</v>
      </c>
      <c r="R305" t="s">
        <v>6793</v>
      </c>
      <c r="U305">
        <v>0</v>
      </c>
      <c r="V305" t="s">
        <v>6835</v>
      </c>
      <c r="X305" t="s">
        <v>6857</v>
      </c>
      <c r="Y305" t="s">
        <v>7114</v>
      </c>
      <c r="AA305" t="s">
        <v>9273</v>
      </c>
      <c r="AB305">
        <v>0</v>
      </c>
      <c r="AE305">
        <v>0</v>
      </c>
      <c r="AF305">
        <v>5</v>
      </c>
      <c r="AG305">
        <v>0</v>
      </c>
      <c r="AH305">
        <v>91.90000000000001</v>
      </c>
      <c r="AK305" t="s">
        <v>10966</v>
      </c>
      <c r="AL305">
        <v>27726</v>
      </c>
      <c r="AR305">
        <v>1.5</v>
      </c>
      <c r="AS305" t="s">
        <v>11121</v>
      </c>
      <c r="AT305" t="s">
        <v>77</v>
      </c>
      <c r="AV305" t="s">
        <v>11230</v>
      </c>
      <c r="AW305" t="s">
        <v>11119</v>
      </c>
      <c r="AX305" t="s">
        <v>11119</v>
      </c>
    </row>
    <row r="306" spans="1:50">
      <c r="A306" s="1">
        <f>HYPERLINK("https://lsnyc.legalserver.org/matter/dynamic-profile/view/1900329","19-1900329")</f>
        <v>0</v>
      </c>
      <c r="B306" t="s">
        <v>95</v>
      </c>
      <c r="C306" t="s">
        <v>568</v>
      </c>
      <c r="D306" t="s">
        <v>1886</v>
      </c>
      <c r="E306" t="s">
        <v>3371</v>
      </c>
      <c r="F306" t="s">
        <v>5240</v>
      </c>
      <c r="G306" t="s">
        <v>5637</v>
      </c>
      <c r="H306">
        <v>11207</v>
      </c>
      <c r="I306" t="s">
        <v>5696</v>
      </c>
      <c r="J306" t="s">
        <v>5696</v>
      </c>
      <c r="N306" t="s">
        <v>6739</v>
      </c>
      <c r="O306" t="s">
        <v>6756</v>
      </c>
      <c r="R306" t="s">
        <v>6793</v>
      </c>
      <c r="U306">
        <v>0</v>
      </c>
      <c r="V306" t="s">
        <v>6835</v>
      </c>
      <c r="X306" t="s">
        <v>6857</v>
      </c>
      <c r="Y306" t="s">
        <v>7164</v>
      </c>
      <c r="AA306" t="s">
        <v>9317</v>
      </c>
      <c r="AB306">
        <v>0</v>
      </c>
      <c r="AE306">
        <v>0</v>
      </c>
      <c r="AF306">
        <v>1</v>
      </c>
      <c r="AG306">
        <v>0</v>
      </c>
      <c r="AH306">
        <v>86.47</v>
      </c>
      <c r="AK306" t="s">
        <v>10966</v>
      </c>
      <c r="AL306">
        <v>10800</v>
      </c>
      <c r="AR306">
        <v>1.05</v>
      </c>
      <c r="AS306" t="s">
        <v>6828</v>
      </c>
      <c r="AT306" t="s">
        <v>11212</v>
      </c>
      <c r="AV306" t="s">
        <v>11230</v>
      </c>
      <c r="AW306" t="s">
        <v>6820</v>
      </c>
      <c r="AX306" t="s">
        <v>6820</v>
      </c>
    </row>
    <row r="307" spans="1:50">
      <c r="A307" s="1">
        <f>HYPERLINK("https://lsnyc.legalserver.org/matter/dynamic-profile/view/1898999","19-1898999")</f>
        <v>0</v>
      </c>
      <c r="B307" t="s">
        <v>75</v>
      </c>
      <c r="C307" t="s">
        <v>569</v>
      </c>
      <c r="D307" t="s">
        <v>1887</v>
      </c>
      <c r="E307" t="s">
        <v>3372</v>
      </c>
      <c r="F307" t="s">
        <v>5130</v>
      </c>
      <c r="G307" t="s">
        <v>5638</v>
      </c>
      <c r="H307">
        <v>10032</v>
      </c>
      <c r="I307" t="s">
        <v>5696</v>
      </c>
      <c r="J307" t="s">
        <v>5696</v>
      </c>
      <c r="N307" t="s">
        <v>6739</v>
      </c>
      <c r="O307" t="s">
        <v>6766</v>
      </c>
      <c r="R307" t="s">
        <v>6793</v>
      </c>
      <c r="U307">
        <v>0</v>
      </c>
      <c r="V307" t="s">
        <v>6836</v>
      </c>
      <c r="X307" t="s">
        <v>6857</v>
      </c>
      <c r="Y307" t="s">
        <v>7165</v>
      </c>
      <c r="AA307" t="s">
        <v>9318</v>
      </c>
      <c r="AB307">
        <v>0</v>
      </c>
      <c r="AE307">
        <v>0</v>
      </c>
      <c r="AF307">
        <v>1</v>
      </c>
      <c r="AG307">
        <v>0</v>
      </c>
      <c r="AH307">
        <v>12.83</v>
      </c>
      <c r="AL307">
        <v>1602.84</v>
      </c>
      <c r="AR307">
        <v>0.4</v>
      </c>
      <c r="AS307" t="s">
        <v>11143</v>
      </c>
      <c r="AT307" t="s">
        <v>11202</v>
      </c>
      <c r="AV307" t="s">
        <v>11230</v>
      </c>
      <c r="AW307" t="s">
        <v>11156</v>
      </c>
      <c r="AX307" t="s">
        <v>11143</v>
      </c>
    </row>
    <row r="308" spans="1:50">
      <c r="A308" s="1">
        <f>HYPERLINK("https://lsnyc.legalserver.org/matter/dynamic-profile/view/1904030","19-1904030")</f>
        <v>0</v>
      </c>
      <c r="B308" t="s">
        <v>153</v>
      </c>
      <c r="C308" t="s">
        <v>570</v>
      </c>
      <c r="D308" t="s">
        <v>1888</v>
      </c>
      <c r="E308" t="s">
        <v>3373</v>
      </c>
      <c r="F308" t="s">
        <v>5145</v>
      </c>
      <c r="G308" t="s">
        <v>5638</v>
      </c>
      <c r="H308">
        <v>10018</v>
      </c>
      <c r="I308" t="s">
        <v>5696</v>
      </c>
      <c r="J308" t="s">
        <v>5696</v>
      </c>
      <c r="N308" t="s">
        <v>6739</v>
      </c>
      <c r="O308" t="s">
        <v>6781</v>
      </c>
      <c r="R308" t="s">
        <v>6796</v>
      </c>
      <c r="U308">
        <v>0</v>
      </c>
      <c r="V308" t="s">
        <v>6836</v>
      </c>
      <c r="X308" t="s">
        <v>6857</v>
      </c>
      <c r="Y308" t="s">
        <v>7166</v>
      </c>
      <c r="AA308" t="s">
        <v>9319</v>
      </c>
      <c r="AB308">
        <v>0</v>
      </c>
      <c r="AE308">
        <v>0</v>
      </c>
      <c r="AF308">
        <v>1</v>
      </c>
      <c r="AG308">
        <v>0</v>
      </c>
      <c r="AH308">
        <v>76</v>
      </c>
      <c r="AL308">
        <v>9492</v>
      </c>
      <c r="AR308">
        <v>2</v>
      </c>
      <c r="AS308" t="s">
        <v>6814</v>
      </c>
      <c r="AT308" t="s">
        <v>156</v>
      </c>
      <c r="AV308" t="s">
        <v>11230</v>
      </c>
      <c r="AW308" t="s">
        <v>6825</v>
      </c>
      <c r="AX308" t="s">
        <v>6827</v>
      </c>
    </row>
    <row r="309" spans="1:50">
      <c r="A309" s="1">
        <f>HYPERLINK("https://lsnyc.legalserver.org/matter/dynamic-profile/view/1897067","19-1897067")</f>
        <v>0</v>
      </c>
      <c r="B309" t="s">
        <v>150</v>
      </c>
      <c r="C309" t="s">
        <v>571</v>
      </c>
      <c r="D309" t="s">
        <v>1889</v>
      </c>
      <c r="E309" t="s">
        <v>3374</v>
      </c>
      <c r="G309" t="s">
        <v>5636</v>
      </c>
      <c r="H309">
        <v>10310</v>
      </c>
      <c r="I309" t="s">
        <v>5696</v>
      </c>
      <c r="J309" t="s">
        <v>5696</v>
      </c>
      <c r="N309" t="s">
        <v>6739</v>
      </c>
      <c r="O309" t="s">
        <v>6782</v>
      </c>
      <c r="R309" t="s">
        <v>6799</v>
      </c>
      <c r="U309">
        <v>0</v>
      </c>
      <c r="V309" t="s">
        <v>6834</v>
      </c>
      <c r="X309" t="s">
        <v>6857</v>
      </c>
      <c r="Y309" t="s">
        <v>7167</v>
      </c>
      <c r="AA309" t="s">
        <v>9320</v>
      </c>
      <c r="AB309">
        <v>0</v>
      </c>
      <c r="AE309">
        <v>0</v>
      </c>
      <c r="AF309">
        <v>2</v>
      </c>
      <c r="AG309">
        <v>0</v>
      </c>
      <c r="AH309">
        <v>0</v>
      </c>
      <c r="AK309" t="s">
        <v>10966</v>
      </c>
      <c r="AL309">
        <v>0</v>
      </c>
      <c r="AR309">
        <v>0.4</v>
      </c>
      <c r="AS309" t="s">
        <v>11121</v>
      </c>
      <c r="AT309" t="s">
        <v>11211</v>
      </c>
      <c r="AV309" t="s">
        <v>11230</v>
      </c>
      <c r="AW309" t="s">
        <v>11121</v>
      </c>
      <c r="AX309" t="s">
        <v>11121</v>
      </c>
    </row>
    <row r="310" spans="1:50">
      <c r="A310" s="1">
        <f>HYPERLINK("https://lsnyc.legalserver.org/matter/dynamic-profile/view/0798772","16-0798772")</f>
        <v>0</v>
      </c>
      <c r="B310" t="s">
        <v>154</v>
      </c>
      <c r="C310" t="s">
        <v>572</v>
      </c>
      <c r="D310" t="s">
        <v>1757</v>
      </c>
      <c r="E310" t="s">
        <v>3375</v>
      </c>
      <c r="F310" t="s">
        <v>5116</v>
      </c>
      <c r="G310" t="s">
        <v>5638</v>
      </c>
      <c r="H310">
        <v>10001</v>
      </c>
      <c r="I310" t="s">
        <v>5696</v>
      </c>
      <c r="J310" t="s">
        <v>5696</v>
      </c>
      <c r="N310" t="s">
        <v>6739</v>
      </c>
      <c r="O310" t="s">
        <v>6759</v>
      </c>
      <c r="R310" t="s">
        <v>6794</v>
      </c>
      <c r="U310">
        <v>0</v>
      </c>
      <c r="V310" t="s">
        <v>6836</v>
      </c>
      <c r="X310" t="s">
        <v>6857</v>
      </c>
      <c r="Y310" t="s">
        <v>7168</v>
      </c>
      <c r="AA310" t="s">
        <v>9321</v>
      </c>
      <c r="AB310">
        <v>0</v>
      </c>
      <c r="AE310">
        <v>0</v>
      </c>
      <c r="AF310">
        <v>1</v>
      </c>
      <c r="AG310">
        <v>2</v>
      </c>
      <c r="AH310">
        <v>20.89</v>
      </c>
      <c r="AL310">
        <v>4212</v>
      </c>
      <c r="AR310">
        <v>1.9</v>
      </c>
      <c r="AS310" t="s">
        <v>11166</v>
      </c>
      <c r="AT310" t="s">
        <v>154</v>
      </c>
      <c r="AV310" t="s">
        <v>11230</v>
      </c>
      <c r="AW310" t="s">
        <v>11153</v>
      </c>
      <c r="AX310" t="s">
        <v>11153</v>
      </c>
    </row>
    <row r="311" spans="1:50">
      <c r="A311" s="1">
        <f>HYPERLINK("https://lsnyc.legalserver.org/matter/dynamic-profile/view/1901213","19-1901213")</f>
        <v>0</v>
      </c>
      <c r="B311" t="s">
        <v>146</v>
      </c>
      <c r="C311" t="s">
        <v>475</v>
      </c>
      <c r="D311" t="s">
        <v>1667</v>
      </c>
      <c r="E311" t="s">
        <v>3376</v>
      </c>
      <c r="G311" t="s">
        <v>5657</v>
      </c>
      <c r="H311">
        <v>11412</v>
      </c>
      <c r="I311" t="s">
        <v>5696</v>
      </c>
      <c r="J311" t="s">
        <v>5696</v>
      </c>
      <c r="N311" t="s">
        <v>6739</v>
      </c>
      <c r="O311" t="s">
        <v>6767</v>
      </c>
      <c r="R311" t="s">
        <v>6798</v>
      </c>
      <c r="U311">
        <v>0</v>
      </c>
      <c r="V311" t="s">
        <v>6837</v>
      </c>
      <c r="X311" t="s">
        <v>6857</v>
      </c>
      <c r="Y311" t="s">
        <v>7169</v>
      </c>
      <c r="AA311" t="s">
        <v>9322</v>
      </c>
      <c r="AB311">
        <v>0</v>
      </c>
      <c r="AE311">
        <v>0</v>
      </c>
      <c r="AF311">
        <v>1</v>
      </c>
      <c r="AG311">
        <v>0</v>
      </c>
      <c r="AH311">
        <v>76.86</v>
      </c>
      <c r="AL311">
        <v>9600</v>
      </c>
      <c r="AR311">
        <v>0.4</v>
      </c>
      <c r="AS311" t="s">
        <v>11162</v>
      </c>
      <c r="AT311" t="s">
        <v>146</v>
      </c>
      <c r="AV311" t="s">
        <v>11230</v>
      </c>
      <c r="AW311" t="s">
        <v>11162</v>
      </c>
      <c r="AX311" t="s">
        <v>11124</v>
      </c>
    </row>
    <row r="312" spans="1:50">
      <c r="A312" s="1">
        <f>HYPERLINK("https://lsnyc.legalserver.org/matter/dynamic-profile/view/1897377","19-1897377")</f>
        <v>0</v>
      </c>
      <c r="B312" t="s">
        <v>150</v>
      </c>
      <c r="C312" t="s">
        <v>573</v>
      </c>
      <c r="D312" t="s">
        <v>1890</v>
      </c>
      <c r="E312" t="s">
        <v>3377</v>
      </c>
      <c r="G312" t="s">
        <v>5636</v>
      </c>
      <c r="H312">
        <v>10314</v>
      </c>
      <c r="I312" t="s">
        <v>5696</v>
      </c>
      <c r="J312" t="s">
        <v>5696</v>
      </c>
      <c r="N312" t="s">
        <v>6739</v>
      </c>
      <c r="O312" t="s">
        <v>6754</v>
      </c>
      <c r="R312" t="s">
        <v>6798</v>
      </c>
      <c r="U312">
        <v>0</v>
      </c>
      <c r="V312" t="s">
        <v>6834</v>
      </c>
      <c r="X312" t="s">
        <v>6857</v>
      </c>
      <c r="Y312" t="s">
        <v>7170</v>
      </c>
      <c r="AA312" t="s">
        <v>9323</v>
      </c>
      <c r="AB312">
        <v>0</v>
      </c>
      <c r="AE312">
        <v>0</v>
      </c>
      <c r="AF312">
        <v>1</v>
      </c>
      <c r="AG312">
        <v>0</v>
      </c>
      <c r="AH312">
        <v>70.70999999999999</v>
      </c>
      <c r="AK312" t="s">
        <v>10966</v>
      </c>
      <c r="AL312">
        <v>8832</v>
      </c>
      <c r="AR312">
        <v>2.9</v>
      </c>
      <c r="AS312" t="s">
        <v>11128</v>
      </c>
      <c r="AT312" t="s">
        <v>150</v>
      </c>
      <c r="AV312" t="s">
        <v>11230</v>
      </c>
      <c r="AW312" t="s">
        <v>11145</v>
      </c>
      <c r="AX312" t="s">
        <v>11128</v>
      </c>
    </row>
    <row r="313" spans="1:50">
      <c r="A313" s="1">
        <f>HYPERLINK("https://lsnyc.legalserver.org/matter/dynamic-profile/view/1898628","19-1898628")</f>
        <v>0</v>
      </c>
      <c r="B313" t="s">
        <v>155</v>
      </c>
      <c r="C313" t="s">
        <v>574</v>
      </c>
      <c r="D313" t="s">
        <v>1891</v>
      </c>
      <c r="E313" t="s">
        <v>3378</v>
      </c>
      <c r="F313" t="s">
        <v>5241</v>
      </c>
      <c r="G313" t="s">
        <v>5637</v>
      </c>
      <c r="H313">
        <v>11238</v>
      </c>
      <c r="I313" t="s">
        <v>5695</v>
      </c>
      <c r="J313" t="s">
        <v>5695</v>
      </c>
      <c r="N313" t="s">
        <v>6739</v>
      </c>
      <c r="O313" t="s">
        <v>6753</v>
      </c>
      <c r="R313" t="s">
        <v>6793</v>
      </c>
      <c r="U313">
        <v>781</v>
      </c>
      <c r="V313" t="s">
        <v>6835</v>
      </c>
      <c r="X313" t="s">
        <v>6857</v>
      </c>
      <c r="Y313" t="s">
        <v>7171</v>
      </c>
      <c r="AA313" t="s">
        <v>9324</v>
      </c>
      <c r="AB313">
        <v>328</v>
      </c>
      <c r="AD313" t="s">
        <v>5741</v>
      </c>
      <c r="AE313">
        <v>1</v>
      </c>
      <c r="AF313">
        <v>1</v>
      </c>
      <c r="AG313">
        <v>0</v>
      </c>
      <c r="AH313">
        <v>211.37</v>
      </c>
      <c r="AK313" t="s">
        <v>10966</v>
      </c>
      <c r="AL313">
        <v>26400</v>
      </c>
      <c r="AR313">
        <v>0.5</v>
      </c>
      <c r="AS313" t="s">
        <v>6819</v>
      </c>
      <c r="AT313" t="s">
        <v>69</v>
      </c>
      <c r="AV313" t="s">
        <v>11230</v>
      </c>
      <c r="AW313" t="s">
        <v>11123</v>
      </c>
      <c r="AX313" t="s">
        <v>6819</v>
      </c>
    </row>
    <row r="314" spans="1:50">
      <c r="A314" s="1">
        <f>HYPERLINK("https://lsnyc.legalserver.org/matter/dynamic-profile/view/1897633","19-1897633")</f>
        <v>0</v>
      </c>
      <c r="B314" t="s">
        <v>117</v>
      </c>
      <c r="C314" t="s">
        <v>575</v>
      </c>
      <c r="D314" t="s">
        <v>1892</v>
      </c>
      <c r="E314" t="s">
        <v>3379</v>
      </c>
      <c r="F314" t="s">
        <v>5237</v>
      </c>
      <c r="G314" t="s">
        <v>5637</v>
      </c>
      <c r="H314">
        <v>11216</v>
      </c>
      <c r="I314" t="s">
        <v>5696</v>
      </c>
      <c r="J314" t="s">
        <v>5696</v>
      </c>
      <c r="N314" t="s">
        <v>6739</v>
      </c>
      <c r="O314" t="s">
        <v>6754</v>
      </c>
      <c r="R314" t="s">
        <v>6793</v>
      </c>
      <c r="U314">
        <v>1136.23</v>
      </c>
      <c r="V314" t="s">
        <v>6835</v>
      </c>
      <c r="W314" t="s">
        <v>6842</v>
      </c>
      <c r="X314" t="s">
        <v>6857</v>
      </c>
      <c r="Y314" t="s">
        <v>7172</v>
      </c>
      <c r="AA314" t="s">
        <v>9325</v>
      </c>
      <c r="AB314">
        <v>33</v>
      </c>
      <c r="AC314" t="s">
        <v>10929</v>
      </c>
      <c r="AD314" t="s">
        <v>10944</v>
      </c>
      <c r="AE314">
        <v>15</v>
      </c>
      <c r="AF314">
        <v>1</v>
      </c>
      <c r="AG314">
        <v>1</v>
      </c>
      <c r="AH314">
        <v>59.11</v>
      </c>
      <c r="AK314" t="s">
        <v>10966</v>
      </c>
      <c r="AL314">
        <v>9996</v>
      </c>
      <c r="AR314">
        <v>6.6</v>
      </c>
      <c r="AS314" t="s">
        <v>6820</v>
      </c>
      <c r="AT314" t="s">
        <v>11188</v>
      </c>
      <c r="AV314" t="s">
        <v>11230</v>
      </c>
      <c r="AW314" t="s">
        <v>11159</v>
      </c>
      <c r="AX314" t="s">
        <v>6820</v>
      </c>
    </row>
    <row r="315" spans="1:50">
      <c r="A315" s="1">
        <f>HYPERLINK("https://lsnyc.legalserver.org/matter/dynamic-profile/view/1896292","19-1896292")</f>
        <v>0</v>
      </c>
      <c r="B315" t="s">
        <v>132</v>
      </c>
      <c r="C315" t="s">
        <v>576</v>
      </c>
      <c r="D315" t="s">
        <v>1893</v>
      </c>
      <c r="E315" t="s">
        <v>3380</v>
      </c>
      <c r="F315">
        <v>2</v>
      </c>
      <c r="G315" t="s">
        <v>5637</v>
      </c>
      <c r="H315">
        <v>11233</v>
      </c>
      <c r="I315" t="s">
        <v>5696</v>
      </c>
      <c r="J315" t="s">
        <v>5696</v>
      </c>
      <c r="N315" t="s">
        <v>6739</v>
      </c>
      <c r="O315" t="s">
        <v>6748</v>
      </c>
      <c r="R315" t="s">
        <v>6796</v>
      </c>
      <c r="U315">
        <v>0</v>
      </c>
      <c r="V315" t="s">
        <v>6835</v>
      </c>
      <c r="X315" t="s">
        <v>6857</v>
      </c>
      <c r="Y315" t="s">
        <v>7173</v>
      </c>
      <c r="AA315" t="s">
        <v>9326</v>
      </c>
      <c r="AB315">
        <v>0</v>
      </c>
      <c r="AE315">
        <v>0</v>
      </c>
      <c r="AF315">
        <v>2</v>
      </c>
      <c r="AG315">
        <v>0</v>
      </c>
      <c r="AH315">
        <v>18.14</v>
      </c>
      <c r="AL315">
        <v>3068</v>
      </c>
      <c r="AR315">
        <v>0.25</v>
      </c>
      <c r="AS315" t="s">
        <v>11167</v>
      </c>
      <c r="AT315" t="s">
        <v>132</v>
      </c>
      <c r="AV315" t="s">
        <v>11230</v>
      </c>
      <c r="AW315" t="s">
        <v>11167</v>
      </c>
      <c r="AX315" t="s">
        <v>11164</v>
      </c>
    </row>
    <row r="316" spans="1:50">
      <c r="A316" s="1">
        <f>HYPERLINK("https://lsnyc.legalserver.org/matter/dynamic-profile/view/1895280","19-1895280")</f>
        <v>0</v>
      </c>
      <c r="B316" t="s">
        <v>156</v>
      </c>
      <c r="C316" t="s">
        <v>355</v>
      </c>
      <c r="D316" t="s">
        <v>1894</v>
      </c>
      <c r="E316" t="s">
        <v>3381</v>
      </c>
      <c r="G316" t="s">
        <v>5644</v>
      </c>
      <c r="H316">
        <v>11434</v>
      </c>
      <c r="I316" t="s">
        <v>5696</v>
      </c>
      <c r="J316" t="s">
        <v>5696</v>
      </c>
      <c r="N316" t="s">
        <v>6739</v>
      </c>
      <c r="O316" t="s">
        <v>6767</v>
      </c>
      <c r="R316" t="s">
        <v>6798</v>
      </c>
      <c r="U316">
        <v>0</v>
      </c>
      <c r="V316" t="s">
        <v>6837</v>
      </c>
      <c r="X316" t="s">
        <v>6857</v>
      </c>
      <c r="Y316" t="s">
        <v>7174</v>
      </c>
      <c r="AA316" t="s">
        <v>9327</v>
      </c>
      <c r="AB316">
        <v>0</v>
      </c>
      <c r="AE316">
        <v>0</v>
      </c>
      <c r="AF316">
        <v>4</v>
      </c>
      <c r="AG316">
        <v>0</v>
      </c>
      <c r="AH316">
        <v>219.03</v>
      </c>
      <c r="AL316">
        <v>56400</v>
      </c>
      <c r="AR316">
        <v>0.9</v>
      </c>
      <c r="AS316" t="s">
        <v>11145</v>
      </c>
      <c r="AT316" t="s">
        <v>156</v>
      </c>
      <c r="AV316" t="s">
        <v>11230</v>
      </c>
      <c r="AW316" t="s">
        <v>10960</v>
      </c>
      <c r="AX316" t="s">
        <v>11165</v>
      </c>
    </row>
    <row r="317" spans="1:50">
      <c r="A317" s="1">
        <f>HYPERLINK("https://lsnyc.legalserver.org/matter/dynamic-profile/view/1897726","19-1897726")</f>
        <v>0</v>
      </c>
      <c r="B317" t="s">
        <v>157</v>
      </c>
      <c r="C317" t="s">
        <v>577</v>
      </c>
      <c r="D317" t="s">
        <v>1895</v>
      </c>
      <c r="E317" t="s">
        <v>3382</v>
      </c>
      <c r="F317" t="s">
        <v>5137</v>
      </c>
      <c r="G317" t="s">
        <v>5638</v>
      </c>
      <c r="H317">
        <v>10034</v>
      </c>
      <c r="I317" t="s">
        <v>5696</v>
      </c>
      <c r="J317" t="s">
        <v>5696</v>
      </c>
      <c r="K317" t="s">
        <v>5801</v>
      </c>
      <c r="N317" t="s">
        <v>6739</v>
      </c>
      <c r="O317" t="s">
        <v>6760</v>
      </c>
      <c r="R317" t="s">
        <v>6793</v>
      </c>
      <c r="U317">
        <v>930.6</v>
      </c>
      <c r="V317" t="s">
        <v>6836</v>
      </c>
      <c r="W317" t="s">
        <v>6848</v>
      </c>
      <c r="X317" t="s">
        <v>6857</v>
      </c>
      <c r="Y317" t="s">
        <v>7175</v>
      </c>
      <c r="AA317" t="s">
        <v>9328</v>
      </c>
      <c r="AB317">
        <v>65</v>
      </c>
      <c r="AC317" t="s">
        <v>10936</v>
      </c>
      <c r="AD317" t="s">
        <v>5741</v>
      </c>
      <c r="AE317">
        <v>52</v>
      </c>
      <c r="AF317">
        <v>1</v>
      </c>
      <c r="AG317">
        <v>0</v>
      </c>
      <c r="AH317">
        <v>0</v>
      </c>
      <c r="AK317" t="s">
        <v>10966</v>
      </c>
      <c r="AL317">
        <v>0</v>
      </c>
      <c r="AR317">
        <v>1</v>
      </c>
      <c r="AS317" t="s">
        <v>11129</v>
      </c>
      <c r="AT317" t="s">
        <v>11203</v>
      </c>
      <c r="AV317" t="s">
        <v>11230</v>
      </c>
      <c r="AW317" t="s">
        <v>11129</v>
      </c>
      <c r="AX317" t="s">
        <v>11162</v>
      </c>
    </row>
    <row r="318" spans="1:50">
      <c r="A318" s="1">
        <f>HYPERLINK("https://lsnyc.legalserver.org/matter/dynamic-profile/view/1900597","19-1900597")</f>
        <v>0</v>
      </c>
      <c r="B318" t="s">
        <v>133</v>
      </c>
      <c r="C318" t="s">
        <v>578</v>
      </c>
      <c r="D318" t="s">
        <v>1896</v>
      </c>
      <c r="E318" t="s">
        <v>3383</v>
      </c>
      <c r="F318" t="s">
        <v>5242</v>
      </c>
      <c r="G318" t="s">
        <v>5637</v>
      </c>
      <c r="H318">
        <v>11236</v>
      </c>
      <c r="I318" t="s">
        <v>5696</v>
      </c>
      <c r="J318" t="s">
        <v>5696</v>
      </c>
      <c r="N318" t="s">
        <v>6739</v>
      </c>
      <c r="O318" t="s">
        <v>6748</v>
      </c>
      <c r="R318" t="s">
        <v>6793</v>
      </c>
      <c r="U318">
        <v>0</v>
      </c>
      <c r="V318" t="s">
        <v>6835</v>
      </c>
      <c r="X318" t="s">
        <v>6857</v>
      </c>
      <c r="Y318" t="s">
        <v>7176</v>
      </c>
      <c r="AA318" t="s">
        <v>9329</v>
      </c>
      <c r="AB318">
        <v>0</v>
      </c>
      <c r="AE318">
        <v>0</v>
      </c>
      <c r="AF318">
        <v>2</v>
      </c>
      <c r="AG318">
        <v>1</v>
      </c>
      <c r="AH318">
        <v>106.54</v>
      </c>
      <c r="AK318" t="s">
        <v>10966</v>
      </c>
      <c r="AL318">
        <v>22724</v>
      </c>
      <c r="AR318">
        <v>1</v>
      </c>
      <c r="AS318" t="s">
        <v>6895</v>
      </c>
      <c r="AT318" t="s">
        <v>11181</v>
      </c>
      <c r="AV318" t="s">
        <v>11230</v>
      </c>
      <c r="AW318" t="s">
        <v>6895</v>
      </c>
      <c r="AX318" t="s">
        <v>11147</v>
      </c>
    </row>
    <row r="319" spans="1:50">
      <c r="A319" s="1">
        <f>HYPERLINK("https://lsnyc.legalserver.org/matter/dynamic-profile/view/1896411","19-1896411")</f>
        <v>0</v>
      </c>
      <c r="B319" t="s">
        <v>146</v>
      </c>
      <c r="C319" t="s">
        <v>579</v>
      </c>
      <c r="D319" t="s">
        <v>1897</v>
      </c>
      <c r="E319" t="s">
        <v>3384</v>
      </c>
      <c r="G319" t="s">
        <v>5658</v>
      </c>
      <c r="H319">
        <v>11416</v>
      </c>
      <c r="I319" t="s">
        <v>5696</v>
      </c>
      <c r="J319" t="s">
        <v>5696</v>
      </c>
      <c r="N319" t="s">
        <v>6739</v>
      </c>
      <c r="O319" t="s">
        <v>6767</v>
      </c>
      <c r="R319" t="s">
        <v>6798</v>
      </c>
      <c r="U319">
        <v>0</v>
      </c>
      <c r="V319" t="s">
        <v>6837</v>
      </c>
      <c r="X319" t="s">
        <v>6857</v>
      </c>
      <c r="Y319" t="s">
        <v>7177</v>
      </c>
      <c r="AA319" t="s">
        <v>9330</v>
      </c>
      <c r="AB319">
        <v>0</v>
      </c>
      <c r="AE319">
        <v>0</v>
      </c>
      <c r="AF319">
        <v>1</v>
      </c>
      <c r="AG319">
        <v>1</v>
      </c>
      <c r="AH319">
        <v>236.55</v>
      </c>
      <c r="AK319" t="s">
        <v>10966</v>
      </c>
      <c r="AL319">
        <v>40000</v>
      </c>
      <c r="AR319">
        <v>1.8</v>
      </c>
      <c r="AS319" t="s">
        <v>11164</v>
      </c>
      <c r="AT319" t="s">
        <v>11192</v>
      </c>
      <c r="AV319" t="s">
        <v>11230</v>
      </c>
      <c r="AW319" t="s">
        <v>11164</v>
      </c>
      <c r="AX319" t="s">
        <v>6822</v>
      </c>
    </row>
    <row r="320" spans="1:50">
      <c r="A320" s="1">
        <f>HYPERLINK("https://lsnyc.legalserver.org/matter/dynamic-profile/view/1895894","19-1895894")</f>
        <v>0</v>
      </c>
      <c r="B320" t="s">
        <v>152</v>
      </c>
      <c r="C320" t="s">
        <v>580</v>
      </c>
      <c r="D320" t="s">
        <v>1898</v>
      </c>
      <c r="E320" t="s">
        <v>3385</v>
      </c>
      <c r="G320" t="s">
        <v>5635</v>
      </c>
      <c r="H320">
        <v>10455</v>
      </c>
      <c r="I320" t="s">
        <v>5696</v>
      </c>
      <c r="J320" t="s">
        <v>5696</v>
      </c>
      <c r="N320" t="s">
        <v>6739</v>
      </c>
      <c r="O320" t="s">
        <v>6783</v>
      </c>
      <c r="R320" t="s">
        <v>6798</v>
      </c>
      <c r="U320">
        <v>0</v>
      </c>
      <c r="V320" t="s">
        <v>6833</v>
      </c>
      <c r="X320" t="s">
        <v>6857</v>
      </c>
      <c r="Y320" t="s">
        <v>7178</v>
      </c>
      <c r="AA320" t="s">
        <v>9331</v>
      </c>
      <c r="AB320">
        <v>0</v>
      </c>
      <c r="AE320">
        <v>0</v>
      </c>
      <c r="AF320">
        <v>3</v>
      </c>
      <c r="AG320">
        <v>0</v>
      </c>
      <c r="AH320">
        <v>632.4400000000001</v>
      </c>
      <c r="AK320" t="s">
        <v>10966</v>
      </c>
      <c r="AL320">
        <v>134900</v>
      </c>
      <c r="AR320">
        <v>4.5</v>
      </c>
      <c r="AS320" t="s">
        <v>10961</v>
      </c>
      <c r="AT320" t="s">
        <v>296</v>
      </c>
      <c r="AV320" t="s">
        <v>11230</v>
      </c>
      <c r="AW320" t="s">
        <v>11170</v>
      </c>
      <c r="AX320" t="s">
        <v>11160</v>
      </c>
    </row>
    <row r="321" spans="1:50">
      <c r="A321" s="1">
        <f>HYPERLINK("https://lsnyc.legalserver.org/matter/dynamic-profile/view/1897364","19-1897364")</f>
        <v>0</v>
      </c>
      <c r="B321" t="s">
        <v>77</v>
      </c>
      <c r="C321" t="s">
        <v>581</v>
      </c>
      <c r="D321" t="s">
        <v>1899</v>
      </c>
      <c r="E321" t="s">
        <v>3386</v>
      </c>
      <c r="F321" t="s">
        <v>5243</v>
      </c>
      <c r="G321" t="s">
        <v>5637</v>
      </c>
      <c r="H321">
        <v>11208</v>
      </c>
      <c r="I321" t="s">
        <v>5696</v>
      </c>
      <c r="J321" t="s">
        <v>5696</v>
      </c>
      <c r="N321" t="s">
        <v>6739</v>
      </c>
      <c r="O321" t="s">
        <v>6748</v>
      </c>
      <c r="R321" t="s">
        <v>6795</v>
      </c>
      <c r="U321">
        <v>0</v>
      </c>
      <c r="V321" t="s">
        <v>6835</v>
      </c>
      <c r="X321" t="s">
        <v>6857</v>
      </c>
      <c r="Y321" t="s">
        <v>7179</v>
      </c>
      <c r="AA321" t="s">
        <v>9332</v>
      </c>
      <c r="AB321">
        <v>0</v>
      </c>
      <c r="AE321">
        <v>0</v>
      </c>
      <c r="AF321">
        <v>2</v>
      </c>
      <c r="AG321">
        <v>0</v>
      </c>
      <c r="AH321">
        <v>169.13</v>
      </c>
      <c r="AK321" t="s">
        <v>10966</v>
      </c>
      <c r="AL321">
        <v>28600</v>
      </c>
      <c r="AR321">
        <v>1.6</v>
      </c>
      <c r="AS321" t="s">
        <v>11134</v>
      </c>
      <c r="AT321" t="s">
        <v>11185</v>
      </c>
      <c r="AV321" t="s">
        <v>11230</v>
      </c>
      <c r="AW321" t="s">
        <v>10961</v>
      </c>
      <c r="AX321" t="s">
        <v>11134</v>
      </c>
    </row>
    <row r="322" spans="1:50">
      <c r="A322" s="1">
        <f>HYPERLINK("https://lsnyc.legalserver.org/matter/dynamic-profile/view/1902595","19-1902595")</f>
        <v>0</v>
      </c>
      <c r="B322" t="s">
        <v>77</v>
      </c>
      <c r="C322" t="s">
        <v>582</v>
      </c>
      <c r="D322" t="s">
        <v>1900</v>
      </c>
      <c r="E322" t="s">
        <v>3387</v>
      </c>
      <c r="F322" t="s">
        <v>5137</v>
      </c>
      <c r="G322" t="s">
        <v>5637</v>
      </c>
      <c r="H322">
        <v>11230</v>
      </c>
      <c r="I322" t="s">
        <v>5696</v>
      </c>
      <c r="J322" t="s">
        <v>5696</v>
      </c>
      <c r="N322" t="s">
        <v>6739</v>
      </c>
      <c r="O322" t="s">
        <v>6745</v>
      </c>
      <c r="R322" t="s">
        <v>6793</v>
      </c>
      <c r="U322">
        <v>0</v>
      </c>
      <c r="V322" t="s">
        <v>6835</v>
      </c>
      <c r="X322" t="s">
        <v>6857</v>
      </c>
      <c r="Y322" t="s">
        <v>7180</v>
      </c>
      <c r="AA322" t="s">
        <v>9333</v>
      </c>
      <c r="AB322">
        <v>0</v>
      </c>
      <c r="AE322">
        <v>0</v>
      </c>
      <c r="AF322">
        <v>2</v>
      </c>
      <c r="AG322">
        <v>2</v>
      </c>
      <c r="AH322">
        <v>159.84</v>
      </c>
      <c r="AK322" t="s">
        <v>10966</v>
      </c>
      <c r="AL322">
        <v>41160</v>
      </c>
      <c r="AR322">
        <v>1.2</v>
      </c>
      <c r="AS322" t="s">
        <v>11131</v>
      </c>
      <c r="AT322" t="s">
        <v>77</v>
      </c>
      <c r="AV322" t="s">
        <v>11230</v>
      </c>
      <c r="AW322" t="s">
        <v>11116</v>
      </c>
      <c r="AX322" t="s">
        <v>11131</v>
      </c>
    </row>
    <row r="323" spans="1:50">
      <c r="A323" s="1">
        <f>HYPERLINK("https://lsnyc.legalserver.org/matter/dynamic-profile/view/1898721","19-1898721")</f>
        <v>0</v>
      </c>
      <c r="B323" t="s">
        <v>152</v>
      </c>
      <c r="C323" t="s">
        <v>583</v>
      </c>
      <c r="D323" t="s">
        <v>1901</v>
      </c>
      <c r="E323" t="s">
        <v>3388</v>
      </c>
      <c r="G323" t="s">
        <v>5635</v>
      </c>
      <c r="H323">
        <v>10458</v>
      </c>
      <c r="I323" t="s">
        <v>5696</v>
      </c>
      <c r="J323" t="s">
        <v>5696</v>
      </c>
      <c r="N323" t="s">
        <v>6739</v>
      </c>
      <c r="O323" t="s">
        <v>6784</v>
      </c>
      <c r="R323" t="s">
        <v>6798</v>
      </c>
      <c r="U323">
        <v>0</v>
      </c>
      <c r="V323" t="s">
        <v>6833</v>
      </c>
      <c r="X323" t="s">
        <v>6857</v>
      </c>
      <c r="Y323" t="s">
        <v>7181</v>
      </c>
      <c r="AA323" t="s">
        <v>9334</v>
      </c>
      <c r="AB323">
        <v>0</v>
      </c>
      <c r="AE323">
        <v>0</v>
      </c>
      <c r="AF323">
        <v>2</v>
      </c>
      <c r="AG323">
        <v>2</v>
      </c>
      <c r="AH323">
        <v>174.76</v>
      </c>
      <c r="AK323" t="s">
        <v>10966</v>
      </c>
      <c r="AL323">
        <v>45000</v>
      </c>
      <c r="AR323">
        <v>4</v>
      </c>
      <c r="AS323" t="s">
        <v>6815</v>
      </c>
      <c r="AT323" t="s">
        <v>296</v>
      </c>
      <c r="AV323" t="s">
        <v>11230</v>
      </c>
      <c r="AW323" t="s">
        <v>11152</v>
      </c>
      <c r="AX323" t="s">
        <v>6820</v>
      </c>
    </row>
    <row r="324" spans="1:50">
      <c r="A324" s="1">
        <f>HYPERLINK("https://lsnyc.legalserver.org/matter/dynamic-profile/view/1903602","19-1903602")</f>
        <v>0</v>
      </c>
      <c r="B324" t="s">
        <v>158</v>
      </c>
      <c r="C324" t="s">
        <v>490</v>
      </c>
      <c r="D324" t="s">
        <v>1902</v>
      </c>
      <c r="E324" t="s">
        <v>3389</v>
      </c>
      <c r="F324" t="s">
        <v>5137</v>
      </c>
      <c r="G324" t="s">
        <v>5637</v>
      </c>
      <c r="H324">
        <v>11204</v>
      </c>
      <c r="I324" t="s">
        <v>5696</v>
      </c>
      <c r="J324" t="s">
        <v>5696</v>
      </c>
      <c r="N324" t="s">
        <v>6739</v>
      </c>
      <c r="O324" t="s">
        <v>6756</v>
      </c>
      <c r="R324" t="s">
        <v>6797</v>
      </c>
      <c r="U324">
        <v>0</v>
      </c>
      <c r="V324" t="s">
        <v>6835</v>
      </c>
      <c r="X324" t="s">
        <v>6857</v>
      </c>
      <c r="Y324" t="s">
        <v>7182</v>
      </c>
      <c r="AA324" t="s">
        <v>9335</v>
      </c>
      <c r="AB324">
        <v>0</v>
      </c>
      <c r="AE324">
        <v>0</v>
      </c>
      <c r="AF324">
        <v>1</v>
      </c>
      <c r="AG324">
        <v>0</v>
      </c>
      <c r="AH324">
        <v>74.08</v>
      </c>
      <c r="AL324">
        <v>9252</v>
      </c>
      <c r="AR324">
        <v>1.1</v>
      </c>
      <c r="AS324" t="s">
        <v>11144</v>
      </c>
      <c r="AT324" t="s">
        <v>158</v>
      </c>
      <c r="AV324" t="s">
        <v>11230</v>
      </c>
      <c r="AW324" t="s">
        <v>11147</v>
      </c>
      <c r="AX324" t="s">
        <v>11144</v>
      </c>
    </row>
    <row r="325" spans="1:50">
      <c r="A325" s="1">
        <f>HYPERLINK("https://lsnyc.legalserver.org/matter/dynamic-profile/view/1904224","19-1904224")</f>
        <v>0</v>
      </c>
      <c r="B325" t="s">
        <v>123</v>
      </c>
      <c r="C325" t="s">
        <v>584</v>
      </c>
      <c r="D325" t="s">
        <v>1903</v>
      </c>
      <c r="E325" t="s">
        <v>3390</v>
      </c>
      <c r="F325">
        <v>205</v>
      </c>
      <c r="G325" t="s">
        <v>5638</v>
      </c>
      <c r="H325">
        <v>10026</v>
      </c>
      <c r="I325" t="s">
        <v>5696</v>
      </c>
      <c r="J325" t="s">
        <v>5696</v>
      </c>
      <c r="N325" t="s">
        <v>6739</v>
      </c>
      <c r="O325" t="s">
        <v>6777</v>
      </c>
      <c r="R325" t="s">
        <v>6795</v>
      </c>
      <c r="U325">
        <v>0</v>
      </c>
      <c r="V325" t="s">
        <v>6836</v>
      </c>
      <c r="X325" t="s">
        <v>6857</v>
      </c>
      <c r="Y325" t="s">
        <v>7183</v>
      </c>
      <c r="AA325" t="s">
        <v>9336</v>
      </c>
      <c r="AB325">
        <v>0</v>
      </c>
      <c r="AE325">
        <v>0</v>
      </c>
      <c r="AF325">
        <v>1</v>
      </c>
      <c r="AG325">
        <v>2</v>
      </c>
      <c r="AH325">
        <v>50.63</v>
      </c>
      <c r="AK325" t="s">
        <v>10966</v>
      </c>
      <c r="AL325">
        <v>10800</v>
      </c>
      <c r="AR325">
        <v>5</v>
      </c>
      <c r="AS325" t="s">
        <v>6822</v>
      </c>
      <c r="AT325" t="s">
        <v>229</v>
      </c>
      <c r="AV325" t="s">
        <v>11230</v>
      </c>
      <c r="AW325" t="s">
        <v>6818</v>
      </c>
      <c r="AX325" t="s">
        <v>6819</v>
      </c>
    </row>
    <row r="326" spans="1:50">
      <c r="A326" s="1">
        <f>HYPERLINK("https://lsnyc.legalserver.org/matter/dynamic-profile/view/1900370","19-1900370")</f>
        <v>0</v>
      </c>
      <c r="B326" t="s">
        <v>150</v>
      </c>
      <c r="C326" t="s">
        <v>585</v>
      </c>
      <c r="D326" t="s">
        <v>1904</v>
      </c>
      <c r="E326" t="s">
        <v>3391</v>
      </c>
      <c r="G326" t="s">
        <v>5636</v>
      </c>
      <c r="H326">
        <v>10312</v>
      </c>
      <c r="I326" t="s">
        <v>5696</v>
      </c>
      <c r="J326" t="s">
        <v>5696</v>
      </c>
      <c r="N326" t="s">
        <v>6739</v>
      </c>
      <c r="O326" t="s">
        <v>6754</v>
      </c>
      <c r="R326" t="s">
        <v>6799</v>
      </c>
      <c r="U326">
        <v>0</v>
      </c>
      <c r="V326" t="s">
        <v>6834</v>
      </c>
      <c r="X326" t="s">
        <v>6857</v>
      </c>
      <c r="Y326" t="s">
        <v>7184</v>
      </c>
      <c r="AA326" t="s">
        <v>9337</v>
      </c>
      <c r="AB326">
        <v>0</v>
      </c>
      <c r="AE326">
        <v>0</v>
      </c>
      <c r="AF326">
        <v>2</v>
      </c>
      <c r="AG326">
        <v>0</v>
      </c>
      <c r="AH326">
        <v>598.04</v>
      </c>
      <c r="AK326" t="s">
        <v>10966</v>
      </c>
      <c r="AL326">
        <v>101128.68</v>
      </c>
      <c r="AR326">
        <v>1</v>
      </c>
      <c r="AS326" t="s">
        <v>6824</v>
      </c>
      <c r="AT326" t="s">
        <v>11211</v>
      </c>
      <c r="AV326" t="s">
        <v>11230</v>
      </c>
      <c r="AW326" t="s">
        <v>11160</v>
      </c>
      <c r="AX326" t="s">
        <v>6824</v>
      </c>
    </row>
    <row r="327" spans="1:50">
      <c r="A327" s="1">
        <f>HYPERLINK("https://lsnyc.legalserver.org/matter/dynamic-profile/view/1891005","19-1891005")</f>
        <v>0</v>
      </c>
      <c r="B327" t="s">
        <v>151</v>
      </c>
      <c r="C327" t="s">
        <v>491</v>
      </c>
      <c r="D327" t="s">
        <v>1905</v>
      </c>
      <c r="E327" t="s">
        <v>3392</v>
      </c>
      <c r="G327" t="s">
        <v>5637</v>
      </c>
      <c r="H327">
        <v>11203</v>
      </c>
      <c r="I327" t="s">
        <v>5696</v>
      </c>
      <c r="J327" t="s">
        <v>5696</v>
      </c>
      <c r="N327" t="s">
        <v>6739</v>
      </c>
      <c r="O327" t="s">
        <v>6775</v>
      </c>
      <c r="R327" t="s">
        <v>6799</v>
      </c>
      <c r="U327">
        <v>0</v>
      </c>
      <c r="V327" t="s">
        <v>6835</v>
      </c>
      <c r="X327" t="s">
        <v>6857</v>
      </c>
      <c r="Y327" t="s">
        <v>7185</v>
      </c>
      <c r="AA327" t="s">
        <v>9338</v>
      </c>
      <c r="AB327">
        <v>0</v>
      </c>
      <c r="AE327">
        <v>0</v>
      </c>
      <c r="AF327">
        <v>3</v>
      </c>
      <c r="AG327">
        <v>1</v>
      </c>
      <c r="AH327">
        <v>566.99</v>
      </c>
      <c r="AL327">
        <v>146000</v>
      </c>
      <c r="AR327">
        <v>10.55</v>
      </c>
      <c r="AS327" t="s">
        <v>11141</v>
      </c>
      <c r="AT327" t="s">
        <v>144</v>
      </c>
      <c r="AV327" t="s">
        <v>11230</v>
      </c>
      <c r="AW327" t="s">
        <v>11130</v>
      </c>
      <c r="AX327" t="s">
        <v>11131</v>
      </c>
    </row>
    <row r="328" spans="1:50">
      <c r="A328" s="1">
        <f>HYPERLINK("https://lsnyc.legalserver.org/matter/dynamic-profile/view/1897027","19-1897027")</f>
        <v>0</v>
      </c>
      <c r="B328" t="s">
        <v>159</v>
      </c>
      <c r="C328" t="s">
        <v>586</v>
      </c>
      <c r="D328" t="s">
        <v>1906</v>
      </c>
      <c r="E328" t="s">
        <v>3393</v>
      </c>
      <c r="F328">
        <v>3</v>
      </c>
      <c r="G328" t="s">
        <v>5637</v>
      </c>
      <c r="H328">
        <v>11208</v>
      </c>
      <c r="I328" t="s">
        <v>5696</v>
      </c>
      <c r="J328" t="s">
        <v>5696</v>
      </c>
      <c r="N328" t="s">
        <v>6739</v>
      </c>
      <c r="O328" t="s">
        <v>6770</v>
      </c>
      <c r="R328" t="s">
        <v>6798</v>
      </c>
      <c r="U328">
        <v>0</v>
      </c>
      <c r="V328" t="s">
        <v>6835</v>
      </c>
      <c r="X328" t="s">
        <v>6857</v>
      </c>
      <c r="Y328" t="s">
        <v>7186</v>
      </c>
      <c r="AA328" t="s">
        <v>9339</v>
      </c>
      <c r="AB328">
        <v>0</v>
      </c>
      <c r="AE328">
        <v>0</v>
      </c>
      <c r="AF328">
        <v>3</v>
      </c>
      <c r="AG328">
        <v>2</v>
      </c>
      <c r="AH328">
        <v>46.4</v>
      </c>
      <c r="AK328" t="s">
        <v>10967</v>
      </c>
      <c r="AL328">
        <v>14000</v>
      </c>
      <c r="AR328">
        <v>1.5</v>
      </c>
      <c r="AS328" t="s">
        <v>11143</v>
      </c>
      <c r="AT328" t="s">
        <v>159</v>
      </c>
      <c r="AV328" t="s">
        <v>11230</v>
      </c>
      <c r="AW328" t="s">
        <v>11121</v>
      </c>
      <c r="AX328" t="s">
        <v>11141</v>
      </c>
    </row>
    <row r="329" spans="1:50">
      <c r="A329" s="1">
        <f>HYPERLINK("https://lsnyc.legalserver.org/matter/dynamic-profile/view/1900318","19-1900318")</f>
        <v>0</v>
      </c>
      <c r="B329" t="s">
        <v>67</v>
      </c>
      <c r="C329" t="s">
        <v>587</v>
      </c>
      <c r="D329" t="s">
        <v>1907</v>
      </c>
      <c r="E329" t="s">
        <v>3394</v>
      </c>
      <c r="F329" t="s">
        <v>5244</v>
      </c>
      <c r="G329" t="s">
        <v>5637</v>
      </c>
      <c r="H329">
        <v>11207</v>
      </c>
      <c r="I329" t="s">
        <v>5696</v>
      </c>
      <c r="J329" t="s">
        <v>5696</v>
      </c>
      <c r="N329" t="s">
        <v>6739</v>
      </c>
      <c r="O329" t="s">
        <v>6745</v>
      </c>
      <c r="R329" t="s">
        <v>6795</v>
      </c>
      <c r="U329">
        <v>500</v>
      </c>
      <c r="V329" t="s">
        <v>6835</v>
      </c>
      <c r="X329" t="s">
        <v>6857</v>
      </c>
      <c r="Y329" t="s">
        <v>7187</v>
      </c>
      <c r="AA329" t="s">
        <v>9340</v>
      </c>
      <c r="AB329">
        <v>3</v>
      </c>
      <c r="AE329">
        <v>23</v>
      </c>
      <c r="AF329">
        <v>1</v>
      </c>
      <c r="AG329">
        <v>0</v>
      </c>
      <c r="AH329">
        <v>62.45</v>
      </c>
      <c r="AK329" t="s">
        <v>10966</v>
      </c>
      <c r="AL329">
        <v>7800</v>
      </c>
      <c r="AR329">
        <v>1</v>
      </c>
      <c r="AS329" t="s">
        <v>11155</v>
      </c>
      <c r="AT329" t="s">
        <v>11185</v>
      </c>
      <c r="AV329" t="s">
        <v>11230</v>
      </c>
      <c r="AW329" t="s">
        <v>11155</v>
      </c>
      <c r="AX329" t="s">
        <v>11155</v>
      </c>
    </row>
    <row r="330" spans="1:50">
      <c r="A330" s="1">
        <f>HYPERLINK("https://lsnyc.legalserver.org/matter/dynamic-profile/view/1900246","19-1900246")</f>
        <v>0</v>
      </c>
      <c r="B330" t="s">
        <v>127</v>
      </c>
      <c r="C330" t="s">
        <v>588</v>
      </c>
      <c r="D330" t="s">
        <v>1757</v>
      </c>
      <c r="E330" t="s">
        <v>3395</v>
      </c>
      <c r="F330">
        <v>203</v>
      </c>
      <c r="G330" t="s">
        <v>5635</v>
      </c>
      <c r="H330">
        <v>10459</v>
      </c>
      <c r="I330" t="s">
        <v>5696</v>
      </c>
      <c r="J330" t="s">
        <v>5696</v>
      </c>
      <c r="N330" t="s">
        <v>6739</v>
      </c>
      <c r="O330" t="s">
        <v>6748</v>
      </c>
      <c r="R330" t="s">
        <v>6793</v>
      </c>
      <c r="U330">
        <v>1985</v>
      </c>
      <c r="V330" t="s">
        <v>6833</v>
      </c>
      <c r="W330" t="s">
        <v>6843</v>
      </c>
      <c r="X330" t="s">
        <v>6857</v>
      </c>
      <c r="Y330" t="s">
        <v>7188</v>
      </c>
      <c r="AA330" t="s">
        <v>9341</v>
      </c>
      <c r="AB330">
        <v>0</v>
      </c>
      <c r="AC330" t="s">
        <v>10929</v>
      </c>
      <c r="AD330" t="s">
        <v>10944</v>
      </c>
      <c r="AE330">
        <v>5</v>
      </c>
      <c r="AF330">
        <v>1</v>
      </c>
      <c r="AG330">
        <v>4</v>
      </c>
      <c r="AH330">
        <v>44.55</v>
      </c>
      <c r="AK330" t="s">
        <v>10966</v>
      </c>
      <c r="AL330">
        <v>13440</v>
      </c>
      <c r="AR330">
        <v>1.2</v>
      </c>
      <c r="AS330" t="s">
        <v>11163</v>
      </c>
      <c r="AT330" t="s">
        <v>11203</v>
      </c>
      <c r="AV330" t="s">
        <v>11230</v>
      </c>
      <c r="AW330" t="s">
        <v>11127</v>
      </c>
      <c r="AX330" t="s">
        <v>11149</v>
      </c>
    </row>
    <row r="331" spans="1:50">
      <c r="A331" s="1">
        <f>HYPERLINK("https://lsnyc.legalserver.org/matter/dynamic-profile/view/1902054","19-1902054")</f>
        <v>0</v>
      </c>
      <c r="B331" t="s">
        <v>135</v>
      </c>
      <c r="C331" t="s">
        <v>589</v>
      </c>
      <c r="D331" t="s">
        <v>1908</v>
      </c>
      <c r="E331" t="s">
        <v>3396</v>
      </c>
      <c r="G331" t="s">
        <v>5637</v>
      </c>
      <c r="H331">
        <v>11233</v>
      </c>
      <c r="I331" t="s">
        <v>5696</v>
      </c>
      <c r="J331" t="s">
        <v>5696</v>
      </c>
      <c r="N331" t="s">
        <v>6739</v>
      </c>
      <c r="O331" t="s">
        <v>6775</v>
      </c>
      <c r="R331" t="s">
        <v>6799</v>
      </c>
      <c r="U331">
        <v>0</v>
      </c>
      <c r="V331" t="s">
        <v>6835</v>
      </c>
      <c r="X331" t="s">
        <v>6857</v>
      </c>
      <c r="Y331" t="s">
        <v>7189</v>
      </c>
      <c r="AA331" t="s">
        <v>9342</v>
      </c>
      <c r="AB331">
        <v>0</v>
      </c>
      <c r="AE331">
        <v>0</v>
      </c>
      <c r="AF331">
        <v>2</v>
      </c>
      <c r="AG331">
        <v>0</v>
      </c>
      <c r="AH331">
        <v>138.97</v>
      </c>
      <c r="AL331">
        <v>23500.32</v>
      </c>
      <c r="AR331">
        <v>9.449999999999999</v>
      </c>
      <c r="AS331" t="s">
        <v>6812</v>
      </c>
      <c r="AT331" t="s">
        <v>144</v>
      </c>
      <c r="AV331" t="s">
        <v>11230</v>
      </c>
      <c r="AW331" t="s">
        <v>11140</v>
      </c>
      <c r="AX331" t="s">
        <v>6812</v>
      </c>
    </row>
    <row r="332" spans="1:50">
      <c r="A332" s="1">
        <f>HYPERLINK("https://lsnyc.legalserver.org/matter/dynamic-profile/view/1901715","19-1901715")</f>
        <v>0</v>
      </c>
      <c r="B332" t="s">
        <v>136</v>
      </c>
      <c r="C332" t="s">
        <v>590</v>
      </c>
      <c r="D332" t="s">
        <v>1909</v>
      </c>
      <c r="E332" t="s">
        <v>3397</v>
      </c>
      <c r="F332" t="s">
        <v>5237</v>
      </c>
      <c r="G332" t="s">
        <v>5637</v>
      </c>
      <c r="H332">
        <v>11206</v>
      </c>
      <c r="I332" t="s">
        <v>5696</v>
      </c>
      <c r="J332" t="s">
        <v>5696</v>
      </c>
      <c r="N332" t="s">
        <v>6739</v>
      </c>
      <c r="O332" t="s">
        <v>6773</v>
      </c>
      <c r="R332" t="s">
        <v>6793</v>
      </c>
      <c r="U332">
        <v>0</v>
      </c>
      <c r="V332" t="s">
        <v>6835</v>
      </c>
      <c r="X332" t="s">
        <v>6857</v>
      </c>
      <c r="Y332" t="s">
        <v>7190</v>
      </c>
      <c r="AA332" t="s">
        <v>9343</v>
      </c>
      <c r="AB332">
        <v>0</v>
      </c>
      <c r="AE332">
        <v>0</v>
      </c>
      <c r="AF332">
        <v>1</v>
      </c>
      <c r="AG332">
        <v>0</v>
      </c>
      <c r="AH332">
        <v>96.08</v>
      </c>
      <c r="AL332">
        <v>12000</v>
      </c>
      <c r="AR332">
        <v>3.85</v>
      </c>
      <c r="AS332" t="s">
        <v>6823</v>
      </c>
      <c r="AT332" t="s">
        <v>156</v>
      </c>
      <c r="AV332" t="s">
        <v>11230</v>
      </c>
      <c r="AW332" t="s">
        <v>11124</v>
      </c>
      <c r="AX332" t="s">
        <v>6823</v>
      </c>
    </row>
    <row r="333" spans="1:50">
      <c r="A333" s="1">
        <f>HYPERLINK("https://lsnyc.legalserver.org/matter/dynamic-profile/view/1896011","19-1896011")</f>
        <v>0</v>
      </c>
      <c r="B333" t="s">
        <v>158</v>
      </c>
      <c r="C333" t="s">
        <v>591</v>
      </c>
      <c r="D333" t="s">
        <v>1910</v>
      </c>
      <c r="E333" t="s">
        <v>3398</v>
      </c>
      <c r="F333" t="s">
        <v>5245</v>
      </c>
      <c r="G333" t="s">
        <v>5637</v>
      </c>
      <c r="H333">
        <v>11222</v>
      </c>
      <c r="I333" t="s">
        <v>5696</v>
      </c>
      <c r="J333" t="s">
        <v>5696</v>
      </c>
      <c r="N333" t="s">
        <v>6739</v>
      </c>
      <c r="O333" t="s">
        <v>6756</v>
      </c>
      <c r="R333" t="s">
        <v>6793</v>
      </c>
      <c r="U333">
        <v>0</v>
      </c>
      <c r="V333" t="s">
        <v>6835</v>
      </c>
      <c r="X333" t="s">
        <v>6857</v>
      </c>
      <c r="Y333" t="s">
        <v>7191</v>
      </c>
      <c r="AA333" t="s">
        <v>9344</v>
      </c>
      <c r="AB333">
        <v>0</v>
      </c>
      <c r="AE333">
        <v>0</v>
      </c>
      <c r="AF333">
        <v>1</v>
      </c>
      <c r="AG333">
        <v>0</v>
      </c>
      <c r="AH333">
        <v>79.17</v>
      </c>
      <c r="AK333" t="s">
        <v>10966</v>
      </c>
      <c r="AL333">
        <v>9888</v>
      </c>
      <c r="AR333">
        <v>1.3</v>
      </c>
      <c r="AS333" t="s">
        <v>10962</v>
      </c>
      <c r="AT333" t="s">
        <v>158</v>
      </c>
      <c r="AV333" t="s">
        <v>11230</v>
      </c>
      <c r="AW333" t="s">
        <v>11170</v>
      </c>
      <c r="AX333" t="s">
        <v>10962</v>
      </c>
    </row>
    <row r="334" spans="1:50">
      <c r="A334" s="1">
        <f>HYPERLINK("https://lsnyc.legalserver.org/matter/dynamic-profile/view/1897278","19-1897278")</f>
        <v>0</v>
      </c>
      <c r="B334" t="s">
        <v>152</v>
      </c>
      <c r="C334" t="s">
        <v>318</v>
      </c>
      <c r="D334" t="s">
        <v>1911</v>
      </c>
      <c r="E334" t="s">
        <v>3399</v>
      </c>
      <c r="F334" t="s">
        <v>5102</v>
      </c>
      <c r="G334" t="s">
        <v>5635</v>
      </c>
      <c r="H334">
        <v>10467</v>
      </c>
      <c r="I334" t="s">
        <v>5696</v>
      </c>
      <c r="J334" t="s">
        <v>5696</v>
      </c>
      <c r="N334" t="s">
        <v>6739</v>
      </c>
      <c r="O334" t="s">
        <v>6783</v>
      </c>
      <c r="R334" t="s">
        <v>6797</v>
      </c>
      <c r="U334">
        <v>0</v>
      </c>
      <c r="V334" t="s">
        <v>6833</v>
      </c>
      <c r="X334" t="s">
        <v>6857</v>
      </c>
      <c r="Y334" t="s">
        <v>7192</v>
      </c>
      <c r="AA334" t="s">
        <v>9345</v>
      </c>
      <c r="AB334">
        <v>0</v>
      </c>
      <c r="AE334">
        <v>0</v>
      </c>
      <c r="AF334">
        <v>1</v>
      </c>
      <c r="AG334">
        <v>2</v>
      </c>
      <c r="AH334">
        <v>224.29</v>
      </c>
      <c r="AK334" t="s">
        <v>10966</v>
      </c>
      <c r="AL334">
        <v>47840</v>
      </c>
      <c r="AR334">
        <v>3.5</v>
      </c>
      <c r="AS334" t="s">
        <v>10961</v>
      </c>
      <c r="AT334" t="s">
        <v>296</v>
      </c>
      <c r="AV334" t="s">
        <v>11230</v>
      </c>
      <c r="AW334" t="s">
        <v>11145</v>
      </c>
      <c r="AX334" t="s">
        <v>11160</v>
      </c>
    </row>
    <row r="335" spans="1:50">
      <c r="A335" s="1">
        <f>HYPERLINK("https://lsnyc.legalserver.org/matter/dynamic-profile/view/1901236","19-1901236")</f>
        <v>0</v>
      </c>
      <c r="B335" t="s">
        <v>146</v>
      </c>
      <c r="C335" t="s">
        <v>592</v>
      </c>
      <c r="D335" t="s">
        <v>1912</v>
      </c>
      <c r="E335" t="s">
        <v>3400</v>
      </c>
      <c r="G335" t="s">
        <v>5642</v>
      </c>
      <c r="H335">
        <v>11422</v>
      </c>
      <c r="I335" t="s">
        <v>5696</v>
      </c>
      <c r="J335" t="s">
        <v>5696</v>
      </c>
      <c r="N335" t="s">
        <v>6739</v>
      </c>
      <c r="O335" t="s">
        <v>6767</v>
      </c>
      <c r="R335" t="s">
        <v>6798</v>
      </c>
      <c r="U335">
        <v>0</v>
      </c>
      <c r="V335" t="s">
        <v>6837</v>
      </c>
      <c r="X335" t="s">
        <v>6857</v>
      </c>
      <c r="Y335" t="s">
        <v>7193</v>
      </c>
      <c r="AA335" t="s">
        <v>9346</v>
      </c>
      <c r="AB335">
        <v>0</v>
      </c>
      <c r="AE335">
        <v>0</v>
      </c>
      <c r="AF335">
        <v>3</v>
      </c>
      <c r="AG335">
        <v>0</v>
      </c>
      <c r="AH335">
        <v>256.92</v>
      </c>
      <c r="AL335">
        <v>54800</v>
      </c>
      <c r="AR335">
        <v>0.9</v>
      </c>
      <c r="AS335" t="s">
        <v>11149</v>
      </c>
      <c r="AT335" t="s">
        <v>146</v>
      </c>
      <c r="AV335" t="s">
        <v>11230</v>
      </c>
      <c r="AW335" t="s">
        <v>11162</v>
      </c>
      <c r="AX335" t="s">
        <v>6828</v>
      </c>
    </row>
    <row r="336" spans="1:50">
      <c r="A336" s="1">
        <f>HYPERLINK("https://lsnyc.legalserver.org/matter/dynamic-profile/view/1898652","19-1898652")</f>
        <v>0</v>
      </c>
      <c r="B336" t="s">
        <v>155</v>
      </c>
      <c r="C336" t="s">
        <v>343</v>
      </c>
      <c r="D336" t="s">
        <v>1773</v>
      </c>
      <c r="E336" t="s">
        <v>3401</v>
      </c>
      <c r="F336" t="s">
        <v>5246</v>
      </c>
      <c r="G336" t="s">
        <v>5637</v>
      </c>
      <c r="H336">
        <v>11224</v>
      </c>
      <c r="I336" t="s">
        <v>5695</v>
      </c>
      <c r="J336" t="s">
        <v>5695</v>
      </c>
      <c r="N336" t="s">
        <v>6739</v>
      </c>
      <c r="O336" t="s">
        <v>6753</v>
      </c>
      <c r="P336" t="s">
        <v>5697</v>
      </c>
      <c r="R336" t="s">
        <v>6793</v>
      </c>
      <c r="S336" t="s">
        <v>6801</v>
      </c>
      <c r="U336">
        <v>0</v>
      </c>
      <c r="V336" t="s">
        <v>6835</v>
      </c>
      <c r="X336" t="s">
        <v>6857</v>
      </c>
      <c r="Y336" t="s">
        <v>7194</v>
      </c>
      <c r="Z336" t="s">
        <v>8929</v>
      </c>
      <c r="AB336">
        <v>0</v>
      </c>
      <c r="AD336" t="s">
        <v>10944</v>
      </c>
      <c r="AE336">
        <v>0</v>
      </c>
      <c r="AF336">
        <v>1</v>
      </c>
      <c r="AG336">
        <v>0</v>
      </c>
      <c r="AH336">
        <v>83.59</v>
      </c>
      <c r="AL336">
        <v>10440</v>
      </c>
      <c r="AR336">
        <v>0.7</v>
      </c>
      <c r="AS336" t="s">
        <v>6819</v>
      </c>
      <c r="AT336" t="s">
        <v>69</v>
      </c>
      <c r="AV336" t="s">
        <v>11230</v>
      </c>
      <c r="AW336" t="s">
        <v>11152</v>
      </c>
      <c r="AX336" t="s">
        <v>6819</v>
      </c>
    </row>
    <row r="337" spans="1:50">
      <c r="A337" s="1">
        <f>HYPERLINK("https://lsnyc.legalserver.org/matter/dynamic-profile/view/1900064","19-1900064")</f>
        <v>0</v>
      </c>
      <c r="B337" t="s">
        <v>77</v>
      </c>
      <c r="C337" t="s">
        <v>593</v>
      </c>
      <c r="D337" t="s">
        <v>1913</v>
      </c>
      <c r="E337" t="s">
        <v>3402</v>
      </c>
      <c r="F337" t="s">
        <v>5226</v>
      </c>
      <c r="G337" t="s">
        <v>5637</v>
      </c>
      <c r="H337">
        <v>11203</v>
      </c>
      <c r="I337" t="s">
        <v>5696</v>
      </c>
      <c r="J337" t="s">
        <v>5696</v>
      </c>
      <c r="N337" t="s">
        <v>6739</v>
      </c>
      <c r="O337" t="s">
        <v>6745</v>
      </c>
      <c r="R337" t="s">
        <v>6793</v>
      </c>
      <c r="U337">
        <v>0</v>
      </c>
      <c r="V337" t="s">
        <v>6835</v>
      </c>
      <c r="X337" t="s">
        <v>6857</v>
      </c>
      <c r="Y337" t="s">
        <v>7195</v>
      </c>
      <c r="AB337">
        <v>0</v>
      </c>
      <c r="AE337">
        <v>0</v>
      </c>
      <c r="AF337">
        <v>3</v>
      </c>
      <c r="AG337">
        <v>1</v>
      </c>
      <c r="AH337">
        <v>156.5</v>
      </c>
      <c r="AK337" t="s">
        <v>10974</v>
      </c>
      <c r="AL337">
        <v>40300</v>
      </c>
      <c r="AR337">
        <v>0.8</v>
      </c>
      <c r="AS337" t="s">
        <v>10954</v>
      </c>
      <c r="AT337" t="s">
        <v>77</v>
      </c>
      <c r="AV337" t="s">
        <v>11230</v>
      </c>
      <c r="AW337" t="s">
        <v>10957</v>
      </c>
      <c r="AX337" t="s">
        <v>10954</v>
      </c>
    </row>
    <row r="338" spans="1:50">
      <c r="A338" s="1">
        <f>HYPERLINK("https://lsnyc.legalserver.org/matter/dynamic-profile/view/1898656","19-1898656")</f>
        <v>0</v>
      </c>
      <c r="B338" t="s">
        <v>155</v>
      </c>
      <c r="C338" t="s">
        <v>594</v>
      </c>
      <c r="D338" t="s">
        <v>1914</v>
      </c>
      <c r="E338" t="s">
        <v>3403</v>
      </c>
      <c r="F338" t="s">
        <v>5247</v>
      </c>
      <c r="G338" t="s">
        <v>5637</v>
      </c>
      <c r="H338">
        <v>11222</v>
      </c>
      <c r="I338" t="s">
        <v>5695</v>
      </c>
      <c r="J338" t="s">
        <v>5695</v>
      </c>
      <c r="N338" t="s">
        <v>6739</v>
      </c>
      <c r="O338" t="s">
        <v>6753</v>
      </c>
      <c r="P338" t="s">
        <v>5697</v>
      </c>
      <c r="R338" t="s">
        <v>6793</v>
      </c>
      <c r="S338" t="s">
        <v>6801</v>
      </c>
      <c r="U338">
        <v>0</v>
      </c>
      <c r="V338" t="s">
        <v>6835</v>
      </c>
      <c r="X338" t="s">
        <v>6862</v>
      </c>
      <c r="Y338" t="s">
        <v>7196</v>
      </c>
      <c r="AB338">
        <v>0</v>
      </c>
      <c r="AD338" t="s">
        <v>6841</v>
      </c>
      <c r="AE338">
        <v>3</v>
      </c>
      <c r="AF338">
        <v>2</v>
      </c>
      <c r="AG338">
        <v>1</v>
      </c>
      <c r="AH338">
        <v>129.4</v>
      </c>
      <c r="AK338" t="s">
        <v>10966</v>
      </c>
      <c r="AL338">
        <v>27600</v>
      </c>
      <c r="AR338">
        <v>0.9</v>
      </c>
      <c r="AS338" t="s">
        <v>6819</v>
      </c>
      <c r="AT338" t="s">
        <v>69</v>
      </c>
      <c r="AV338" t="s">
        <v>11230</v>
      </c>
      <c r="AW338" t="s">
        <v>11152</v>
      </c>
      <c r="AX338" t="s">
        <v>6819</v>
      </c>
    </row>
    <row r="339" spans="1:50">
      <c r="A339" s="1">
        <f>HYPERLINK("https://lsnyc.legalserver.org/matter/dynamic-profile/view/1897583","19-1897583")</f>
        <v>0</v>
      </c>
      <c r="B339" t="s">
        <v>99</v>
      </c>
      <c r="C339" t="s">
        <v>595</v>
      </c>
      <c r="D339" t="s">
        <v>1762</v>
      </c>
      <c r="E339" t="s">
        <v>3404</v>
      </c>
      <c r="F339" t="s">
        <v>5162</v>
      </c>
      <c r="G339" t="s">
        <v>5637</v>
      </c>
      <c r="H339">
        <v>11233</v>
      </c>
      <c r="I339" t="s">
        <v>5696</v>
      </c>
      <c r="J339" t="s">
        <v>5696</v>
      </c>
      <c r="N339" t="s">
        <v>6739</v>
      </c>
      <c r="O339" t="s">
        <v>6754</v>
      </c>
      <c r="R339" t="s">
        <v>6794</v>
      </c>
      <c r="U339">
        <v>1237</v>
      </c>
      <c r="V339" t="s">
        <v>6835</v>
      </c>
      <c r="W339" t="s">
        <v>6841</v>
      </c>
      <c r="X339" t="s">
        <v>6857</v>
      </c>
      <c r="Y339" t="s">
        <v>7197</v>
      </c>
      <c r="AB339">
        <v>120</v>
      </c>
      <c r="AC339" t="s">
        <v>10940</v>
      </c>
      <c r="AE339">
        <v>5</v>
      </c>
      <c r="AF339">
        <v>4</v>
      </c>
      <c r="AG339">
        <v>1</v>
      </c>
      <c r="AH339">
        <v>144.1</v>
      </c>
      <c r="AK339" t="s">
        <v>10966</v>
      </c>
      <c r="AL339">
        <v>43475.72</v>
      </c>
      <c r="AR339">
        <v>3.45</v>
      </c>
      <c r="AS339" t="s">
        <v>11157</v>
      </c>
      <c r="AT339" t="s">
        <v>11184</v>
      </c>
      <c r="AV339" t="s">
        <v>11230</v>
      </c>
      <c r="AW339" t="s">
        <v>11159</v>
      </c>
      <c r="AX339" t="s">
        <v>11157</v>
      </c>
    </row>
    <row r="340" spans="1:50">
      <c r="A340" s="1">
        <f>HYPERLINK("https://lsnyc.legalserver.org/matter/dynamic-profile/view/1900097","19-1900097")</f>
        <v>0</v>
      </c>
      <c r="B340" t="s">
        <v>160</v>
      </c>
      <c r="C340" t="s">
        <v>596</v>
      </c>
      <c r="D340" t="s">
        <v>1915</v>
      </c>
      <c r="E340" t="s">
        <v>3405</v>
      </c>
      <c r="F340" t="s">
        <v>5240</v>
      </c>
      <c r="G340" t="s">
        <v>5637</v>
      </c>
      <c r="H340">
        <v>11215</v>
      </c>
      <c r="I340" t="s">
        <v>5696</v>
      </c>
      <c r="J340" t="s">
        <v>5696</v>
      </c>
      <c r="N340" t="s">
        <v>6739</v>
      </c>
      <c r="O340" t="s">
        <v>6756</v>
      </c>
      <c r="R340" t="s">
        <v>6793</v>
      </c>
      <c r="U340">
        <v>0</v>
      </c>
      <c r="V340" t="s">
        <v>6835</v>
      </c>
      <c r="X340" t="s">
        <v>6857</v>
      </c>
      <c r="Y340" t="s">
        <v>7198</v>
      </c>
      <c r="AB340">
        <v>0</v>
      </c>
      <c r="AE340">
        <v>0</v>
      </c>
      <c r="AF340">
        <v>1</v>
      </c>
      <c r="AG340">
        <v>0</v>
      </c>
      <c r="AH340">
        <v>80.06</v>
      </c>
      <c r="AK340" t="s">
        <v>10966</v>
      </c>
      <c r="AL340">
        <v>10000</v>
      </c>
      <c r="AR340">
        <v>1</v>
      </c>
      <c r="AS340" t="s">
        <v>10957</v>
      </c>
      <c r="AT340" t="s">
        <v>160</v>
      </c>
      <c r="AV340" t="s">
        <v>11230</v>
      </c>
      <c r="AW340" t="s">
        <v>10954</v>
      </c>
      <c r="AX340" t="s">
        <v>10954</v>
      </c>
    </row>
    <row r="341" spans="1:50">
      <c r="A341" s="1">
        <f>HYPERLINK("https://lsnyc.legalserver.org/matter/dynamic-profile/view/1903045","19-1903045")</f>
        <v>0</v>
      </c>
      <c r="B341" t="s">
        <v>75</v>
      </c>
      <c r="C341" t="s">
        <v>597</v>
      </c>
      <c r="D341" t="s">
        <v>1916</v>
      </c>
      <c r="E341" t="s">
        <v>3406</v>
      </c>
      <c r="F341" t="s">
        <v>5179</v>
      </c>
      <c r="G341" t="s">
        <v>5638</v>
      </c>
      <c r="H341">
        <v>10037</v>
      </c>
      <c r="I341" t="s">
        <v>5696</v>
      </c>
      <c r="J341" t="s">
        <v>5696</v>
      </c>
      <c r="N341" t="s">
        <v>6739</v>
      </c>
      <c r="O341" t="s">
        <v>6753</v>
      </c>
      <c r="R341" t="s">
        <v>6800</v>
      </c>
      <c r="U341">
        <v>0</v>
      </c>
      <c r="V341" t="s">
        <v>6836</v>
      </c>
      <c r="X341" t="s">
        <v>6857</v>
      </c>
      <c r="Y341" t="s">
        <v>7199</v>
      </c>
      <c r="AB341">
        <v>0</v>
      </c>
      <c r="AE341">
        <v>0</v>
      </c>
      <c r="AF341">
        <v>1</v>
      </c>
      <c r="AG341">
        <v>1</v>
      </c>
      <c r="AH341">
        <v>252.99</v>
      </c>
      <c r="AK341" t="s">
        <v>10966</v>
      </c>
      <c r="AL341">
        <v>42780</v>
      </c>
      <c r="AR341">
        <v>1.9</v>
      </c>
      <c r="AS341" t="s">
        <v>6823</v>
      </c>
      <c r="AT341" t="s">
        <v>11188</v>
      </c>
      <c r="AV341" t="s">
        <v>11230</v>
      </c>
      <c r="AW341" t="s">
        <v>11138</v>
      </c>
      <c r="AX341" t="s">
        <v>6823</v>
      </c>
    </row>
    <row r="342" spans="1:50">
      <c r="A342" s="1">
        <f>HYPERLINK("https://lsnyc.legalserver.org/matter/dynamic-profile/view/1895115","19-1895115")</f>
        <v>0</v>
      </c>
      <c r="B342" t="s">
        <v>132</v>
      </c>
      <c r="C342" t="s">
        <v>598</v>
      </c>
      <c r="D342" t="s">
        <v>1251</v>
      </c>
      <c r="E342" t="s">
        <v>3407</v>
      </c>
      <c r="G342" t="s">
        <v>5637</v>
      </c>
      <c r="H342">
        <v>11237</v>
      </c>
      <c r="I342" t="s">
        <v>5696</v>
      </c>
      <c r="J342" t="s">
        <v>5696</v>
      </c>
      <c r="N342" t="s">
        <v>6739</v>
      </c>
      <c r="O342" t="s">
        <v>6753</v>
      </c>
      <c r="R342" t="s">
        <v>6793</v>
      </c>
      <c r="U342">
        <v>0</v>
      </c>
      <c r="V342" t="s">
        <v>6835</v>
      </c>
      <c r="X342" t="s">
        <v>6857</v>
      </c>
      <c r="Y342" t="s">
        <v>7200</v>
      </c>
      <c r="AB342">
        <v>0</v>
      </c>
      <c r="AE342">
        <v>0</v>
      </c>
      <c r="AF342">
        <v>1</v>
      </c>
      <c r="AG342">
        <v>0</v>
      </c>
      <c r="AH342">
        <v>288.23</v>
      </c>
      <c r="AK342" t="s">
        <v>10966</v>
      </c>
      <c r="AL342">
        <v>36000</v>
      </c>
      <c r="AR342">
        <v>2.1</v>
      </c>
      <c r="AS342" t="s">
        <v>11119</v>
      </c>
      <c r="AT342" t="s">
        <v>240</v>
      </c>
      <c r="AV342" t="s">
        <v>11230</v>
      </c>
      <c r="AW342" t="s">
        <v>11119</v>
      </c>
      <c r="AX342" t="s">
        <v>11119</v>
      </c>
    </row>
    <row r="343" spans="1:50">
      <c r="A343" s="1">
        <f>HYPERLINK("https://lsnyc.legalserver.org/matter/dynamic-profile/view/1898282","19-1898282")</f>
        <v>0</v>
      </c>
      <c r="B343" t="s">
        <v>153</v>
      </c>
      <c r="C343" t="s">
        <v>599</v>
      </c>
      <c r="D343" t="s">
        <v>1917</v>
      </c>
      <c r="E343" t="s">
        <v>3408</v>
      </c>
      <c r="F343" t="s">
        <v>5109</v>
      </c>
      <c r="G343" t="s">
        <v>5638</v>
      </c>
      <c r="H343">
        <v>10025</v>
      </c>
      <c r="I343" t="s">
        <v>5696</v>
      </c>
      <c r="J343" t="s">
        <v>5696</v>
      </c>
      <c r="N343" t="s">
        <v>6739</v>
      </c>
      <c r="O343" t="s">
        <v>6753</v>
      </c>
      <c r="R343" t="s">
        <v>6793</v>
      </c>
      <c r="U343">
        <v>0</v>
      </c>
      <c r="V343" t="s">
        <v>6836</v>
      </c>
      <c r="X343" t="s">
        <v>6857</v>
      </c>
      <c r="Y343" t="s">
        <v>7201</v>
      </c>
      <c r="AB343">
        <v>0</v>
      </c>
      <c r="AE343">
        <v>0</v>
      </c>
      <c r="AF343">
        <v>1</v>
      </c>
      <c r="AG343">
        <v>0</v>
      </c>
      <c r="AH343">
        <v>344.28</v>
      </c>
      <c r="AK343" t="s">
        <v>10966</v>
      </c>
      <c r="AL343">
        <v>43000</v>
      </c>
      <c r="AR343">
        <v>4.1</v>
      </c>
      <c r="AS343" t="s">
        <v>6823</v>
      </c>
      <c r="AT343" t="s">
        <v>240</v>
      </c>
      <c r="AV343" t="s">
        <v>11230</v>
      </c>
      <c r="AW343" t="s">
        <v>11156</v>
      </c>
      <c r="AX343" t="s">
        <v>11156</v>
      </c>
    </row>
    <row r="344" spans="1:50">
      <c r="A344" s="1">
        <f>HYPERLINK("https://lsnyc.legalserver.org/matter/dynamic-profile/view/1904271","19-1904271")</f>
        <v>0</v>
      </c>
      <c r="B344" t="s">
        <v>161</v>
      </c>
      <c r="C344" t="s">
        <v>445</v>
      </c>
      <c r="D344" t="s">
        <v>1769</v>
      </c>
      <c r="E344" t="s">
        <v>3409</v>
      </c>
      <c r="G344" t="s">
        <v>5659</v>
      </c>
      <c r="H344">
        <v>11413</v>
      </c>
      <c r="I344" t="s">
        <v>5696</v>
      </c>
      <c r="J344" t="s">
        <v>5696</v>
      </c>
      <c r="N344" t="s">
        <v>6739</v>
      </c>
      <c r="O344" t="s">
        <v>6778</v>
      </c>
      <c r="R344" t="s">
        <v>6798</v>
      </c>
      <c r="U344">
        <v>0</v>
      </c>
      <c r="V344" t="s">
        <v>6837</v>
      </c>
      <c r="X344" t="s">
        <v>6857</v>
      </c>
      <c r="Y344" t="s">
        <v>7202</v>
      </c>
      <c r="AB344">
        <v>0</v>
      </c>
      <c r="AE344">
        <v>0</v>
      </c>
      <c r="AF344">
        <v>2</v>
      </c>
      <c r="AG344">
        <v>0</v>
      </c>
      <c r="AH344">
        <v>397.4</v>
      </c>
      <c r="AK344" t="s">
        <v>10966</v>
      </c>
      <c r="AL344">
        <v>67200</v>
      </c>
      <c r="AR344">
        <v>2</v>
      </c>
      <c r="AS344" t="s">
        <v>6810</v>
      </c>
      <c r="AT344" t="s">
        <v>11213</v>
      </c>
      <c r="AV344" t="s">
        <v>11230</v>
      </c>
      <c r="AW344" t="s">
        <v>6813</v>
      </c>
      <c r="AX344" t="s">
        <v>6822</v>
      </c>
    </row>
    <row r="345" spans="1:50">
      <c r="A345" s="1">
        <f>HYPERLINK("https://lsnyc.legalserver.org/matter/dynamic-profile/view/1898253","19-1898253")</f>
        <v>0</v>
      </c>
      <c r="B345" t="s">
        <v>162</v>
      </c>
      <c r="C345" t="s">
        <v>600</v>
      </c>
      <c r="D345" t="s">
        <v>1918</v>
      </c>
      <c r="E345" t="s">
        <v>3410</v>
      </c>
      <c r="G345" t="s">
        <v>5636</v>
      </c>
      <c r="H345">
        <v>10305</v>
      </c>
      <c r="I345" t="s">
        <v>5696</v>
      </c>
      <c r="J345" t="s">
        <v>5696</v>
      </c>
      <c r="N345" t="s">
        <v>6739</v>
      </c>
      <c r="O345" t="s">
        <v>6779</v>
      </c>
      <c r="R345" t="s">
        <v>6799</v>
      </c>
      <c r="U345">
        <v>0</v>
      </c>
      <c r="V345" t="s">
        <v>6834</v>
      </c>
      <c r="X345" t="s">
        <v>6857</v>
      </c>
      <c r="Y345" t="s">
        <v>7203</v>
      </c>
      <c r="AB345">
        <v>0</v>
      </c>
      <c r="AE345">
        <v>0</v>
      </c>
      <c r="AF345">
        <v>2</v>
      </c>
      <c r="AG345">
        <v>3</v>
      </c>
      <c r="AH345">
        <v>413.66</v>
      </c>
      <c r="AK345" t="s">
        <v>10966</v>
      </c>
      <c r="AL345">
        <v>124800</v>
      </c>
      <c r="AR345">
        <v>5.6</v>
      </c>
      <c r="AS345" t="s">
        <v>6819</v>
      </c>
      <c r="AT345" t="s">
        <v>54</v>
      </c>
      <c r="AV345" t="s">
        <v>11230</v>
      </c>
      <c r="AW345" t="s">
        <v>11146</v>
      </c>
      <c r="AX345" t="s">
        <v>6819</v>
      </c>
    </row>
    <row r="346" spans="1:50">
      <c r="A346" s="1">
        <f>HYPERLINK("https://lsnyc.legalserver.org/matter/dynamic-profile/view/1901036","19-1901036")</f>
        <v>0</v>
      </c>
      <c r="B346" t="s">
        <v>163</v>
      </c>
      <c r="C346" t="s">
        <v>601</v>
      </c>
      <c r="D346" t="s">
        <v>1919</v>
      </c>
      <c r="E346" t="s">
        <v>3411</v>
      </c>
      <c r="G346" t="s">
        <v>5637</v>
      </c>
      <c r="H346">
        <v>11233</v>
      </c>
      <c r="I346" t="s">
        <v>5696</v>
      </c>
      <c r="J346" t="s">
        <v>5696</v>
      </c>
      <c r="N346" t="s">
        <v>6739</v>
      </c>
      <c r="O346" t="s">
        <v>6780</v>
      </c>
      <c r="R346" t="s">
        <v>6798</v>
      </c>
      <c r="U346">
        <v>0</v>
      </c>
      <c r="V346" t="s">
        <v>6835</v>
      </c>
      <c r="X346" t="s">
        <v>6857</v>
      </c>
      <c r="Y346" t="s">
        <v>7204</v>
      </c>
      <c r="AB346">
        <v>0</v>
      </c>
      <c r="AE346">
        <v>0</v>
      </c>
      <c r="AF346">
        <v>2</v>
      </c>
      <c r="AG346">
        <v>1</v>
      </c>
      <c r="AH346">
        <v>461.32</v>
      </c>
      <c r="AK346" t="s">
        <v>10966</v>
      </c>
      <c r="AL346">
        <v>98400</v>
      </c>
      <c r="AR346">
        <v>2.3</v>
      </c>
      <c r="AS346" t="s">
        <v>6824</v>
      </c>
      <c r="AT346" t="s">
        <v>128</v>
      </c>
      <c r="AV346" t="s">
        <v>11230</v>
      </c>
      <c r="AW346" t="s">
        <v>11143</v>
      </c>
      <c r="AX346" t="s">
        <v>6824</v>
      </c>
    </row>
    <row r="347" spans="1:50">
      <c r="A347" s="1">
        <f>HYPERLINK("https://lsnyc.legalserver.org/matter/dynamic-profile/view/1895682","19-1895682")</f>
        <v>0</v>
      </c>
      <c r="B347" t="s">
        <v>126</v>
      </c>
      <c r="C347" t="s">
        <v>602</v>
      </c>
      <c r="D347" t="s">
        <v>1920</v>
      </c>
      <c r="E347" t="s">
        <v>3412</v>
      </c>
      <c r="F347" t="s">
        <v>5100</v>
      </c>
      <c r="G347" t="s">
        <v>5635</v>
      </c>
      <c r="H347">
        <v>10458</v>
      </c>
      <c r="I347" t="s">
        <v>5696</v>
      </c>
      <c r="J347" t="s">
        <v>5696</v>
      </c>
      <c r="N347" t="s">
        <v>6739</v>
      </c>
      <c r="O347" t="s">
        <v>6764</v>
      </c>
      <c r="R347" t="s">
        <v>6797</v>
      </c>
      <c r="U347">
        <v>0</v>
      </c>
      <c r="V347" t="s">
        <v>6833</v>
      </c>
      <c r="X347" t="s">
        <v>6857</v>
      </c>
      <c r="Y347" t="s">
        <v>7205</v>
      </c>
      <c r="AB347">
        <v>0</v>
      </c>
      <c r="AE347">
        <v>0</v>
      </c>
      <c r="AF347">
        <v>1</v>
      </c>
      <c r="AG347">
        <v>0</v>
      </c>
      <c r="AH347">
        <v>86.47</v>
      </c>
      <c r="AK347" t="s">
        <v>10967</v>
      </c>
      <c r="AL347">
        <v>10800</v>
      </c>
      <c r="AR347">
        <v>1.25</v>
      </c>
      <c r="AS347" t="s">
        <v>11124</v>
      </c>
      <c r="AT347" t="s">
        <v>126</v>
      </c>
      <c r="AV347" t="s">
        <v>11230</v>
      </c>
      <c r="AW347" t="s">
        <v>10960</v>
      </c>
      <c r="AX347" t="s">
        <v>11124</v>
      </c>
    </row>
    <row r="348" spans="1:50">
      <c r="A348" s="1">
        <f>HYPERLINK("https://lsnyc.legalserver.org/matter/dynamic-profile/view/1900890","19-1900890")</f>
        <v>0</v>
      </c>
      <c r="B348" t="s">
        <v>163</v>
      </c>
      <c r="C348" t="s">
        <v>449</v>
      </c>
      <c r="D348" t="s">
        <v>1921</v>
      </c>
      <c r="E348" t="s">
        <v>3413</v>
      </c>
      <c r="G348" t="s">
        <v>5637</v>
      </c>
      <c r="H348">
        <v>11236</v>
      </c>
      <c r="I348" t="s">
        <v>5696</v>
      </c>
      <c r="J348" t="s">
        <v>5696</v>
      </c>
      <c r="N348" t="s">
        <v>6739</v>
      </c>
      <c r="O348" t="s">
        <v>6769</v>
      </c>
      <c r="R348" t="s">
        <v>6798</v>
      </c>
      <c r="U348">
        <v>0</v>
      </c>
      <c r="V348" t="s">
        <v>6835</v>
      </c>
      <c r="X348" t="s">
        <v>6857</v>
      </c>
      <c r="Y348" t="s">
        <v>7206</v>
      </c>
      <c r="AB348">
        <v>0</v>
      </c>
      <c r="AE348">
        <v>0</v>
      </c>
      <c r="AF348">
        <v>2</v>
      </c>
      <c r="AG348">
        <v>0</v>
      </c>
      <c r="AH348">
        <v>0</v>
      </c>
      <c r="AL348">
        <v>0</v>
      </c>
      <c r="AR348">
        <v>3</v>
      </c>
      <c r="AS348" t="s">
        <v>6824</v>
      </c>
      <c r="AT348" t="s">
        <v>128</v>
      </c>
      <c r="AV348" t="s">
        <v>11230</v>
      </c>
      <c r="AW348" t="s">
        <v>11148</v>
      </c>
      <c r="AX348" t="s">
        <v>6824</v>
      </c>
    </row>
    <row r="349" spans="1:50">
      <c r="A349" s="1">
        <f>HYPERLINK("https://lsnyc.legalserver.org/matter/dynamic-profile/view/1901286","19-1901286")</f>
        <v>0</v>
      </c>
      <c r="B349" t="s">
        <v>128</v>
      </c>
      <c r="C349" t="s">
        <v>603</v>
      </c>
      <c r="D349" t="s">
        <v>1395</v>
      </c>
      <c r="E349" t="s">
        <v>3414</v>
      </c>
      <c r="G349" t="s">
        <v>5637</v>
      </c>
      <c r="H349">
        <v>11203</v>
      </c>
      <c r="I349" t="s">
        <v>5696</v>
      </c>
      <c r="J349" t="s">
        <v>5696</v>
      </c>
      <c r="N349" t="s">
        <v>6739</v>
      </c>
      <c r="O349" t="s">
        <v>6769</v>
      </c>
      <c r="R349" t="s">
        <v>6798</v>
      </c>
      <c r="U349">
        <v>0</v>
      </c>
      <c r="V349" t="s">
        <v>6835</v>
      </c>
      <c r="X349" t="s">
        <v>6857</v>
      </c>
      <c r="Y349" t="s">
        <v>7207</v>
      </c>
      <c r="AB349">
        <v>0</v>
      </c>
      <c r="AE349">
        <v>0</v>
      </c>
      <c r="AF349">
        <v>1</v>
      </c>
      <c r="AG349">
        <v>0</v>
      </c>
      <c r="AH349">
        <v>0</v>
      </c>
      <c r="AL349">
        <v>0</v>
      </c>
      <c r="AR349">
        <v>2.7</v>
      </c>
      <c r="AS349" t="s">
        <v>11150</v>
      </c>
      <c r="AT349" t="s">
        <v>128</v>
      </c>
      <c r="AV349" t="s">
        <v>11230</v>
      </c>
      <c r="AW349" t="s">
        <v>11150</v>
      </c>
      <c r="AX349" t="s">
        <v>6819</v>
      </c>
    </row>
    <row r="350" spans="1:50">
      <c r="A350" s="1">
        <f>HYPERLINK("https://lsnyc.legalserver.org/matter/dynamic-profile/view/1902420","19-1902420")</f>
        <v>0</v>
      </c>
      <c r="B350" t="s">
        <v>146</v>
      </c>
      <c r="C350" t="s">
        <v>604</v>
      </c>
      <c r="D350" t="s">
        <v>1922</v>
      </c>
      <c r="E350" t="s">
        <v>3415</v>
      </c>
      <c r="G350" t="s">
        <v>5660</v>
      </c>
      <c r="H350">
        <v>11423</v>
      </c>
      <c r="I350" t="s">
        <v>5696</v>
      </c>
      <c r="J350" t="s">
        <v>5696</v>
      </c>
      <c r="N350" t="s">
        <v>6739</v>
      </c>
      <c r="O350" t="s">
        <v>6767</v>
      </c>
      <c r="R350" t="s">
        <v>6798</v>
      </c>
      <c r="U350">
        <v>0</v>
      </c>
      <c r="V350" t="s">
        <v>6837</v>
      </c>
      <c r="X350" t="s">
        <v>6857</v>
      </c>
      <c r="Y350" t="s">
        <v>7208</v>
      </c>
      <c r="AB350">
        <v>0</v>
      </c>
      <c r="AE350">
        <v>0</v>
      </c>
      <c r="AF350">
        <v>2</v>
      </c>
      <c r="AG350">
        <v>0</v>
      </c>
      <c r="AH350">
        <v>70.95999999999999</v>
      </c>
      <c r="AL350">
        <v>12000</v>
      </c>
      <c r="AR350">
        <v>1</v>
      </c>
      <c r="AS350" t="s">
        <v>11117</v>
      </c>
      <c r="AT350" t="s">
        <v>146</v>
      </c>
      <c r="AV350" t="s">
        <v>11230</v>
      </c>
      <c r="AW350" t="s">
        <v>11117</v>
      </c>
      <c r="AX350" t="s">
        <v>6808</v>
      </c>
    </row>
    <row r="351" spans="1:50">
      <c r="A351" s="1">
        <f>HYPERLINK("https://lsnyc.legalserver.org/matter/dynamic-profile/view/1900168","19-1900168")</f>
        <v>0</v>
      </c>
      <c r="B351" t="s">
        <v>128</v>
      </c>
      <c r="C351" t="s">
        <v>605</v>
      </c>
      <c r="D351" t="s">
        <v>1923</v>
      </c>
      <c r="E351" t="s">
        <v>3416</v>
      </c>
      <c r="G351" t="s">
        <v>5637</v>
      </c>
      <c r="H351">
        <v>11204</v>
      </c>
      <c r="I351" t="s">
        <v>5696</v>
      </c>
      <c r="J351" t="s">
        <v>5696</v>
      </c>
      <c r="N351" t="s">
        <v>6739</v>
      </c>
      <c r="O351" t="s">
        <v>6776</v>
      </c>
      <c r="R351" t="s">
        <v>6798</v>
      </c>
      <c r="U351">
        <v>0</v>
      </c>
      <c r="V351" t="s">
        <v>6835</v>
      </c>
      <c r="X351" t="s">
        <v>6859</v>
      </c>
      <c r="Y351" t="s">
        <v>7209</v>
      </c>
      <c r="AB351">
        <v>0</v>
      </c>
      <c r="AE351">
        <v>0</v>
      </c>
      <c r="AF351">
        <v>1</v>
      </c>
      <c r="AG351">
        <v>0</v>
      </c>
      <c r="AH351">
        <v>81.67</v>
      </c>
      <c r="AL351">
        <v>10200</v>
      </c>
      <c r="AR351">
        <v>1.2</v>
      </c>
      <c r="AS351" t="s">
        <v>6895</v>
      </c>
      <c r="AT351" t="s">
        <v>128</v>
      </c>
      <c r="AV351" t="s">
        <v>11230</v>
      </c>
      <c r="AW351" t="s">
        <v>11155</v>
      </c>
      <c r="AX351" t="s">
        <v>6813</v>
      </c>
    </row>
    <row r="352" spans="1:50">
      <c r="A352" s="1">
        <f>HYPERLINK("https://lsnyc.legalserver.org/matter/dynamic-profile/view/1900166","19-1900166")</f>
        <v>0</v>
      </c>
      <c r="B352" t="s">
        <v>151</v>
      </c>
      <c r="C352" t="s">
        <v>491</v>
      </c>
      <c r="D352" t="s">
        <v>1240</v>
      </c>
      <c r="E352" t="s">
        <v>3417</v>
      </c>
      <c r="G352" t="s">
        <v>5637</v>
      </c>
      <c r="H352">
        <v>11234</v>
      </c>
      <c r="I352" t="s">
        <v>5696</v>
      </c>
      <c r="J352" t="s">
        <v>5696</v>
      </c>
      <c r="N352" t="s">
        <v>6739</v>
      </c>
      <c r="O352" t="s">
        <v>6769</v>
      </c>
      <c r="R352" t="s">
        <v>6798</v>
      </c>
      <c r="U352">
        <v>0</v>
      </c>
      <c r="V352" t="s">
        <v>6835</v>
      </c>
      <c r="X352" t="s">
        <v>6857</v>
      </c>
      <c r="Y352" t="s">
        <v>7210</v>
      </c>
      <c r="AB352">
        <v>0</v>
      </c>
      <c r="AE352">
        <v>0</v>
      </c>
      <c r="AF352">
        <v>2</v>
      </c>
      <c r="AG352">
        <v>0</v>
      </c>
      <c r="AH352">
        <v>131.28</v>
      </c>
      <c r="AL352">
        <v>22200</v>
      </c>
      <c r="AR352">
        <v>3.3</v>
      </c>
      <c r="AS352" t="s">
        <v>11135</v>
      </c>
      <c r="AT352" t="s">
        <v>128</v>
      </c>
      <c r="AV352" t="s">
        <v>11230</v>
      </c>
      <c r="AW352" t="s">
        <v>11160</v>
      </c>
      <c r="AX352" t="s">
        <v>11135</v>
      </c>
    </row>
    <row r="353" spans="1:50">
      <c r="A353" s="1">
        <f>HYPERLINK("https://lsnyc.legalserver.org/matter/dynamic-profile/view/1899164","19-1899164")</f>
        <v>0</v>
      </c>
      <c r="B353" t="s">
        <v>128</v>
      </c>
      <c r="C353" t="s">
        <v>606</v>
      </c>
      <c r="D353" t="s">
        <v>1924</v>
      </c>
      <c r="E353" t="s">
        <v>3418</v>
      </c>
      <c r="G353" t="s">
        <v>5637</v>
      </c>
      <c r="H353">
        <v>11203</v>
      </c>
      <c r="I353" t="s">
        <v>5696</v>
      </c>
      <c r="J353" t="s">
        <v>5696</v>
      </c>
      <c r="N353" t="s">
        <v>6739</v>
      </c>
      <c r="O353" t="s">
        <v>6769</v>
      </c>
      <c r="R353" t="s">
        <v>6798</v>
      </c>
      <c r="U353">
        <v>0</v>
      </c>
      <c r="V353" t="s">
        <v>6835</v>
      </c>
      <c r="X353" t="s">
        <v>6857</v>
      </c>
      <c r="Y353" t="s">
        <v>7211</v>
      </c>
      <c r="AB353">
        <v>0</v>
      </c>
      <c r="AE353">
        <v>0</v>
      </c>
      <c r="AF353">
        <v>1</v>
      </c>
      <c r="AG353">
        <v>0</v>
      </c>
      <c r="AH353">
        <v>144.12</v>
      </c>
      <c r="AL353">
        <v>18000</v>
      </c>
      <c r="AR353">
        <v>1</v>
      </c>
      <c r="AS353" t="s">
        <v>11128</v>
      </c>
      <c r="AT353" t="s">
        <v>128</v>
      </c>
      <c r="AV353" t="s">
        <v>11230</v>
      </c>
      <c r="AW353" t="s">
        <v>11128</v>
      </c>
      <c r="AX353" t="s">
        <v>6819</v>
      </c>
    </row>
    <row r="354" spans="1:50">
      <c r="A354" s="1">
        <f>HYPERLINK("https://lsnyc.legalserver.org/matter/dynamic-profile/view/1894714","19-1894714")</f>
        <v>0</v>
      </c>
      <c r="B354" t="s">
        <v>128</v>
      </c>
      <c r="C354" t="s">
        <v>607</v>
      </c>
      <c r="D354" t="s">
        <v>1925</v>
      </c>
      <c r="E354" t="s">
        <v>3419</v>
      </c>
      <c r="G354" t="s">
        <v>5637</v>
      </c>
      <c r="H354">
        <v>11222</v>
      </c>
      <c r="I354" t="s">
        <v>5696</v>
      </c>
      <c r="J354" t="s">
        <v>5696</v>
      </c>
      <c r="N354" t="s">
        <v>6739</v>
      </c>
      <c r="O354" t="s">
        <v>6776</v>
      </c>
      <c r="R354" t="s">
        <v>6798</v>
      </c>
      <c r="U354">
        <v>0</v>
      </c>
      <c r="V354" t="s">
        <v>6835</v>
      </c>
      <c r="X354" t="s">
        <v>6857</v>
      </c>
      <c r="Y354" t="s">
        <v>7212</v>
      </c>
      <c r="AB354">
        <v>0</v>
      </c>
      <c r="AE354">
        <v>0</v>
      </c>
      <c r="AF354">
        <v>2</v>
      </c>
      <c r="AG354">
        <v>0</v>
      </c>
      <c r="AH354">
        <v>149.02</v>
      </c>
      <c r="AL354">
        <v>25200</v>
      </c>
      <c r="AR354">
        <v>0.6</v>
      </c>
      <c r="AS354" t="s">
        <v>11129</v>
      </c>
      <c r="AT354" t="s">
        <v>128</v>
      </c>
      <c r="AV354" t="s">
        <v>11230</v>
      </c>
      <c r="AW354" t="s">
        <v>10962</v>
      </c>
      <c r="AX354" t="s">
        <v>11129</v>
      </c>
    </row>
    <row r="355" spans="1:50">
      <c r="A355" s="1">
        <f>HYPERLINK("https://lsnyc.legalserver.org/matter/dynamic-profile/view/1902134","19-1902134")</f>
        <v>0</v>
      </c>
      <c r="B355" t="s">
        <v>128</v>
      </c>
      <c r="C355" t="s">
        <v>608</v>
      </c>
      <c r="D355" t="s">
        <v>1251</v>
      </c>
      <c r="E355" t="s">
        <v>3420</v>
      </c>
      <c r="G355" t="s">
        <v>5637</v>
      </c>
      <c r="H355">
        <v>11203</v>
      </c>
      <c r="I355" t="s">
        <v>5696</v>
      </c>
      <c r="J355" t="s">
        <v>5696</v>
      </c>
      <c r="N355" t="s">
        <v>6739</v>
      </c>
      <c r="O355" t="s">
        <v>6776</v>
      </c>
      <c r="R355" t="s">
        <v>6798</v>
      </c>
      <c r="U355">
        <v>0</v>
      </c>
      <c r="V355" t="s">
        <v>6835</v>
      </c>
      <c r="X355" t="s">
        <v>6859</v>
      </c>
      <c r="Y355" t="s">
        <v>7213</v>
      </c>
      <c r="AB355">
        <v>0</v>
      </c>
      <c r="AE355">
        <v>0</v>
      </c>
      <c r="AF355">
        <v>1</v>
      </c>
      <c r="AG355">
        <v>0</v>
      </c>
      <c r="AH355">
        <v>182.55</v>
      </c>
      <c r="AL355">
        <v>22800</v>
      </c>
      <c r="AR355">
        <v>0.2</v>
      </c>
      <c r="AS355" t="s">
        <v>11131</v>
      </c>
      <c r="AT355" t="s">
        <v>128</v>
      </c>
      <c r="AV355" t="s">
        <v>11230</v>
      </c>
      <c r="AW355" t="s">
        <v>11137</v>
      </c>
      <c r="AX355" t="s">
        <v>6813</v>
      </c>
    </row>
    <row r="356" spans="1:50">
      <c r="A356" s="1">
        <f>HYPERLINK("https://lsnyc.legalserver.org/matter/dynamic-profile/view/1898921","19-1898921")</f>
        <v>0</v>
      </c>
      <c r="B356" t="s">
        <v>128</v>
      </c>
      <c r="C356" t="s">
        <v>609</v>
      </c>
      <c r="D356" t="s">
        <v>1926</v>
      </c>
      <c r="E356" t="s">
        <v>3421</v>
      </c>
      <c r="G356" t="s">
        <v>5637</v>
      </c>
      <c r="H356">
        <v>11207</v>
      </c>
      <c r="I356" t="s">
        <v>5696</v>
      </c>
      <c r="J356" t="s">
        <v>5696</v>
      </c>
      <c r="N356" t="s">
        <v>6739</v>
      </c>
      <c r="O356" t="s">
        <v>6780</v>
      </c>
      <c r="R356" t="s">
        <v>6799</v>
      </c>
      <c r="U356">
        <v>0</v>
      </c>
      <c r="V356" t="s">
        <v>6835</v>
      </c>
      <c r="X356" t="s">
        <v>6857</v>
      </c>
      <c r="Y356" t="s">
        <v>7214</v>
      </c>
      <c r="AB356">
        <v>0</v>
      </c>
      <c r="AE356">
        <v>0</v>
      </c>
      <c r="AF356">
        <v>4</v>
      </c>
      <c r="AG356">
        <v>1</v>
      </c>
      <c r="AH356">
        <v>218.76</v>
      </c>
      <c r="AL356">
        <v>66000</v>
      </c>
      <c r="AR356">
        <v>2.5</v>
      </c>
      <c r="AS356" t="s">
        <v>6895</v>
      </c>
      <c r="AT356" t="s">
        <v>128</v>
      </c>
      <c r="AV356" t="s">
        <v>11230</v>
      </c>
      <c r="AW356" t="s">
        <v>10959</v>
      </c>
      <c r="AX356" t="s">
        <v>6819</v>
      </c>
    </row>
    <row r="357" spans="1:50">
      <c r="A357" s="1">
        <f>HYPERLINK("https://lsnyc.legalserver.org/matter/dynamic-profile/view/1895003","19-1895003")</f>
        <v>0</v>
      </c>
      <c r="B357" t="s">
        <v>151</v>
      </c>
      <c r="C357" t="s">
        <v>610</v>
      </c>
      <c r="D357" t="s">
        <v>1927</v>
      </c>
      <c r="E357" t="s">
        <v>3422</v>
      </c>
      <c r="G357" t="s">
        <v>5637</v>
      </c>
      <c r="H357">
        <v>11234</v>
      </c>
      <c r="I357" t="s">
        <v>5696</v>
      </c>
      <c r="J357" t="s">
        <v>5696</v>
      </c>
      <c r="N357" t="s">
        <v>6739</v>
      </c>
      <c r="O357" t="s">
        <v>6776</v>
      </c>
      <c r="R357" t="s">
        <v>6798</v>
      </c>
      <c r="U357">
        <v>0</v>
      </c>
      <c r="V357" t="s">
        <v>6835</v>
      </c>
      <c r="X357" t="s">
        <v>6857</v>
      </c>
      <c r="Y357" t="s">
        <v>7215</v>
      </c>
      <c r="AB357">
        <v>0</v>
      </c>
      <c r="AE357">
        <v>0</v>
      </c>
      <c r="AF357">
        <v>3</v>
      </c>
      <c r="AG357">
        <v>0</v>
      </c>
      <c r="AH357">
        <v>248.83</v>
      </c>
      <c r="AL357">
        <v>53076</v>
      </c>
      <c r="AR357">
        <v>3.4</v>
      </c>
      <c r="AS357" t="s">
        <v>11131</v>
      </c>
      <c r="AT357" t="s">
        <v>128</v>
      </c>
      <c r="AV357" t="s">
        <v>11230</v>
      </c>
      <c r="AW357" t="s">
        <v>11119</v>
      </c>
      <c r="AX357" t="s">
        <v>11131</v>
      </c>
    </row>
    <row r="358" spans="1:50">
      <c r="A358" s="1">
        <f>HYPERLINK("https://lsnyc.legalserver.org/matter/dynamic-profile/view/1895551","19-1895551")</f>
        <v>0</v>
      </c>
      <c r="B358" t="s">
        <v>128</v>
      </c>
      <c r="C358" t="s">
        <v>372</v>
      </c>
      <c r="D358" t="s">
        <v>356</v>
      </c>
      <c r="E358" t="s">
        <v>3423</v>
      </c>
      <c r="G358" t="s">
        <v>5637</v>
      </c>
      <c r="H358">
        <v>11207</v>
      </c>
      <c r="I358" t="s">
        <v>5696</v>
      </c>
      <c r="J358" t="s">
        <v>5696</v>
      </c>
      <c r="N358" t="s">
        <v>6739</v>
      </c>
      <c r="O358" t="s">
        <v>6776</v>
      </c>
      <c r="R358" t="s">
        <v>6798</v>
      </c>
      <c r="U358">
        <v>0</v>
      </c>
      <c r="V358" t="s">
        <v>6835</v>
      </c>
      <c r="X358" t="s">
        <v>6857</v>
      </c>
      <c r="Y358" t="s">
        <v>7216</v>
      </c>
      <c r="AB358">
        <v>0</v>
      </c>
      <c r="AE358">
        <v>0</v>
      </c>
      <c r="AF358">
        <v>1</v>
      </c>
      <c r="AG358">
        <v>0</v>
      </c>
      <c r="AH358">
        <v>249.8</v>
      </c>
      <c r="AL358">
        <v>31200</v>
      </c>
      <c r="AR358">
        <v>1.5</v>
      </c>
      <c r="AS358" t="s">
        <v>10959</v>
      </c>
      <c r="AT358" t="s">
        <v>128</v>
      </c>
      <c r="AV358" t="s">
        <v>11230</v>
      </c>
      <c r="AW358" t="s">
        <v>11119</v>
      </c>
      <c r="AX358" t="s">
        <v>11126</v>
      </c>
    </row>
    <row r="359" spans="1:50">
      <c r="A359" s="1">
        <f>HYPERLINK("https://lsnyc.legalserver.org/matter/dynamic-profile/view/1896560","19-1896560")</f>
        <v>0</v>
      </c>
      <c r="B359" t="s">
        <v>128</v>
      </c>
      <c r="C359" t="s">
        <v>611</v>
      </c>
      <c r="D359" t="s">
        <v>1928</v>
      </c>
      <c r="E359" t="s">
        <v>3424</v>
      </c>
      <c r="G359" t="s">
        <v>5637</v>
      </c>
      <c r="H359">
        <v>11236</v>
      </c>
      <c r="I359" t="s">
        <v>5696</v>
      </c>
      <c r="J359" t="s">
        <v>5696</v>
      </c>
      <c r="N359" t="s">
        <v>6739</v>
      </c>
      <c r="O359" t="s">
        <v>6769</v>
      </c>
      <c r="R359" t="s">
        <v>6798</v>
      </c>
      <c r="U359">
        <v>0</v>
      </c>
      <c r="V359" t="s">
        <v>6835</v>
      </c>
      <c r="X359" t="s">
        <v>6857</v>
      </c>
      <c r="Y359" t="s">
        <v>7217</v>
      </c>
      <c r="AB359">
        <v>0</v>
      </c>
      <c r="AE359">
        <v>0</v>
      </c>
      <c r="AF359">
        <v>1</v>
      </c>
      <c r="AG359">
        <v>0</v>
      </c>
      <c r="AH359">
        <v>280.22</v>
      </c>
      <c r="AL359">
        <v>35000</v>
      </c>
      <c r="AR359">
        <v>1.6</v>
      </c>
      <c r="AS359" t="s">
        <v>10959</v>
      </c>
      <c r="AT359" t="s">
        <v>128</v>
      </c>
      <c r="AV359" t="s">
        <v>11230</v>
      </c>
      <c r="AW359" t="s">
        <v>10961</v>
      </c>
      <c r="AX359" t="s">
        <v>11156</v>
      </c>
    </row>
    <row r="360" spans="1:50">
      <c r="A360" s="1">
        <f>HYPERLINK("https://lsnyc.legalserver.org/matter/dynamic-profile/view/1895635","19-1895635")</f>
        <v>0</v>
      </c>
      <c r="B360" t="s">
        <v>151</v>
      </c>
      <c r="C360" t="s">
        <v>458</v>
      </c>
      <c r="D360" t="s">
        <v>1929</v>
      </c>
      <c r="E360" t="s">
        <v>3425</v>
      </c>
      <c r="G360" t="s">
        <v>5637</v>
      </c>
      <c r="H360">
        <v>11216</v>
      </c>
      <c r="I360" t="s">
        <v>5696</v>
      </c>
      <c r="J360" t="s">
        <v>5696</v>
      </c>
      <c r="N360" t="s">
        <v>6739</v>
      </c>
      <c r="O360" t="s">
        <v>6776</v>
      </c>
      <c r="R360" t="s">
        <v>6798</v>
      </c>
      <c r="U360">
        <v>0</v>
      </c>
      <c r="V360" t="s">
        <v>6835</v>
      </c>
      <c r="X360" t="s">
        <v>6857</v>
      </c>
      <c r="Y360" t="s">
        <v>7218</v>
      </c>
      <c r="AB360">
        <v>0</v>
      </c>
      <c r="AE360">
        <v>0</v>
      </c>
      <c r="AF360">
        <v>1</v>
      </c>
      <c r="AG360">
        <v>0</v>
      </c>
      <c r="AH360">
        <v>288.23</v>
      </c>
      <c r="AL360">
        <v>36000</v>
      </c>
      <c r="AR360">
        <v>5.6</v>
      </c>
      <c r="AS360" t="s">
        <v>11160</v>
      </c>
      <c r="AT360" t="s">
        <v>151</v>
      </c>
      <c r="AV360" t="s">
        <v>11230</v>
      </c>
      <c r="AW360" t="s">
        <v>11119</v>
      </c>
      <c r="AX360" t="s">
        <v>11131</v>
      </c>
    </row>
    <row r="361" spans="1:50">
      <c r="A361" s="1">
        <f>HYPERLINK("https://lsnyc.legalserver.org/matter/dynamic-profile/view/1895754","19-1895754")</f>
        <v>0</v>
      </c>
      <c r="B361" t="s">
        <v>128</v>
      </c>
      <c r="C361" t="s">
        <v>612</v>
      </c>
      <c r="D361" t="s">
        <v>1930</v>
      </c>
      <c r="E361" t="s">
        <v>3426</v>
      </c>
      <c r="G361" t="s">
        <v>5637</v>
      </c>
      <c r="H361">
        <v>11236</v>
      </c>
      <c r="I361" t="s">
        <v>5696</v>
      </c>
      <c r="J361" t="s">
        <v>5696</v>
      </c>
      <c r="N361" t="s">
        <v>6739</v>
      </c>
      <c r="O361" t="s">
        <v>6769</v>
      </c>
      <c r="R361" t="s">
        <v>6798</v>
      </c>
      <c r="U361">
        <v>0</v>
      </c>
      <c r="V361" t="s">
        <v>6835</v>
      </c>
      <c r="X361" t="s">
        <v>6857</v>
      </c>
      <c r="Y361" t="s">
        <v>7219</v>
      </c>
      <c r="AB361">
        <v>0</v>
      </c>
      <c r="AE361">
        <v>0</v>
      </c>
      <c r="AF361">
        <v>2</v>
      </c>
      <c r="AG361">
        <v>0</v>
      </c>
      <c r="AH361">
        <v>390.3</v>
      </c>
      <c r="AL361">
        <v>66000</v>
      </c>
      <c r="AR361">
        <v>2.8</v>
      </c>
      <c r="AS361" t="s">
        <v>11141</v>
      </c>
      <c r="AT361" t="s">
        <v>128</v>
      </c>
      <c r="AV361" t="s">
        <v>11230</v>
      </c>
      <c r="AW361" t="s">
        <v>11121</v>
      </c>
      <c r="AX361" t="s">
        <v>11142</v>
      </c>
    </row>
    <row r="362" spans="1:50">
      <c r="A362" s="1">
        <f>HYPERLINK("https://lsnyc.legalserver.org/matter/dynamic-profile/view/1898228","19-1898228")</f>
        <v>0</v>
      </c>
      <c r="B362" t="s">
        <v>119</v>
      </c>
      <c r="C362" t="s">
        <v>613</v>
      </c>
      <c r="D362" t="s">
        <v>1931</v>
      </c>
      <c r="E362" t="s">
        <v>3427</v>
      </c>
      <c r="F362" t="s">
        <v>5248</v>
      </c>
      <c r="G362" t="s">
        <v>5637</v>
      </c>
      <c r="H362">
        <v>11233</v>
      </c>
      <c r="I362" t="s">
        <v>5697</v>
      </c>
      <c r="J362" t="s">
        <v>5697</v>
      </c>
      <c r="K362" t="s">
        <v>5802</v>
      </c>
      <c r="L362" t="s">
        <v>6712</v>
      </c>
      <c r="M362" t="s">
        <v>6732</v>
      </c>
      <c r="N362" t="s">
        <v>6740</v>
      </c>
      <c r="O362" t="s">
        <v>6753</v>
      </c>
      <c r="P362" t="s">
        <v>5697</v>
      </c>
      <c r="R362" t="s">
        <v>6793</v>
      </c>
      <c r="S362" t="s">
        <v>6802</v>
      </c>
      <c r="U362">
        <v>578.83</v>
      </c>
      <c r="V362" t="s">
        <v>6835</v>
      </c>
      <c r="W362" t="s">
        <v>6842</v>
      </c>
      <c r="X362" t="s">
        <v>6857</v>
      </c>
      <c r="Y362" t="s">
        <v>7220</v>
      </c>
      <c r="AA362" t="s">
        <v>9347</v>
      </c>
      <c r="AB362">
        <v>6</v>
      </c>
      <c r="AC362" t="s">
        <v>10929</v>
      </c>
      <c r="AD362" t="s">
        <v>5741</v>
      </c>
      <c r="AE362">
        <v>1</v>
      </c>
      <c r="AF362">
        <v>1</v>
      </c>
      <c r="AG362">
        <v>1</v>
      </c>
      <c r="AH362">
        <v>215.26</v>
      </c>
      <c r="AK362" t="s">
        <v>10966</v>
      </c>
      <c r="AL362">
        <v>36400</v>
      </c>
      <c r="AR362">
        <v>1.9</v>
      </c>
      <c r="AS362" t="s">
        <v>11135</v>
      </c>
      <c r="AT362" t="s">
        <v>69</v>
      </c>
      <c r="AV362" t="s">
        <v>11230</v>
      </c>
      <c r="AW362" t="s">
        <v>10956</v>
      </c>
      <c r="AX362" t="s">
        <v>11135</v>
      </c>
    </row>
    <row r="363" spans="1:50">
      <c r="A363" s="1">
        <f>HYPERLINK("https://lsnyc.legalserver.org/matter/dynamic-profile/view/1898601","19-1898601")</f>
        <v>0</v>
      </c>
      <c r="B363" t="s">
        <v>127</v>
      </c>
      <c r="C363" t="s">
        <v>335</v>
      </c>
      <c r="D363" t="s">
        <v>1932</v>
      </c>
      <c r="E363" t="s">
        <v>3428</v>
      </c>
      <c r="F363" t="s">
        <v>5235</v>
      </c>
      <c r="G363" t="s">
        <v>5635</v>
      </c>
      <c r="H363">
        <v>10468</v>
      </c>
      <c r="I363" t="s">
        <v>5695</v>
      </c>
      <c r="J363" t="s">
        <v>5696</v>
      </c>
      <c r="K363" t="s">
        <v>5803</v>
      </c>
      <c r="L363" t="s">
        <v>6712</v>
      </c>
      <c r="M363" t="s">
        <v>6732</v>
      </c>
      <c r="N363" t="s">
        <v>6740</v>
      </c>
      <c r="O363" t="s">
        <v>6748</v>
      </c>
      <c r="R363" t="s">
        <v>6793</v>
      </c>
      <c r="U363">
        <v>782</v>
      </c>
      <c r="V363" t="s">
        <v>6833</v>
      </c>
      <c r="W363" t="s">
        <v>6841</v>
      </c>
      <c r="X363" t="s">
        <v>6860</v>
      </c>
      <c r="Y363" t="s">
        <v>7221</v>
      </c>
      <c r="Z363" t="s">
        <v>8930</v>
      </c>
      <c r="AA363" t="s">
        <v>9348</v>
      </c>
      <c r="AB363">
        <v>0</v>
      </c>
      <c r="AC363" t="s">
        <v>8953</v>
      </c>
      <c r="AD363" t="s">
        <v>5741</v>
      </c>
      <c r="AE363">
        <v>15</v>
      </c>
      <c r="AF363">
        <v>2</v>
      </c>
      <c r="AG363">
        <v>5</v>
      </c>
      <c r="AH363">
        <v>92.98999999999999</v>
      </c>
      <c r="AK363" t="s">
        <v>10967</v>
      </c>
      <c r="AL363">
        <v>36276</v>
      </c>
      <c r="AM363" t="s">
        <v>11020</v>
      </c>
      <c r="AR363">
        <v>14</v>
      </c>
      <c r="AS363" t="s">
        <v>11128</v>
      </c>
      <c r="AT363" t="s">
        <v>11184</v>
      </c>
      <c r="AU363" t="s">
        <v>11229</v>
      </c>
      <c r="AV363" t="s">
        <v>11230</v>
      </c>
      <c r="AW363" t="s">
        <v>11123</v>
      </c>
      <c r="AX363" t="s">
        <v>10957</v>
      </c>
    </row>
    <row r="364" spans="1:50">
      <c r="A364" s="1">
        <f>HYPERLINK("https://lsnyc.legalserver.org/matter/dynamic-profile/view/1897671","19-1897671")</f>
        <v>0</v>
      </c>
      <c r="B364" t="s">
        <v>164</v>
      </c>
      <c r="C364" t="s">
        <v>614</v>
      </c>
      <c r="D364" t="s">
        <v>1933</v>
      </c>
      <c r="E364" t="s">
        <v>3429</v>
      </c>
      <c r="F364" t="s">
        <v>5095</v>
      </c>
      <c r="G364" t="s">
        <v>5638</v>
      </c>
      <c r="H364">
        <v>10026</v>
      </c>
      <c r="I364" t="s">
        <v>5696</v>
      </c>
      <c r="J364" t="s">
        <v>5696</v>
      </c>
      <c r="L364" t="s">
        <v>5740</v>
      </c>
      <c r="M364" t="s">
        <v>6732</v>
      </c>
      <c r="N364" t="s">
        <v>6740</v>
      </c>
      <c r="O364" t="s">
        <v>6748</v>
      </c>
      <c r="P364" t="s">
        <v>5697</v>
      </c>
      <c r="R364" t="s">
        <v>6793</v>
      </c>
      <c r="U364">
        <v>700.34</v>
      </c>
      <c r="V364" t="s">
        <v>6836</v>
      </c>
      <c r="W364" t="s">
        <v>6841</v>
      </c>
      <c r="X364" t="s">
        <v>6857</v>
      </c>
      <c r="Y364" t="s">
        <v>7222</v>
      </c>
      <c r="AA364" t="s">
        <v>9349</v>
      </c>
      <c r="AB364">
        <v>116</v>
      </c>
      <c r="AC364" t="s">
        <v>10929</v>
      </c>
      <c r="AD364" t="s">
        <v>10945</v>
      </c>
      <c r="AE364">
        <v>14</v>
      </c>
      <c r="AF364">
        <v>1</v>
      </c>
      <c r="AG364">
        <v>0</v>
      </c>
      <c r="AH364">
        <v>86.56999999999999</v>
      </c>
      <c r="AK364" t="s">
        <v>10966</v>
      </c>
      <c r="AL364">
        <v>10812</v>
      </c>
      <c r="AR364">
        <v>4.34</v>
      </c>
      <c r="AS364" t="s">
        <v>11131</v>
      </c>
      <c r="AT364" t="s">
        <v>11195</v>
      </c>
      <c r="AV364" t="s">
        <v>11230</v>
      </c>
      <c r="AW364" t="s">
        <v>11159</v>
      </c>
      <c r="AX364" t="s">
        <v>11131</v>
      </c>
    </row>
    <row r="365" spans="1:50">
      <c r="A365" s="1">
        <f>HYPERLINK("https://lsnyc.legalserver.org/matter/dynamic-profile/view/1899979","19-1899979")</f>
        <v>0</v>
      </c>
      <c r="B365" t="s">
        <v>112</v>
      </c>
      <c r="C365" t="s">
        <v>615</v>
      </c>
      <c r="D365" t="s">
        <v>1934</v>
      </c>
      <c r="E365" t="s">
        <v>3430</v>
      </c>
      <c r="F365" t="s">
        <v>5249</v>
      </c>
      <c r="G365" t="s">
        <v>5635</v>
      </c>
      <c r="H365">
        <v>10455</v>
      </c>
      <c r="I365" t="s">
        <v>5696</v>
      </c>
      <c r="J365" t="s">
        <v>5696</v>
      </c>
      <c r="M365" t="s">
        <v>6732</v>
      </c>
      <c r="N365" t="s">
        <v>6740</v>
      </c>
      <c r="O365" t="s">
        <v>6748</v>
      </c>
      <c r="R365" t="s">
        <v>6793</v>
      </c>
      <c r="U365">
        <v>0</v>
      </c>
      <c r="V365" t="s">
        <v>6836</v>
      </c>
      <c r="W365" t="s">
        <v>6853</v>
      </c>
      <c r="X365" t="s">
        <v>6857</v>
      </c>
      <c r="Y365" t="s">
        <v>7223</v>
      </c>
      <c r="AA365" t="s">
        <v>8917</v>
      </c>
      <c r="AB365">
        <v>0</v>
      </c>
      <c r="AE365">
        <v>0</v>
      </c>
      <c r="AF365">
        <v>1</v>
      </c>
      <c r="AG365">
        <v>0</v>
      </c>
      <c r="AH365">
        <v>116.57</v>
      </c>
      <c r="AK365" t="s">
        <v>10967</v>
      </c>
      <c r="AL365">
        <v>14560</v>
      </c>
      <c r="AR365">
        <v>0.5</v>
      </c>
      <c r="AS365" t="s">
        <v>10957</v>
      </c>
      <c r="AT365" t="s">
        <v>11183</v>
      </c>
      <c r="AV365" t="s">
        <v>11230</v>
      </c>
      <c r="AW365" t="s">
        <v>10957</v>
      </c>
      <c r="AX365" t="s">
        <v>6828</v>
      </c>
    </row>
    <row r="366" spans="1:50">
      <c r="A366" s="1">
        <f>HYPERLINK("https://lsnyc.legalserver.org/matter/dynamic-profile/view/1895836","19-1895836")</f>
        <v>0</v>
      </c>
      <c r="B366" t="s">
        <v>132</v>
      </c>
      <c r="C366" t="s">
        <v>616</v>
      </c>
      <c r="D366" t="s">
        <v>317</v>
      </c>
      <c r="E366" t="s">
        <v>3431</v>
      </c>
      <c r="F366" t="s">
        <v>5116</v>
      </c>
      <c r="G366" t="s">
        <v>5637</v>
      </c>
      <c r="H366">
        <v>11233</v>
      </c>
      <c r="I366" t="s">
        <v>5696</v>
      </c>
      <c r="J366" t="s">
        <v>5696</v>
      </c>
      <c r="M366" t="s">
        <v>6732</v>
      </c>
      <c r="N366" t="s">
        <v>6740</v>
      </c>
      <c r="O366" t="s">
        <v>6771</v>
      </c>
      <c r="R366" t="s">
        <v>6793</v>
      </c>
      <c r="U366">
        <v>0</v>
      </c>
      <c r="V366" t="s">
        <v>6835</v>
      </c>
      <c r="X366" t="s">
        <v>6863</v>
      </c>
      <c r="Y366" t="s">
        <v>7224</v>
      </c>
      <c r="AA366" t="s">
        <v>9350</v>
      </c>
      <c r="AB366">
        <v>0</v>
      </c>
      <c r="AE366">
        <v>0</v>
      </c>
      <c r="AF366">
        <v>1</v>
      </c>
      <c r="AG366">
        <v>0</v>
      </c>
      <c r="AH366">
        <v>78.59</v>
      </c>
      <c r="AL366">
        <v>9816</v>
      </c>
      <c r="AR366">
        <v>4.5</v>
      </c>
      <c r="AS366" t="s">
        <v>6812</v>
      </c>
      <c r="AT366" t="s">
        <v>11191</v>
      </c>
      <c r="AV366" t="s">
        <v>11230</v>
      </c>
      <c r="AW366" t="s">
        <v>11153</v>
      </c>
      <c r="AX366" t="s">
        <v>6812</v>
      </c>
    </row>
    <row r="367" spans="1:50">
      <c r="A367" s="1">
        <f>HYPERLINK("https://lsnyc.legalserver.org/matter/dynamic-profile/view/1906045","19-1906045")</f>
        <v>0</v>
      </c>
      <c r="B367" t="s">
        <v>96</v>
      </c>
      <c r="C367" t="s">
        <v>617</v>
      </c>
      <c r="D367" t="s">
        <v>1935</v>
      </c>
      <c r="E367" t="s">
        <v>3432</v>
      </c>
      <c r="F367" t="s">
        <v>5205</v>
      </c>
      <c r="G367" t="s">
        <v>5635</v>
      </c>
      <c r="H367">
        <v>10467</v>
      </c>
      <c r="I367" t="s">
        <v>5695</v>
      </c>
      <c r="J367" t="s">
        <v>5696</v>
      </c>
      <c r="K367" t="s">
        <v>5804</v>
      </c>
      <c r="L367" t="s">
        <v>6711</v>
      </c>
      <c r="M367" t="s">
        <v>6733</v>
      </c>
      <c r="N367" t="s">
        <v>6740</v>
      </c>
      <c r="O367" t="s">
        <v>6745</v>
      </c>
      <c r="P367" t="s">
        <v>5697</v>
      </c>
      <c r="R367" t="s">
        <v>6795</v>
      </c>
      <c r="U367">
        <v>811</v>
      </c>
      <c r="V367" t="s">
        <v>6833</v>
      </c>
      <c r="W367" t="s">
        <v>6843</v>
      </c>
      <c r="X367" t="s">
        <v>6857</v>
      </c>
      <c r="Y367" t="s">
        <v>7225</v>
      </c>
      <c r="AA367" t="s">
        <v>9351</v>
      </c>
      <c r="AB367">
        <v>55</v>
      </c>
      <c r="AC367" t="s">
        <v>10929</v>
      </c>
      <c r="AD367" t="s">
        <v>10945</v>
      </c>
      <c r="AE367">
        <v>42</v>
      </c>
      <c r="AF367">
        <v>1</v>
      </c>
      <c r="AG367">
        <v>0</v>
      </c>
      <c r="AH367">
        <v>73.02</v>
      </c>
      <c r="AK367" t="s">
        <v>10967</v>
      </c>
      <c r="AL367">
        <v>9120</v>
      </c>
      <c r="AR367">
        <v>0.6</v>
      </c>
      <c r="AS367" t="s">
        <v>6820</v>
      </c>
      <c r="AT367" t="s">
        <v>11196</v>
      </c>
      <c r="AU367" t="s">
        <v>11228</v>
      </c>
      <c r="AV367" t="s">
        <v>11230</v>
      </c>
      <c r="AW367" t="s">
        <v>6820</v>
      </c>
      <c r="AX367" t="s">
        <v>6821</v>
      </c>
    </row>
    <row r="368" spans="1:50">
      <c r="A368" s="1">
        <f>HYPERLINK("https://lsnyc.legalserver.org/matter/dynamic-profile/view/1898796","19-1898796")</f>
        <v>0</v>
      </c>
      <c r="B368" t="s">
        <v>96</v>
      </c>
      <c r="C368" t="s">
        <v>618</v>
      </c>
      <c r="D368" t="s">
        <v>1936</v>
      </c>
      <c r="E368" t="s">
        <v>3433</v>
      </c>
      <c r="F368" t="s">
        <v>5189</v>
      </c>
      <c r="G368" t="s">
        <v>5635</v>
      </c>
      <c r="H368">
        <v>10452</v>
      </c>
      <c r="I368" t="s">
        <v>5697</v>
      </c>
      <c r="J368" t="s">
        <v>5695</v>
      </c>
      <c r="L368" t="s">
        <v>6711</v>
      </c>
      <c r="M368" t="s">
        <v>6733</v>
      </c>
      <c r="N368" t="s">
        <v>6740</v>
      </c>
      <c r="O368" t="s">
        <v>6748</v>
      </c>
      <c r="P368" t="s">
        <v>5697</v>
      </c>
      <c r="R368" t="s">
        <v>6793</v>
      </c>
      <c r="S368" t="s">
        <v>6801</v>
      </c>
      <c r="U368">
        <v>283</v>
      </c>
      <c r="V368" t="s">
        <v>6833</v>
      </c>
      <c r="W368" t="s">
        <v>6838</v>
      </c>
      <c r="X368" t="s">
        <v>6859</v>
      </c>
      <c r="Y368" t="s">
        <v>7226</v>
      </c>
      <c r="Z368" t="s">
        <v>8931</v>
      </c>
      <c r="AB368">
        <v>0</v>
      </c>
      <c r="AC368" t="s">
        <v>10929</v>
      </c>
      <c r="AD368" t="s">
        <v>10944</v>
      </c>
      <c r="AE368">
        <v>10</v>
      </c>
      <c r="AF368">
        <v>2</v>
      </c>
      <c r="AG368">
        <v>0</v>
      </c>
      <c r="AH368">
        <v>17.88</v>
      </c>
      <c r="AK368" t="s">
        <v>10966</v>
      </c>
      <c r="AL368">
        <v>3024</v>
      </c>
      <c r="AM368" t="s">
        <v>11021</v>
      </c>
      <c r="AR368">
        <v>1</v>
      </c>
      <c r="AS368" t="s">
        <v>11152</v>
      </c>
      <c r="AT368" t="s">
        <v>96</v>
      </c>
      <c r="AV368" t="s">
        <v>11230</v>
      </c>
      <c r="AW368" t="s">
        <v>11145</v>
      </c>
      <c r="AX368" t="s">
        <v>11127</v>
      </c>
    </row>
    <row r="369" spans="1:50">
      <c r="A369" s="1">
        <f>HYPERLINK("https://lsnyc.legalserver.org/matter/dynamic-profile/view/1903739","19-1903739")</f>
        <v>0</v>
      </c>
      <c r="B369" t="s">
        <v>108</v>
      </c>
      <c r="C369" t="s">
        <v>436</v>
      </c>
      <c r="D369" t="s">
        <v>1757</v>
      </c>
      <c r="E369" t="s">
        <v>3210</v>
      </c>
      <c r="F369" t="s">
        <v>5166</v>
      </c>
      <c r="G369" t="s">
        <v>5635</v>
      </c>
      <c r="H369">
        <v>10460</v>
      </c>
      <c r="I369" t="s">
        <v>5695</v>
      </c>
      <c r="J369" t="s">
        <v>5696</v>
      </c>
      <c r="K369" t="s">
        <v>5805</v>
      </c>
      <c r="L369" t="s">
        <v>6712</v>
      </c>
      <c r="M369" t="s">
        <v>6733</v>
      </c>
      <c r="N369" t="s">
        <v>6740</v>
      </c>
      <c r="O369" t="s">
        <v>6747</v>
      </c>
      <c r="P369" t="s">
        <v>5697</v>
      </c>
      <c r="R369" t="s">
        <v>6793</v>
      </c>
      <c r="S369" t="s">
        <v>6805</v>
      </c>
      <c r="U369">
        <v>1700</v>
      </c>
      <c r="V369" t="s">
        <v>6833</v>
      </c>
      <c r="W369" t="s">
        <v>6841</v>
      </c>
      <c r="X369" t="s">
        <v>6857</v>
      </c>
      <c r="Y369" t="s">
        <v>7005</v>
      </c>
      <c r="Z369" t="s">
        <v>8924</v>
      </c>
      <c r="AA369" t="s">
        <v>9186</v>
      </c>
      <c r="AB369">
        <v>169</v>
      </c>
      <c r="AC369" t="s">
        <v>10937</v>
      </c>
      <c r="AD369" t="s">
        <v>10944</v>
      </c>
      <c r="AE369">
        <v>4</v>
      </c>
      <c r="AF369">
        <v>1</v>
      </c>
      <c r="AG369">
        <v>2</v>
      </c>
      <c r="AH369">
        <v>23.65</v>
      </c>
      <c r="AK369" t="s">
        <v>10966</v>
      </c>
      <c r="AL369">
        <v>5044</v>
      </c>
      <c r="AR369">
        <v>3.1</v>
      </c>
      <c r="AS369" t="s">
        <v>6818</v>
      </c>
      <c r="AT369" t="s">
        <v>11179</v>
      </c>
      <c r="AU369" t="s">
        <v>11228</v>
      </c>
      <c r="AV369" t="s">
        <v>11230</v>
      </c>
      <c r="AW369" t="s">
        <v>6811</v>
      </c>
      <c r="AX369" t="s">
        <v>6818</v>
      </c>
    </row>
    <row r="370" spans="1:50">
      <c r="A370" s="1">
        <f>HYPERLINK("https://lsnyc.legalserver.org/matter/dynamic-profile/view/1900687","19-1900687")</f>
        <v>0</v>
      </c>
      <c r="B370" t="s">
        <v>157</v>
      </c>
      <c r="C370" t="s">
        <v>619</v>
      </c>
      <c r="D370" t="s">
        <v>1937</v>
      </c>
      <c r="E370" t="s">
        <v>3434</v>
      </c>
      <c r="F370" t="s">
        <v>5250</v>
      </c>
      <c r="G370" t="s">
        <v>5638</v>
      </c>
      <c r="H370">
        <v>10023</v>
      </c>
      <c r="I370" t="s">
        <v>5696</v>
      </c>
      <c r="J370" t="s">
        <v>5696</v>
      </c>
      <c r="L370" t="s">
        <v>6713</v>
      </c>
      <c r="M370" t="s">
        <v>6733</v>
      </c>
      <c r="N370" t="s">
        <v>6740</v>
      </c>
      <c r="O370" t="s">
        <v>6785</v>
      </c>
      <c r="R370" t="s">
        <v>6793</v>
      </c>
      <c r="U370">
        <v>1653.12</v>
      </c>
      <c r="V370" t="s">
        <v>6836</v>
      </c>
      <c r="W370" t="s">
        <v>6852</v>
      </c>
      <c r="X370" t="s">
        <v>6861</v>
      </c>
      <c r="Y370" t="s">
        <v>7227</v>
      </c>
      <c r="AA370" t="s">
        <v>9352</v>
      </c>
      <c r="AB370">
        <v>0</v>
      </c>
      <c r="AC370" t="s">
        <v>10929</v>
      </c>
      <c r="AD370" t="s">
        <v>5741</v>
      </c>
      <c r="AE370">
        <v>29</v>
      </c>
      <c r="AF370">
        <v>1</v>
      </c>
      <c r="AG370">
        <v>2</v>
      </c>
      <c r="AH370">
        <v>182.84</v>
      </c>
      <c r="AK370" t="s">
        <v>10966</v>
      </c>
      <c r="AL370">
        <v>39000</v>
      </c>
      <c r="AR370">
        <v>1</v>
      </c>
      <c r="AS370" t="s">
        <v>11124</v>
      </c>
      <c r="AT370" t="s">
        <v>305</v>
      </c>
      <c r="AV370" t="s">
        <v>11230</v>
      </c>
      <c r="AW370" t="s">
        <v>11143</v>
      </c>
      <c r="AX370" t="s">
        <v>11137</v>
      </c>
    </row>
    <row r="371" spans="1:50">
      <c r="A371" s="1">
        <f>HYPERLINK("https://lsnyc.legalserver.org/matter/dynamic-profile/view/1897900","19-1897900")</f>
        <v>0</v>
      </c>
      <c r="B371" t="s">
        <v>68</v>
      </c>
      <c r="C371" t="s">
        <v>620</v>
      </c>
      <c r="D371" t="s">
        <v>1938</v>
      </c>
      <c r="E371" t="s">
        <v>3435</v>
      </c>
      <c r="F371" t="s">
        <v>5251</v>
      </c>
      <c r="G371" t="s">
        <v>5637</v>
      </c>
      <c r="H371">
        <v>11214</v>
      </c>
      <c r="I371" t="s">
        <v>5696</v>
      </c>
      <c r="J371" t="s">
        <v>5696</v>
      </c>
      <c r="L371" t="s">
        <v>5740</v>
      </c>
      <c r="M371" t="s">
        <v>6733</v>
      </c>
      <c r="N371" t="s">
        <v>6740</v>
      </c>
      <c r="O371" t="s">
        <v>6754</v>
      </c>
      <c r="R371" t="s">
        <v>6793</v>
      </c>
      <c r="U371">
        <v>1248.35</v>
      </c>
      <c r="V371" t="s">
        <v>6835</v>
      </c>
      <c r="W371" t="s">
        <v>6838</v>
      </c>
      <c r="X371" t="s">
        <v>6859</v>
      </c>
      <c r="Y371" t="s">
        <v>7228</v>
      </c>
      <c r="AA371" t="s">
        <v>9353</v>
      </c>
      <c r="AB371">
        <v>40</v>
      </c>
      <c r="AC371" t="s">
        <v>10929</v>
      </c>
      <c r="AD371" t="s">
        <v>10945</v>
      </c>
      <c r="AE371">
        <v>12</v>
      </c>
      <c r="AF371">
        <v>1</v>
      </c>
      <c r="AG371">
        <v>0</v>
      </c>
      <c r="AH371">
        <v>1825.46</v>
      </c>
      <c r="AK371" t="s">
        <v>10969</v>
      </c>
      <c r="AL371">
        <v>228000</v>
      </c>
      <c r="AR371">
        <v>3</v>
      </c>
      <c r="AS371" t="s">
        <v>11117</v>
      </c>
      <c r="AT371" t="s">
        <v>68</v>
      </c>
      <c r="AV371" t="s">
        <v>11230</v>
      </c>
      <c r="AW371" t="s">
        <v>11125</v>
      </c>
      <c r="AX371" t="s">
        <v>11117</v>
      </c>
    </row>
    <row r="372" spans="1:50">
      <c r="A372" s="1">
        <f>HYPERLINK("https://lsnyc.legalserver.org/matter/dynamic-profile/view/1904398","19-1904398")</f>
        <v>0</v>
      </c>
      <c r="B372" t="s">
        <v>165</v>
      </c>
      <c r="C372" t="s">
        <v>621</v>
      </c>
      <c r="D372" t="s">
        <v>1762</v>
      </c>
      <c r="E372" t="s">
        <v>3436</v>
      </c>
      <c r="F372" t="s">
        <v>5142</v>
      </c>
      <c r="G372" t="s">
        <v>5637</v>
      </c>
      <c r="H372">
        <v>11212</v>
      </c>
      <c r="I372" t="s">
        <v>5695</v>
      </c>
      <c r="J372" t="s">
        <v>5696</v>
      </c>
      <c r="K372" t="s">
        <v>5741</v>
      </c>
      <c r="L372" t="s">
        <v>5740</v>
      </c>
      <c r="M372" t="s">
        <v>6733</v>
      </c>
      <c r="N372" t="s">
        <v>6740</v>
      </c>
      <c r="O372" t="s">
        <v>6745</v>
      </c>
      <c r="P372" t="s">
        <v>5695</v>
      </c>
      <c r="R372" t="s">
        <v>6793</v>
      </c>
      <c r="S372" t="s">
        <v>6801</v>
      </c>
      <c r="T372" t="s">
        <v>6807</v>
      </c>
      <c r="U372">
        <v>755</v>
      </c>
      <c r="V372" t="s">
        <v>6835</v>
      </c>
      <c r="W372" t="s">
        <v>6841</v>
      </c>
      <c r="X372" t="s">
        <v>6864</v>
      </c>
      <c r="Y372" t="s">
        <v>7229</v>
      </c>
      <c r="Z372" t="s">
        <v>5741</v>
      </c>
      <c r="AA372" t="s">
        <v>9354</v>
      </c>
      <c r="AB372">
        <v>32</v>
      </c>
      <c r="AC372" t="s">
        <v>10929</v>
      </c>
      <c r="AD372" t="s">
        <v>5741</v>
      </c>
      <c r="AE372">
        <v>30</v>
      </c>
      <c r="AF372">
        <v>2</v>
      </c>
      <c r="AG372">
        <v>0</v>
      </c>
      <c r="AH372">
        <v>89.13</v>
      </c>
      <c r="AK372" t="s">
        <v>10966</v>
      </c>
      <c r="AL372">
        <v>15072</v>
      </c>
      <c r="AR372">
        <v>1.5</v>
      </c>
      <c r="AS372" t="s">
        <v>6807</v>
      </c>
      <c r="AT372" t="s">
        <v>69</v>
      </c>
      <c r="AU372" t="s">
        <v>11228</v>
      </c>
      <c r="AV372" t="s">
        <v>11230</v>
      </c>
      <c r="AW372" t="s">
        <v>6815</v>
      </c>
      <c r="AX372" t="s">
        <v>6815</v>
      </c>
    </row>
    <row r="373" spans="1:50">
      <c r="A373" s="1">
        <f>HYPERLINK("https://lsnyc.legalserver.org/matter/dynamic-profile/view/1905444","19-1905444")</f>
        <v>0</v>
      </c>
      <c r="B373" t="s">
        <v>137</v>
      </c>
      <c r="C373" t="s">
        <v>350</v>
      </c>
      <c r="D373" t="s">
        <v>1939</v>
      </c>
      <c r="E373" t="s">
        <v>3437</v>
      </c>
      <c r="F373" t="s">
        <v>5187</v>
      </c>
      <c r="G373" t="s">
        <v>5635</v>
      </c>
      <c r="H373">
        <v>10459</v>
      </c>
      <c r="I373" t="s">
        <v>5696</v>
      </c>
      <c r="J373" t="s">
        <v>5696</v>
      </c>
      <c r="L373" t="s">
        <v>5740</v>
      </c>
      <c r="M373" t="s">
        <v>6733</v>
      </c>
      <c r="N373" t="s">
        <v>6740</v>
      </c>
      <c r="O373" t="s">
        <v>6786</v>
      </c>
      <c r="R373" t="s">
        <v>6793</v>
      </c>
      <c r="U373">
        <v>0</v>
      </c>
      <c r="V373" t="s">
        <v>6833</v>
      </c>
      <c r="W373" t="s">
        <v>6843</v>
      </c>
      <c r="X373" t="s">
        <v>6861</v>
      </c>
      <c r="Y373" t="s">
        <v>7230</v>
      </c>
      <c r="AA373" t="s">
        <v>9355</v>
      </c>
      <c r="AB373">
        <v>0</v>
      </c>
      <c r="AC373" t="s">
        <v>10932</v>
      </c>
      <c r="AE373">
        <v>0</v>
      </c>
      <c r="AF373">
        <v>1</v>
      </c>
      <c r="AG373">
        <v>0</v>
      </c>
      <c r="AH373">
        <v>74.08</v>
      </c>
      <c r="AK373" t="s">
        <v>10966</v>
      </c>
      <c r="AL373">
        <v>9252</v>
      </c>
      <c r="AR373">
        <v>2.35</v>
      </c>
      <c r="AS373" t="s">
        <v>6820</v>
      </c>
      <c r="AT373" t="s">
        <v>11180</v>
      </c>
      <c r="AV373" t="s">
        <v>11230</v>
      </c>
      <c r="AW373" t="s">
        <v>6822</v>
      </c>
      <c r="AX373" t="s">
        <v>6820</v>
      </c>
    </row>
    <row r="374" spans="1:50">
      <c r="A374" s="1">
        <f>HYPERLINK("https://lsnyc.legalserver.org/matter/dynamic-profile/view/1896716","19-1896716")</f>
        <v>0</v>
      </c>
      <c r="B374" t="s">
        <v>85</v>
      </c>
      <c r="C374" t="s">
        <v>622</v>
      </c>
      <c r="D374" t="s">
        <v>1940</v>
      </c>
      <c r="E374" t="s">
        <v>3438</v>
      </c>
      <c r="F374" t="s">
        <v>5252</v>
      </c>
      <c r="G374" t="s">
        <v>5637</v>
      </c>
      <c r="H374">
        <v>11223</v>
      </c>
      <c r="I374" t="s">
        <v>5696</v>
      </c>
      <c r="J374" t="s">
        <v>5696</v>
      </c>
      <c r="L374" t="s">
        <v>5740</v>
      </c>
      <c r="M374" t="s">
        <v>6733</v>
      </c>
      <c r="N374" t="s">
        <v>6740</v>
      </c>
      <c r="O374" t="s">
        <v>6754</v>
      </c>
      <c r="R374" t="s">
        <v>6795</v>
      </c>
      <c r="U374">
        <v>0</v>
      </c>
      <c r="V374" t="s">
        <v>6835</v>
      </c>
      <c r="X374" t="s">
        <v>6859</v>
      </c>
      <c r="Y374" t="s">
        <v>7231</v>
      </c>
      <c r="AB374">
        <v>0</v>
      </c>
      <c r="AC374" t="s">
        <v>10929</v>
      </c>
      <c r="AD374" t="s">
        <v>10945</v>
      </c>
      <c r="AE374">
        <v>0</v>
      </c>
      <c r="AF374">
        <v>1</v>
      </c>
      <c r="AG374">
        <v>0</v>
      </c>
      <c r="AH374">
        <v>92.23</v>
      </c>
      <c r="AK374" t="s">
        <v>10969</v>
      </c>
      <c r="AL374">
        <v>11520</v>
      </c>
      <c r="AR374">
        <v>2.25</v>
      </c>
      <c r="AS374" t="s">
        <v>11127</v>
      </c>
      <c r="AT374" t="s">
        <v>85</v>
      </c>
      <c r="AV374" t="s">
        <v>11230</v>
      </c>
      <c r="AW374" t="s">
        <v>11122</v>
      </c>
      <c r="AX374" t="s">
        <v>11127</v>
      </c>
    </row>
    <row r="375" spans="1:50">
      <c r="A375" s="1">
        <f>HYPERLINK("https://lsnyc.legalserver.org/matter/dynamic-profile/view/1901466","19-1901466")</f>
        <v>0</v>
      </c>
      <c r="B375" t="s">
        <v>85</v>
      </c>
      <c r="C375" t="s">
        <v>395</v>
      </c>
      <c r="D375" t="s">
        <v>1721</v>
      </c>
      <c r="E375" t="s">
        <v>3166</v>
      </c>
      <c r="F375" t="s">
        <v>5143</v>
      </c>
      <c r="G375" t="s">
        <v>5637</v>
      </c>
      <c r="H375">
        <v>11235</v>
      </c>
      <c r="I375" t="s">
        <v>5696</v>
      </c>
      <c r="J375" t="s">
        <v>5696</v>
      </c>
      <c r="L375" t="s">
        <v>5740</v>
      </c>
      <c r="M375" t="s">
        <v>6733</v>
      </c>
      <c r="N375" t="s">
        <v>6740</v>
      </c>
      <c r="O375" t="s">
        <v>6754</v>
      </c>
      <c r="R375" t="s">
        <v>6795</v>
      </c>
      <c r="U375">
        <v>0</v>
      </c>
      <c r="V375" t="s">
        <v>6835</v>
      </c>
      <c r="X375" t="s">
        <v>6859</v>
      </c>
      <c r="Y375" t="s">
        <v>6962</v>
      </c>
      <c r="AB375">
        <v>0</v>
      </c>
      <c r="AC375" t="s">
        <v>10929</v>
      </c>
      <c r="AE375">
        <v>0</v>
      </c>
      <c r="AF375">
        <v>1</v>
      </c>
      <c r="AG375">
        <v>0</v>
      </c>
      <c r="AH375">
        <v>76.86</v>
      </c>
      <c r="AK375" t="s">
        <v>10969</v>
      </c>
      <c r="AL375">
        <v>9600</v>
      </c>
      <c r="AR375">
        <v>2.75</v>
      </c>
      <c r="AS375" t="s">
        <v>6825</v>
      </c>
      <c r="AT375" t="s">
        <v>85</v>
      </c>
      <c r="AV375" t="s">
        <v>11230</v>
      </c>
      <c r="AW375" t="s">
        <v>11162</v>
      </c>
      <c r="AX375" t="s">
        <v>6825</v>
      </c>
    </row>
    <row r="376" spans="1:50">
      <c r="A376" s="1">
        <f>HYPERLINK("https://lsnyc.legalserver.org/matter/dynamic-profile/view/1905415","19-1905415")</f>
        <v>0</v>
      </c>
      <c r="B376" t="s">
        <v>50</v>
      </c>
      <c r="C376" t="s">
        <v>623</v>
      </c>
      <c r="D376" t="s">
        <v>1887</v>
      </c>
      <c r="E376" t="s">
        <v>3439</v>
      </c>
      <c r="F376" t="s">
        <v>5237</v>
      </c>
      <c r="G376" t="s">
        <v>5635</v>
      </c>
      <c r="H376">
        <v>10458</v>
      </c>
      <c r="I376" t="s">
        <v>5695</v>
      </c>
      <c r="J376" t="s">
        <v>5696</v>
      </c>
      <c r="L376" t="s">
        <v>6720</v>
      </c>
      <c r="M376" t="s">
        <v>6733</v>
      </c>
      <c r="N376" t="s">
        <v>6740</v>
      </c>
      <c r="O376" t="s">
        <v>6745</v>
      </c>
      <c r="P376" t="s">
        <v>5697</v>
      </c>
      <c r="R376" t="s">
        <v>6793</v>
      </c>
      <c r="U376">
        <v>814.0599999999999</v>
      </c>
      <c r="V376" t="s">
        <v>6833</v>
      </c>
      <c r="W376" t="s">
        <v>6838</v>
      </c>
      <c r="X376" t="s">
        <v>6861</v>
      </c>
      <c r="Y376" t="s">
        <v>7232</v>
      </c>
      <c r="AA376" t="s">
        <v>9356</v>
      </c>
      <c r="AB376">
        <v>54</v>
      </c>
      <c r="AC376" t="s">
        <v>10929</v>
      </c>
      <c r="AD376" t="s">
        <v>5741</v>
      </c>
      <c r="AE376">
        <v>40</v>
      </c>
      <c r="AF376">
        <v>1</v>
      </c>
      <c r="AG376">
        <v>0</v>
      </c>
      <c r="AH376">
        <v>360.29</v>
      </c>
      <c r="AK376" t="s">
        <v>10967</v>
      </c>
      <c r="AL376">
        <v>45000</v>
      </c>
      <c r="AR376">
        <v>2.5</v>
      </c>
      <c r="AS376" t="s">
        <v>6823</v>
      </c>
      <c r="AT376" t="s">
        <v>11176</v>
      </c>
      <c r="AU376" t="s">
        <v>11228</v>
      </c>
      <c r="AV376" t="s">
        <v>11230</v>
      </c>
      <c r="AW376" t="s">
        <v>6822</v>
      </c>
      <c r="AX376" t="s">
        <v>6827</v>
      </c>
    </row>
    <row r="377" spans="1:50">
      <c r="A377" s="1">
        <f>HYPERLINK("https://lsnyc.legalserver.org/matter/dynamic-profile/view/1901237","19-1901237")</f>
        <v>0</v>
      </c>
      <c r="B377" t="s">
        <v>108</v>
      </c>
      <c r="C377" t="s">
        <v>624</v>
      </c>
      <c r="D377" t="s">
        <v>1762</v>
      </c>
      <c r="E377" t="s">
        <v>3440</v>
      </c>
      <c r="F377" t="s">
        <v>5186</v>
      </c>
      <c r="G377" t="s">
        <v>5635</v>
      </c>
      <c r="H377">
        <v>10473</v>
      </c>
      <c r="I377" t="s">
        <v>5696</v>
      </c>
      <c r="J377" t="s">
        <v>5696</v>
      </c>
      <c r="K377" t="s">
        <v>5806</v>
      </c>
      <c r="L377" t="s">
        <v>6714</v>
      </c>
      <c r="M377" t="s">
        <v>6733</v>
      </c>
      <c r="N377" t="s">
        <v>6740</v>
      </c>
      <c r="O377" t="s">
        <v>6753</v>
      </c>
      <c r="P377" t="s">
        <v>5697</v>
      </c>
      <c r="R377" t="s">
        <v>6793</v>
      </c>
      <c r="S377" t="s">
        <v>6802</v>
      </c>
      <c r="U377">
        <v>1318</v>
      </c>
      <c r="V377" t="s">
        <v>6833</v>
      </c>
      <c r="W377" t="s">
        <v>6839</v>
      </c>
      <c r="X377" t="s">
        <v>6861</v>
      </c>
      <c r="Y377" t="s">
        <v>7233</v>
      </c>
      <c r="AA377" t="s">
        <v>9357</v>
      </c>
      <c r="AB377">
        <v>982</v>
      </c>
      <c r="AC377" t="s">
        <v>10935</v>
      </c>
      <c r="AE377">
        <v>0</v>
      </c>
      <c r="AF377">
        <v>1</v>
      </c>
      <c r="AG377">
        <v>0</v>
      </c>
      <c r="AH377">
        <v>382.69</v>
      </c>
      <c r="AK377" t="s">
        <v>10976</v>
      </c>
      <c r="AL377">
        <v>47798</v>
      </c>
      <c r="AM377" t="s">
        <v>11022</v>
      </c>
      <c r="AR377">
        <v>1.1</v>
      </c>
      <c r="AS377" t="s">
        <v>11131</v>
      </c>
      <c r="AT377" t="s">
        <v>139</v>
      </c>
      <c r="AV377" t="s">
        <v>11230</v>
      </c>
      <c r="AW377" t="s">
        <v>11162</v>
      </c>
      <c r="AX377" t="s">
        <v>11131</v>
      </c>
    </row>
    <row r="378" spans="1:50">
      <c r="A378" s="1">
        <f>HYPERLINK("https://lsnyc.legalserver.org/matter/dynamic-profile/view/1905455","19-1905455")</f>
        <v>0</v>
      </c>
      <c r="B378" t="s">
        <v>96</v>
      </c>
      <c r="C378" t="s">
        <v>343</v>
      </c>
      <c r="D378" t="s">
        <v>1941</v>
      </c>
      <c r="E378" t="s">
        <v>3441</v>
      </c>
      <c r="F378" t="s">
        <v>5248</v>
      </c>
      <c r="G378" t="s">
        <v>5635</v>
      </c>
      <c r="H378">
        <v>10451</v>
      </c>
      <c r="I378" t="s">
        <v>5695</v>
      </c>
      <c r="J378" t="s">
        <v>5696</v>
      </c>
      <c r="K378" t="s">
        <v>5773</v>
      </c>
      <c r="L378" t="s">
        <v>6714</v>
      </c>
      <c r="M378" t="s">
        <v>6733</v>
      </c>
      <c r="N378" t="s">
        <v>6740</v>
      </c>
      <c r="O378" t="s">
        <v>6753</v>
      </c>
      <c r="P378" t="s">
        <v>5697</v>
      </c>
      <c r="R378" t="s">
        <v>6793</v>
      </c>
      <c r="S378" t="s">
        <v>6801</v>
      </c>
      <c r="U378">
        <v>978</v>
      </c>
      <c r="V378" t="s">
        <v>6833</v>
      </c>
      <c r="W378" t="s">
        <v>6843</v>
      </c>
      <c r="X378" t="s">
        <v>6859</v>
      </c>
      <c r="Y378" t="s">
        <v>7234</v>
      </c>
      <c r="AA378" t="s">
        <v>9358</v>
      </c>
      <c r="AB378">
        <v>81</v>
      </c>
      <c r="AC378" t="s">
        <v>10929</v>
      </c>
      <c r="AD378" t="s">
        <v>5741</v>
      </c>
      <c r="AE378">
        <v>37</v>
      </c>
      <c r="AF378">
        <v>2</v>
      </c>
      <c r="AG378">
        <v>0</v>
      </c>
      <c r="AH378">
        <v>283.86</v>
      </c>
      <c r="AK378" t="s">
        <v>10966</v>
      </c>
      <c r="AL378">
        <v>48000</v>
      </c>
      <c r="AR378">
        <v>0.3</v>
      </c>
      <c r="AS378" t="s">
        <v>6822</v>
      </c>
      <c r="AT378" t="s">
        <v>11196</v>
      </c>
      <c r="AU378" t="s">
        <v>11228</v>
      </c>
      <c r="AV378" t="s">
        <v>11230</v>
      </c>
      <c r="AW378" t="s">
        <v>6822</v>
      </c>
      <c r="AX378" t="s">
        <v>6822</v>
      </c>
    </row>
    <row r="379" spans="1:50">
      <c r="A379" s="1">
        <f>HYPERLINK("https://lsnyc.legalserver.org/matter/dynamic-profile/view/1897059","19-1897059")</f>
        <v>0</v>
      </c>
      <c r="B379" t="s">
        <v>69</v>
      </c>
      <c r="C379" t="s">
        <v>625</v>
      </c>
      <c r="D379" t="s">
        <v>1942</v>
      </c>
      <c r="E379" t="s">
        <v>3328</v>
      </c>
      <c r="F379" t="s">
        <v>5137</v>
      </c>
      <c r="G379" t="s">
        <v>5637</v>
      </c>
      <c r="H379">
        <v>11233</v>
      </c>
      <c r="I379" t="s">
        <v>5695</v>
      </c>
      <c r="J379" t="s">
        <v>5695</v>
      </c>
      <c r="K379" t="s">
        <v>5807</v>
      </c>
      <c r="L379" t="s">
        <v>6714</v>
      </c>
      <c r="M379" t="s">
        <v>6733</v>
      </c>
      <c r="N379" t="s">
        <v>6740</v>
      </c>
      <c r="O379" t="s">
        <v>6745</v>
      </c>
      <c r="P379" t="s">
        <v>5697</v>
      </c>
      <c r="R379" t="s">
        <v>6793</v>
      </c>
      <c r="S379" t="s">
        <v>6801</v>
      </c>
      <c r="U379">
        <v>1343.5</v>
      </c>
      <c r="V379" t="s">
        <v>6835</v>
      </c>
      <c r="W379" t="s">
        <v>6844</v>
      </c>
      <c r="X379" t="s">
        <v>6857</v>
      </c>
      <c r="Y379" t="s">
        <v>7235</v>
      </c>
      <c r="Z379" t="s">
        <v>8932</v>
      </c>
      <c r="AA379" t="s">
        <v>9359</v>
      </c>
      <c r="AB379">
        <v>13</v>
      </c>
      <c r="AC379" t="s">
        <v>10929</v>
      </c>
      <c r="AD379" t="s">
        <v>10944</v>
      </c>
      <c r="AE379">
        <v>10</v>
      </c>
      <c r="AF379">
        <v>1</v>
      </c>
      <c r="AG379">
        <v>2</v>
      </c>
      <c r="AH379">
        <v>47.59</v>
      </c>
      <c r="AK379" t="s">
        <v>10966</v>
      </c>
      <c r="AL379">
        <v>10152</v>
      </c>
      <c r="AM379" t="s">
        <v>11023</v>
      </c>
      <c r="AR379">
        <v>0.25</v>
      </c>
      <c r="AS379" t="s">
        <v>6807</v>
      </c>
      <c r="AT379" t="s">
        <v>69</v>
      </c>
      <c r="AU379" t="s">
        <v>11229</v>
      </c>
      <c r="AV379" t="s">
        <v>11230</v>
      </c>
      <c r="AW379" t="s">
        <v>11121</v>
      </c>
      <c r="AX379" t="s">
        <v>6807</v>
      </c>
    </row>
    <row r="380" spans="1:50">
      <c r="A380" s="1">
        <f>HYPERLINK("https://lsnyc.legalserver.org/matter/dynamic-profile/view/1899986","19-1899986")</f>
        <v>0</v>
      </c>
      <c r="B380" t="s">
        <v>166</v>
      </c>
      <c r="C380" t="s">
        <v>335</v>
      </c>
      <c r="D380" t="s">
        <v>1757</v>
      </c>
      <c r="E380" t="s">
        <v>3442</v>
      </c>
      <c r="F380" t="s">
        <v>5100</v>
      </c>
      <c r="G380" t="s">
        <v>5635</v>
      </c>
      <c r="H380">
        <v>10452</v>
      </c>
      <c r="I380" t="s">
        <v>5695</v>
      </c>
      <c r="J380" t="s">
        <v>5696</v>
      </c>
      <c r="L380" t="s">
        <v>6714</v>
      </c>
      <c r="M380" t="s">
        <v>6733</v>
      </c>
      <c r="N380" t="s">
        <v>6740</v>
      </c>
      <c r="O380" t="s">
        <v>6748</v>
      </c>
      <c r="P380" t="s">
        <v>5697</v>
      </c>
      <c r="R380" t="s">
        <v>6793</v>
      </c>
      <c r="U380">
        <v>339</v>
      </c>
      <c r="V380" t="s">
        <v>6833</v>
      </c>
      <c r="W380" t="s">
        <v>6838</v>
      </c>
      <c r="X380" t="s">
        <v>6861</v>
      </c>
      <c r="Y380" t="s">
        <v>7236</v>
      </c>
      <c r="AA380" t="s">
        <v>9360</v>
      </c>
      <c r="AB380">
        <v>0</v>
      </c>
      <c r="AC380" t="s">
        <v>10934</v>
      </c>
      <c r="AD380" t="s">
        <v>10944</v>
      </c>
      <c r="AE380">
        <v>37</v>
      </c>
      <c r="AF380">
        <v>2</v>
      </c>
      <c r="AG380">
        <v>0</v>
      </c>
      <c r="AH380">
        <v>103.89</v>
      </c>
      <c r="AK380" t="s">
        <v>10967</v>
      </c>
      <c r="AL380">
        <v>17568</v>
      </c>
      <c r="AM380" t="s">
        <v>11024</v>
      </c>
      <c r="AR380">
        <v>0.2</v>
      </c>
      <c r="AS380" t="s">
        <v>6818</v>
      </c>
      <c r="AT380" t="s">
        <v>166</v>
      </c>
      <c r="AU380" t="s">
        <v>11228</v>
      </c>
      <c r="AV380" t="s">
        <v>11230</v>
      </c>
      <c r="AW380" t="s">
        <v>10957</v>
      </c>
      <c r="AX380" t="s">
        <v>6818</v>
      </c>
    </row>
    <row r="381" spans="1:50">
      <c r="A381" s="1">
        <f>HYPERLINK("https://lsnyc.legalserver.org/matter/dynamic-profile/view/1895517","19-1895517")</f>
        <v>0</v>
      </c>
      <c r="B381" t="s">
        <v>68</v>
      </c>
      <c r="C381" t="s">
        <v>626</v>
      </c>
      <c r="D381" t="s">
        <v>1943</v>
      </c>
      <c r="E381" t="s">
        <v>3443</v>
      </c>
      <c r="F381" t="s">
        <v>5093</v>
      </c>
      <c r="G381" t="s">
        <v>5637</v>
      </c>
      <c r="H381">
        <v>11206</v>
      </c>
      <c r="I381" t="s">
        <v>5696</v>
      </c>
      <c r="J381" t="s">
        <v>5696</v>
      </c>
      <c r="L381" t="s">
        <v>6716</v>
      </c>
      <c r="M381" t="s">
        <v>6733</v>
      </c>
      <c r="N381" t="s">
        <v>6740</v>
      </c>
      <c r="O381" t="s">
        <v>6754</v>
      </c>
      <c r="R381" t="s">
        <v>6796</v>
      </c>
      <c r="U381">
        <v>0</v>
      </c>
      <c r="V381" t="s">
        <v>6835</v>
      </c>
      <c r="X381" t="s">
        <v>6861</v>
      </c>
      <c r="Y381" t="s">
        <v>7237</v>
      </c>
      <c r="AA381" t="s">
        <v>9361</v>
      </c>
      <c r="AB381">
        <v>0</v>
      </c>
      <c r="AE381">
        <v>0</v>
      </c>
      <c r="AF381">
        <v>1</v>
      </c>
      <c r="AG381">
        <v>0</v>
      </c>
      <c r="AH381">
        <v>72.63</v>
      </c>
      <c r="AK381" t="s">
        <v>10966</v>
      </c>
      <c r="AL381">
        <v>9072</v>
      </c>
      <c r="AR381">
        <v>3</v>
      </c>
      <c r="AS381" t="s">
        <v>11133</v>
      </c>
      <c r="AT381" t="s">
        <v>68</v>
      </c>
      <c r="AV381" t="s">
        <v>11230</v>
      </c>
      <c r="AW381" t="s">
        <v>10960</v>
      </c>
      <c r="AX381" t="s">
        <v>11133</v>
      </c>
    </row>
    <row r="382" spans="1:50">
      <c r="A382" s="1">
        <f>HYPERLINK("https://lsnyc.legalserver.org/matter/dynamic-profile/view/1905259","19-1905259")</f>
        <v>0</v>
      </c>
      <c r="B382" t="s">
        <v>50</v>
      </c>
      <c r="C382" t="s">
        <v>627</v>
      </c>
      <c r="D382" t="s">
        <v>1944</v>
      </c>
      <c r="E382" t="s">
        <v>3444</v>
      </c>
      <c r="F382" t="s">
        <v>5252</v>
      </c>
      <c r="G382" t="s">
        <v>5635</v>
      </c>
      <c r="H382">
        <v>10452</v>
      </c>
      <c r="I382" t="s">
        <v>5696</v>
      </c>
      <c r="J382" t="s">
        <v>5696</v>
      </c>
      <c r="L382" t="s">
        <v>6721</v>
      </c>
      <c r="M382" t="s">
        <v>6733</v>
      </c>
      <c r="N382" t="s">
        <v>6740</v>
      </c>
      <c r="O382" t="s">
        <v>6745</v>
      </c>
      <c r="P382" t="s">
        <v>5697</v>
      </c>
      <c r="R382" t="s">
        <v>6793</v>
      </c>
      <c r="S382" t="s">
        <v>6801</v>
      </c>
      <c r="U382">
        <v>1085</v>
      </c>
      <c r="V382" t="s">
        <v>6833</v>
      </c>
      <c r="W382" t="s">
        <v>6843</v>
      </c>
      <c r="X382" t="s">
        <v>6859</v>
      </c>
      <c r="Y382" t="s">
        <v>7238</v>
      </c>
      <c r="AA382" t="s">
        <v>9362</v>
      </c>
      <c r="AB382">
        <v>39</v>
      </c>
      <c r="AC382" t="s">
        <v>10929</v>
      </c>
      <c r="AD382" t="s">
        <v>5741</v>
      </c>
      <c r="AE382">
        <v>20</v>
      </c>
      <c r="AF382">
        <v>1</v>
      </c>
      <c r="AG382">
        <v>0</v>
      </c>
      <c r="AH382">
        <v>195.11</v>
      </c>
      <c r="AK382" t="s">
        <v>10966</v>
      </c>
      <c r="AL382">
        <v>24369</v>
      </c>
      <c r="AR382">
        <v>1.25</v>
      </c>
      <c r="AS382" t="s">
        <v>6808</v>
      </c>
      <c r="AT382" t="s">
        <v>213</v>
      </c>
      <c r="AV382" t="s">
        <v>11230</v>
      </c>
      <c r="AW382" t="s">
        <v>6808</v>
      </c>
      <c r="AX382" t="s">
        <v>6820</v>
      </c>
    </row>
    <row r="383" spans="1:50">
      <c r="A383" s="1">
        <f>HYPERLINK("https://lsnyc.legalserver.org/matter/dynamic-profile/view/1904528","19-1904528")</f>
        <v>0</v>
      </c>
      <c r="B383" t="s">
        <v>96</v>
      </c>
      <c r="C383" t="s">
        <v>628</v>
      </c>
      <c r="D383" t="s">
        <v>1935</v>
      </c>
      <c r="E383" t="s">
        <v>3432</v>
      </c>
      <c r="F383" t="s">
        <v>5205</v>
      </c>
      <c r="G383" t="s">
        <v>5635</v>
      </c>
      <c r="H383">
        <v>10467</v>
      </c>
      <c r="I383" t="s">
        <v>5695</v>
      </c>
      <c r="J383" t="s">
        <v>5696</v>
      </c>
      <c r="K383" t="s">
        <v>5804</v>
      </c>
      <c r="L383" t="s">
        <v>6721</v>
      </c>
      <c r="M383" t="s">
        <v>6733</v>
      </c>
      <c r="N383" t="s">
        <v>6740</v>
      </c>
      <c r="O383" t="s">
        <v>6745</v>
      </c>
      <c r="P383" t="s">
        <v>5697</v>
      </c>
      <c r="R383" t="s">
        <v>6795</v>
      </c>
      <c r="U383">
        <v>811</v>
      </c>
      <c r="V383" t="s">
        <v>6833</v>
      </c>
      <c r="W383" t="s">
        <v>6843</v>
      </c>
      <c r="X383" t="s">
        <v>6859</v>
      </c>
      <c r="Y383" t="s">
        <v>7225</v>
      </c>
      <c r="AA383" t="s">
        <v>9351</v>
      </c>
      <c r="AB383">
        <v>40</v>
      </c>
      <c r="AC383" t="s">
        <v>10929</v>
      </c>
      <c r="AD383" t="s">
        <v>10945</v>
      </c>
      <c r="AE383">
        <v>42</v>
      </c>
      <c r="AF383">
        <v>1</v>
      </c>
      <c r="AG383">
        <v>0</v>
      </c>
      <c r="AH383">
        <v>73.02</v>
      </c>
      <c r="AK383" t="s">
        <v>10967</v>
      </c>
      <c r="AL383">
        <v>9120</v>
      </c>
      <c r="AR383">
        <v>1.5</v>
      </c>
      <c r="AS383" t="s">
        <v>6809</v>
      </c>
      <c r="AT383" t="s">
        <v>11196</v>
      </c>
      <c r="AU383" t="s">
        <v>11228</v>
      </c>
      <c r="AV383" t="s">
        <v>11230</v>
      </c>
      <c r="AW383" t="s">
        <v>6810</v>
      </c>
      <c r="AX383" t="s">
        <v>6809</v>
      </c>
    </row>
    <row r="384" spans="1:50">
      <c r="A384" s="1">
        <f>HYPERLINK("https://lsnyc.legalserver.org/matter/dynamic-profile/view/1899676","19-1899676")</f>
        <v>0</v>
      </c>
      <c r="B384" t="s">
        <v>167</v>
      </c>
      <c r="C384" t="s">
        <v>629</v>
      </c>
      <c r="D384" t="s">
        <v>1945</v>
      </c>
      <c r="E384" t="s">
        <v>3445</v>
      </c>
      <c r="F384" t="s">
        <v>5097</v>
      </c>
      <c r="G384" t="s">
        <v>5635</v>
      </c>
      <c r="H384">
        <v>10462</v>
      </c>
      <c r="I384" t="s">
        <v>5696</v>
      </c>
      <c r="J384" t="s">
        <v>5696</v>
      </c>
      <c r="L384" t="s">
        <v>6719</v>
      </c>
      <c r="M384" t="s">
        <v>6733</v>
      </c>
      <c r="N384" t="s">
        <v>6740</v>
      </c>
      <c r="O384" t="s">
        <v>6764</v>
      </c>
      <c r="P384" t="s">
        <v>5697</v>
      </c>
      <c r="R384" t="s">
        <v>6796</v>
      </c>
      <c r="U384">
        <v>1290.1</v>
      </c>
      <c r="V384" t="s">
        <v>6833</v>
      </c>
      <c r="W384" t="s">
        <v>6840</v>
      </c>
      <c r="X384" t="s">
        <v>6859</v>
      </c>
      <c r="Y384" t="s">
        <v>7239</v>
      </c>
      <c r="AA384" t="s">
        <v>9363</v>
      </c>
      <c r="AB384">
        <v>3857</v>
      </c>
      <c r="AC384" t="s">
        <v>10929</v>
      </c>
      <c r="AD384" t="s">
        <v>10944</v>
      </c>
      <c r="AE384">
        <v>3</v>
      </c>
      <c r="AF384">
        <v>2</v>
      </c>
      <c r="AG384">
        <v>0</v>
      </c>
      <c r="AH384">
        <v>41.02</v>
      </c>
      <c r="AK384" t="s">
        <v>10967</v>
      </c>
      <c r="AL384">
        <v>6936</v>
      </c>
      <c r="AR384">
        <v>0.2</v>
      </c>
      <c r="AS384" t="s">
        <v>11132</v>
      </c>
      <c r="AT384" t="s">
        <v>167</v>
      </c>
      <c r="AV384" t="s">
        <v>11230</v>
      </c>
      <c r="AW384" t="s">
        <v>11128</v>
      </c>
      <c r="AX384" t="s">
        <v>11132</v>
      </c>
    </row>
    <row r="385" spans="1:50">
      <c r="A385" s="1">
        <f>HYPERLINK("https://lsnyc.legalserver.org/matter/dynamic-profile/view/1900503","19-1900503")</f>
        <v>0</v>
      </c>
      <c r="B385" t="s">
        <v>168</v>
      </c>
      <c r="C385" t="s">
        <v>465</v>
      </c>
      <c r="D385" t="s">
        <v>1946</v>
      </c>
      <c r="E385" t="s">
        <v>3446</v>
      </c>
      <c r="F385" t="s">
        <v>5253</v>
      </c>
      <c r="G385" t="s">
        <v>5637</v>
      </c>
      <c r="H385">
        <v>11224</v>
      </c>
      <c r="I385" t="s">
        <v>5695</v>
      </c>
      <c r="J385" t="s">
        <v>5696</v>
      </c>
      <c r="L385" t="s">
        <v>6718</v>
      </c>
      <c r="M385" t="s">
        <v>6733</v>
      </c>
      <c r="N385" t="s">
        <v>6740</v>
      </c>
      <c r="O385" t="s">
        <v>6756</v>
      </c>
      <c r="R385" t="s">
        <v>6793</v>
      </c>
      <c r="U385">
        <v>0</v>
      </c>
      <c r="V385" t="s">
        <v>6835</v>
      </c>
      <c r="X385" t="s">
        <v>6861</v>
      </c>
      <c r="Y385" t="s">
        <v>7240</v>
      </c>
      <c r="AA385" t="s">
        <v>9364</v>
      </c>
      <c r="AB385">
        <v>0</v>
      </c>
      <c r="AE385">
        <v>0</v>
      </c>
      <c r="AF385">
        <v>3</v>
      </c>
      <c r="AG385">
        <v>0</v>
      </c>
      <c r="AH385">
        <v>112.52</v>
      </c>
      <c r="AL385">
        <v>24000</v>
      </c>
      <c r="AR385">
        <v>3.3</v>
      </c>
      <c r="AS385" t="s">
        <v>11137</v>
      </c>
      <c r="AT385" t="s">
        <v>272</v>
      </c>
      <c r="AV385" t="s">
        <v>11230</v>
      </c>
      <c r="AW385" t="s">
        <v>11160</v>
      </c>
      <c r="AX385" t="s">
        <v>11137</v>
      </c>
    </row>
    <row r="386" spans="1:50">
      <c r="A386" s="1">
        <f>HYPERLINK("https://lsnyc.legalserver.org/matter/dynamic-profile/view/1904289","19-1904289")</f>
        <v>0</v>
      </c>
      <c r="B386" t="s">
        <v>110</v>
      </c>
      <c r="C386" t="s">
        <v>630</v>
      </c>
      <c r="D386" t="s">
        <v>1947</v>
      </c>
      <c r="E386" t="s">
        <v>3447</v>
      </c>
      <c r="F386" t="s">
        <v>5228</v>
      </c>
      <c r="G386" t="s">
        <v>5638</v>
      </c>
      <c r="H386">
        <v>10040</v>
      </c>
      <c r="I386" t="s">
        <v>5695</v>
      </c>
      <c r="J386" t="s">
        <v>5696</v>
      </c>
      <c r="L386" t="s">
        <v>6718</v>
      </c>
      <c r="M386" t="s">
        <v>6733</v>
      </c>
      <c r="N386" t="s">
        <v>6740</v>
      </c>
      <c r="O386" t="s">
        <v>6745</v>
      </c>
      <c r="P386" t="s">
        <v>5697</v>
      </c>
      <c r="R386" t="s">
        <v>6793</v>
      </c>
      <c r="T386" t="s">
        <v>6813</v>
      </c>
      <c r="U386">
        <v>1400</v>
      </c>
      <c r="V386" t="s">
        <v>6836</v>
      </c>
      <c r="W386" t="s">
        <v>6842</v>
      </c>
      <c r="X386" t="s">
        <v>6859</v>
      </c>
      <c r="Y386" t="s">
        <v>7241</v>
      </c>
      <c r="AA386" t="s">
        <v>9365</v>
      </c>
      <c r="AB386">
        <v>47</v>
      </c>
      <c r="AC386" t="s">
        <v>10929</v>
      </c>
      <c r="AD386" t="s">
        <v>5741</v>
      </c>
      <c r="AE386">
        <v>5</v>
      </c>
      <c r="AF386">
        <v>2</v>
      </c>
      <c r="AG386">
        <v>0</v>
      </c>
      <c r="AH386">
        <v>139.8</v>
      </c>
      <c r="AK386" t="s">
        <v>10966</v>
      </c>
      <c r="AL386">
        <v>23640</v>
      </c>
      <c r="AR386">
        <v>2.1</v>
      </c>
      <c r="AS386" t="s">
        <v>6809</v>
      </c>
      <c r="AT386" t="s">
        <v>11201</v>
      </c>
      <c r="AU386" t="s">
        <v>11228</v>
      </c>
      <c r="AV386" t="s">
        <v>11230</v>
      </c>
      <c r="AW386" t="s">
        <v>6813</v>
      </c>
      <c r="AX386" t="s">
        <v>6809</v>
      </c>
    </row>
    <row r="387" spans="1:50">
      <c r="A387" s="1">
        <f>HYPERLINK("https://lsnyc.legalserver.org/matter/dynamic-profile/view/1898923","19-1898923")</f>
        <v>0</v>
      </c>
      <c r="B387" t="s">
        <v>93</v>
      </c>
      <c r="C387" t="s">
        <v>317</v>
      </c>
      <c r="D387" t="s">
        <v>1864</v>
      </c>
      <c r="E387" t="s">
        <v>3448</v>
      </c>
      <c r="F387" t="s">
        <v>5254</v>
      </c>
      <c r="G387" t="s">
        <v>5635</v>
      </c>
      <c r="H387">
        <v>10457</v>
      </c>
      <c r="I387" t="s">
        <v>5697</v>
      </c>
      <c r="J387" t="s">
        <v>5697</v>
      </c>
      <c r="L387" t="s">
        <v>6718</v>
      </c>
      <c r="M387" t="s">
        <v>6733</v>
      </c>
      <c r="N387" t="s">
        <v>6740</v>
      </c>
      <c r="O387" t="s">
        <v>6748</v>
      </c>
      <c r="P387" t="s">
        <v>5697</v>
      </c>
      <c r="R387" t="s">
        <v>6793</v>
      </c>
      <c r="U387">
        <v>833.4</v>
      </c>
      <c r="V387" t="s">
        <v>6833</v>
      </c>
      <c r="W387" t="s">
        <v>6838</v>
      </c>
      <c r="X387" t="s">
        <v>6857</v>
      </c>
      <c r="Y387" t="s">
        <v>7242</v>
      </c>
      <c r="AB387">
        <v>0</v>
      </c>
      <c r="AC387" t="s">
        <v>10929</v>
      </c>
      <c r="AD387" t="s">
        <v>5741</v>
      </c>
      <c r="AE387">
        <v>30</v>
      </c>
      <c r="AF387">
        <v>1</v>
      </c>
      <c r="AG387">
        <v>0</v>
      </c>
      <c r="AH387">
        <v>0</v>
      </c>
      <c r="AK387" t="s">
        <v>10966</v>
      </c>
      <c r="AL387">
        <v>0</v>
      </c>
      <c r="AM387" t="s">
        <v>11025</v>
      </c>
      <c r="AR387">
        <v>4.6</v>
      </c>
      <c r="AS387" t="s">
        <v>11143</v>
      </c>
      <c r="AT387" t="s">
        <v>93</v>
      </c>
      <c r="AV387" t="s">
        <v>11230</v>
      </c>
      <c r="AW387" t="s">
        <v>10959</v>
      </c>
      <c r="AX387" t="s">
        <v>6823</v>
      </c>
    </row>
    <row r="388" spans="1:50">
      <c r="A388" s="1">
        <f>HYPERLINK("https://lsnyc.legalserver.org/matter/dynamic-profile/view/1903760","19-1903760")</f>
        <v>0</v>
      </c>
      <c r="B388" t="s">
        <v>68</v>
      </c>
      <c r="C388" t="s">
        <v>335</v>
      </c>
      <c r="D388" t="s">
        <v>1717</v>
      </c>
      <c r="E388" t="s">
        <v>3449</v>
      </c>
      <c r="F388" t="s">
        <v>5093</v>
      </c>
      <c r="G388" t="s">
        <v>5637</v>
      </c>
      <c r="H388">
        <v>11218</v>
      </c>
      <c r="I388" t="s">
        <v>5695</v>
      </c>
      <c r="J388" t="s">
        <v>5696</v>
      </c>
      <c r="M388" t="s">
        <v>6733</v>
      </c>
      <c r="N388" t="s">
        <v>6740</v>
      </c>
      <c r="O388" t="s">
        <v>6754</v>
      </c>
      <c r="R388" t="s">
        <v>6793</v>
      </c>
      <c r="U388">
        <v>345</v>
      </c>
      <c r="V388" t="s">
        <v>6835</v>
      </c>
      <c r="W388" t="s">
        <v>6843</v>
      </c>
      <c r="X388" t="s">
        <v>6861</v>
      </c>
      <c r="Y388" t="s">
        <v>7243</v>
      </c>
      <c r="AA388" t="s">
        <v>9366</v>
      </c>
      <c r="AB388">
        <v>4</v>
      </c>
      <c r="AE388">
        <v>10</v>
      </c>
      <c r="AF388">
        <v>1</v>
      </c>
      <c r="AG388">
        <v>0</v>
      </c>
      <c r="AH388">
        <v>69.18000000000001</v>
      </c>
      <c r="AK388" t="s">
        <v>10967</v>
      </c>
      <c r="AL388">
        <v>8640</v>
      </c>
      <c r="AR388">
        <v>1.25</v>
      </c>
      <c r="AS388" t="s">
        <v>6811</v>
      </c>
      <c r="AT388" t="s">
        <v>11198</v>
      </c>
      <c r="AU388" t="s">
        <v>11228</v>
      </c>
      <c r="AV388" t="s">
        <v>11230</v>
      </c>
      <c r="AW388" t="s">
        <v>6811</v>
      </c>
      <c r="AX388" t="s">
        <v>6811</v>
      </c>
    </row>
    <row r="389" spans="1:50">
      <c r="A389" s="1">
        <f>HYPERLINK("https://lsnyc.legalserver.org/matter/dynamic-profile/view/1904833","19-1904833")</f>
        <v>0</v>
      </c>
      <c r="B389" t="s">
        <v>99</v>
      </c>
      <c r="C389" t="s">
        <v>345</v>
      </c>
      <c r="D389" t="s">
        <v>1948</v>
      </c>
      <c r="E389" t="s">
        <v>3450</v>
      </c>
      <c r="F389" t="s">
        <v>5176</v>
      </c>
      <c r="G389" t="s">
        <v>5637</v>
      </c>
      <c r="H389">
        <v>11219</v>
      </c>
      <c r="I389" t="s">
        <v>5695</v>
      </c>
      <c r="J389" t="s">
        <v>5696</v>
      </c>
      <c r="M389" t="s">
        <v>6733</v>
      </c>
      <c r="N389" t="s">
        <v>6740</v>
      </c>
      <c r="O389" t="s">
        <v>6754</v>
      </c>
      <c r="R389" t="s">
        <v>6795</v>
      </c>
      <c r="T389" t="s">
        <v>6816</v>
      </c>
      <c r="U389">
        <v>871.7</v>
      </c>
      <c r="V389" t="s">
        <v>6835</v>
      </c>
      <c r="W389" t="s">
        <v>6840</v>
      </c>
      <c r="X389" t="s">
        <v>6857</v>
      </c>
      <c r="Y389" t="s">
        <v>7244</v>
      </c>
      <c r="AA389" t="s">
        <v>9367</v>
      </c>
      <c r="AB389">
        <v>100</v>
      </c>
      <c r="AC389" t="s">
        <v>10929</v>
      </c>
      <c r="AE389">
        <v>31</v>
      </c>
      <c r="AF389">
        <v>1</v>
      </c>
      <c r="AG389">
        <v>1</v>
      </c>
      <c r="AH389">
        <v>37.33</v>
      </c>
      <c r="AK389" t="s">
        <v>10967</v>
      </c>
      <c r="AL389">
        <v>6312</v>
      </c>
      <c r="AR389">
        <v>1.75</v>
      </c>
      <c r="AS389" t="s">
        <v>6814</v>
      </c>
      <c r="AT389" t="s">
        <v>11198</v>
      </c>
      <c r="AU389" t="s">
        <v>11228</v>
      </c>
      <c r="AV389" t="s">
        <v>11230</v>
      </c>
      <c r="AW389" t="s">
        <v>6816</v>
      </c>
      <c r="AX389" t="s">
        <v>6814</v>
      </c>
    </row>
    <row r="390" spans="1:50">
      <c r="A390" s="1">
        <f>HYPERLINK("https://lsnyc.legalserver.org/matter/dynamic-profile/view/1899747","19-1899747")</f>
        <v>0</v>
      </c>
      <c r="B390" t="s">
        <v>72</v>
      </c>
      <c r="C390" t="s">
        <v>631</v>
      </c>
      <c r="D390" t="s">
        <v>1663</v>
      </c>
      <c r="E390" t="s">
        <v>3451</v>
      </c>
      <c r="F390" t="s">
        <v>5255</v>
      </c>
      <c r="G390" t="s">
        <v>5637</v>
      </c>
      <c r="H390">
        <v>11225</v>
      </c>
      <c r="I390" t="s">
        <v>5696</v>
      </c>
      <c r="J390" t="s">
        <v>5696</v>
      </c>
      <c r="M390" t="s">
        <v>6733</v>
      </c>
      <c r="N390" t="s">
        <v>6740</v>
      </c>
      <c r="O390" t="s">
        <v>6746</v>
      </c>
      <c r="R390" t="s">
        <v>6793</v>
      </c>
      <c r="U390">
        <v>0</v>
      </c>
      <c r="V390" t="s">
        <v>6835</v>
      </c>
      <c r="X390" t="s">
        <v>6857</v>
      </c>
      <c r="Y390" t="s">
        <v>7245</v>
      </c>
      <c r="AA390" t="s">
        <v>9368</v>
      </c>
      <c r="AB390">
        <v>0</v>
      </c>
      <c r="AE390">
        <v>0</v>
      </c>
      <c r="AF390">
        <v>1</v>
      </c>
      <c r="AG390">
        <v>0</v>
      </c>
      <c r="AH390">
        <v>39.14</v>
      </c>
      <c r="AL390">
        <v>4888</v>
      </c>
      <c r="AR390">
        <v>1</v>
      </c>
      <c r="AS390" t="s">
        <v>11168</v>
      </c>
      <c r="AT390" t="s">
        <v>141</v>
      </c>
      <c r="AV390" t="s">
        <v>11230</v>
      </c>
      <c r="AW390" t="s">
        <v>11146</v>
      </c>
      <c r="AX390" t="s">
        <v>11168</v>
      </c>
    </row>
    <row r="391" spans="1:50">
      <c r="A391" s="1">
        <f>HYPERLINK("https://lsnyc.legalserver.org/matter/dynamic-profile/view/1905438","19-1905438")</f>
        <v>0</v>
      </c>
      <c r="B391" t="s">
        <v>50</v>
      </c>
      <c r="C391" t="s">
        <v>632</v>
      </c>
      <c r="D391" t="s">
        <v>1949</v>
      </c>
      <c r="E391" t="s">
        <v>3452</v>
      </c>
      <c r="F391" t="s">
        <v>5161</v>
      </c>
      <c r="G391" t="s">
        <v>5635</v>
      </c>
      <c r="H391">
        <v>10452</v>
      </c>
      <c r="I391" t="s">
        <v>5695</v>
      </c>
      <c r="J391" t="s">
        <v>5696</v>
      </c>
      <c r="M391" t="s">
        <v>6733</v>
      </c>
      <c r="N391" t="s">
        <v>6740</v>
      </c>
      <c r="O391" t="s">
        <v>6745</v>
      </c>
      <c r="P391" t="s">
        <v>5697</v>
      </c>
      <c r="R391" t="s">
        <v>6793</v>
      </c>
      <c r="U391">
        <v>718.41</v>
      </c>
      <c r="V391" t="s">
        <v>6833</v>
      </c>
      <c r="W391" t="s">
        <v>6838</v>
      </c>
      <c r="X391" t="s">
        <v>6864</v>
      </c>
      <c r="Y391" t="s">
        <v>7246</v>
      </c>
      <c r="AA391" t="s">
        <v>9369</v>
      </c>
      <c r="AB391">
        <v>61</v>
      </c>
      <c r="AC391" t="s">
        <v>10929</v>
      </c>
      <c r="AD391" t="s">
        <v>10945</v>
      </c>
      <c r="AE391">
        <v>30</v>
      </c>
      <c r="AF391">
        <v>1</v>
      </c>
      <c r="AG391">
        <v>0</v>
      </c>
      <c r="AH391">
        <v>131.43</v>
      </c>
      <c r="AK391" t="s">
        <v>10966</v>
      </c>
      <c r="AL391">
        <v>16416</v>
      </c>
      <c r="AR391">
        <v>1</v>
      </c>
      <c r="AS391" t="s">
        <v>6826</v>
      </c>
      <c r="AT391" t="s">
        <v>11176</v>
      </c>
      <c r="AU391" t="s">
        <v>11228</v>
      </c>
      <c r="AV391" t="s">
        <v>11230</v>
      </c>
      <c r="AW391" t="s">
        <v>6822</v>
      </c>
      <c r="AX391" t="s">
        <v>6827</v>
      </c>
    </row>
    <row r="392" spans="1:50">
      <c r="A392" s="1">
        <f>HYPERLINK("https://lsnyc.legalserver.org/matter/dynamic-profile/view/1903173","19-1903173")</f>
        <v>0</v>
      </c>
      <c r="B392" t="s">
        <v>112</v>
      </c>
      <c r="C392" t="s">
        <v>533</v>
      </c>
      <c r="D392" t="s">
        <v>1676</v>
      </c>
      <c r="E392" t="s">
        <v>3453</v>
      </c>
      <c r="F392" t="s">
        <v>5256</v>
      </c>
      <c r="G392" t="s">
        <v>5638</v>
      </c>
      <c r="H392">
        <v>10029</v>
      </c>
      <c r="I392" t="s">
        <v>5696</v>
      </c>
      <c r="J392" t="s">
        <v>5696</v>
      </c>
      <c r="M392" t="s">
        <v>6733</v>
      </c>
      <c r="N392" t="s">
        <v>6740</v>
      </c>
      <c r="O392" t="s">
        <v>6748</v>
      </c>
      <c r="R392" t="s">
        <v>6794</v>
      </c>
      <c r="U392">
        <v>193</v>
      </c>
      <c r="V392" t="s">
        <v>6836</v>
      </c>
      <c r="W392" t="s">
        <v>6843</v>
      </c>
      <c r="X392" t="s">
        <v>6861</v>
      </c>
      <c r="Y392" t="s">
        <v>7247</v>
      </c>
      <c r="AA392" t="s">
        <v>9370</v>
      </c>
      <c r="AB392">
        <v>282</v>
      </c>
      <c r="AC392" t="s">
        <v>10931</v>
      </c>
      <c r="AE392">
        <v>2</v>
      </c>
      <c r="AF392">
        <v>1</v>
      </c>
      <c r="AG392">
        <v>0</v>
      </c>
      <c r="AH392">
        <v>66.58</v>
      </c>
      <c r="AK392" t="s">
        <v>10966</v>
      </c>
      <c r="AL392">
        <v>8316</v>
      </c>
      <c r="AR392">
        <v>1</v>
      </c>
      <c r="AS392" t="s">
        <v>10953</v>
      </c>
      <c r="AT392" t="s">
        <v>11203</v>
      </c>
      <c r="AV392" t="s">
        <v>11230</v>
      </c>
      <c r="AW392" t="s">
        <v>10953</v>
      </c>
      <c r="AX392" t="s">
        <v>6824</v>
      </c>
    </row>
    <row r="393" spans="1:50">
      <c r="A393" s="1">
        <f>HYPERLINK("https://lsnyc.legalserver.org/matter/dynamic-profile/view/1896229","19-1896229")</f>
        <v>0</v>
      </c>
      <c r="B393" t="s">
        <v>99</v>
      </c>
      <c r="C393" t="s">
        <v>572</v>
      </c>
      <c r="D393" t="s">
        <v>1685</v>
      </c>
      <c r="E393" t="s">
        <v>3454</v>
      </c>
      <c r="F393" t="s">
        <v>5130</v>
      </c>
      <c r="G393" t="s">
        <v>5637</v>
      </c>
      <c r="H393">
        <v>11228</v>
      </c>
      <c r="I393" t="s">
        <v>5696</v>
      </c>
      <c r="J393" t="s">
        <v>5696</v>
      </c>
      <c r="M393" t="s">
        <v>6733</v>
      </c>
      <c r="N393" t="s">
        <v>6740</v>
      </c>
      <c r="O393" t="s">
        <v>6754</v>
      </c>
      <c r="R393" t="s">
        <v>6793</v>
      </c>
      <c r="U393">
        <v>292</v>
      </c>
      <c r="V393" t="s">
        <v>6835</v>
      </c>
      <c r="X393" t="s">
        <v>6861</v>
      </c>
      <c r="Y393" t="s">
        <v>7248</v>
      </c>
      <c r="AA393" t="s">
        <v>9371</v>
      </c>
      <c r="AB393">
        <v>0</v>
      </c>
      <c r="AC393" t="s">
        <v>8953</v>
      </c>
      <c r="AD393" t="s">
        <v>10944</v>
      </c>
      <c r="AE393">
        <v>10</v>
      </c>
      <c r="AF393">
        <v>1</v>
      </c>
      <c r="AG393">
        <v>0</v>
      </c>
      <c r="AH393">
        <v>120.1</v>
      </c>
      <c r="AK393" t="s">
        <v>10966</v>
      </c>
      <c r="AL393">
        <v>15000</v>
      </c>
      <c r="AR393">
        <v>4.95</v>
      </c>
      <c r="AS393" t="s">
        <v>11140</v>
      </c>
      <c r="AT393" t="s">
        <v>11186</v>
      </c>
      <c r="AV393" t="s">
        <v>11230</v>
      </c>
      <c r="AW393" t="s">
        <v>11167</v>
      </c>
      <c r="AX393" t="s">
        <v>11140</v>
      </c>
    </row>
    <row r="394" spans="1:50">
      <c r="A394" s="1">
        <f>HYPERLINK("https://lsnyc.legalserver.org/matter/dynamic-profile/view/1904876","19-1904876")</f>
        <v>0</v>
      </c>
      <c r="B394" t="s">
        <v>112</v>
      </c>
      <c r="C394" t="s">
        <v>633</v>
      </c>
      <c r="D394" t="s">
        <v>1950</v>
      </c>
      <c r="E394" t="s">
        <v>3455</v>
      </c>
      <c r="F394">
        <v>58</v>
      </c>
      <c r="G394" t="s">
        <v>5638</v>
      </c>
      <c r="H394">
        <v>10024</v>
      </c>
      <c r="I394" t="s">
        <v>5695</v>
      </c>
      <c r="J394" t="s">
        <v>5696</v>
      </c>
      <c r="M394" t="s">
        <v>6733</v>
      </c>
      <c r="N394" t="s">
        <v>6740</v>
      </c>
      <c r="O394" t="s">
        <v>6748</v>
      </c>
      <c r="R394" t="s">
        <v>6793</v>
      </c>
      <c r="T394" t="s">
        <v>6808</v>
      </c>
      <c r="U394">
        <v>860</v>
      </c>
      <c r="V394" t="s">
        <v>6836</v>
      </c>
      <c r="X394" t="s">
        <v>6861</v>
      </c>
      <c r="Y394" t="s">
        <v>7249</v>
      </c>
      <c r="AA394" t="s">
        <v>9372</v>
      </c>
      <c r="AB394">
        <v>25</v>
      </c>
      <c r="AD394" t="s">
        <v>10945</v>
      </c>
      <c r="AE394">
        <v>45</v>
      </c>
      <c r="AF394">
        <v>1</v>
      </c>
      <c r="AG394">
        <v>0</v>
      </c>
      <c r="AH394">
        <v>67.25</v>
      </c>
      <c r="AK394" t="s">
        <v>10966</v>
      </c>
      <c r="AL394">
        <v>8400</v>
      </c>
      <c r="AR394">
        <v>1</v>
      </c>
      <c r="AS394" t="s">
        <v>6816</v>
      </c>
      <c r="AT394" t="s">
        <v>11192</v>
      </c>
      <c r="AU394" t="s">
        <v>11228</v>
      </c>
      <c r="AV394" t="s">
        <v>11230</v>
      </c>
      <c r="AW394" t="s">
        <v>6816</v>
      </c>
      <c r="AX394" t="s">
        <v>6824</v>
      </c>
    </row>
    <row r="395" spans="1:50">
      <c r="A395" s="1">
        <f>HYPERLINK("https://lsnyc.legalserver.org/matter/dynamic-profile/view/1904346","19-1904346")</f>
        <v>0</v>
      </c>
      <c r="B395" t="s">
        <v>112</v>
      </c>
      <c r="C395" t="s">
        <v>634</v>
      </c>
      <c r="D395" t="s">
        <v>1951</v>
      </c>
      <c r="E395" t="s">
        <v>3456</v>
      </c>
      <c r="F395" t="s">
        <v>5257</v>
      </c>
      <c r="G395" t="s">
        <v>5638</v>
      </c>
      <c r="H395">
        <v>10029</v>
      </c>
      <c r="I395" t="s">
        <v>5696</v>
      </c>
      <c r="J395" t="s">
        <v>5696</v>
      </c>
      <c r="M395" t="s">
        <v>6733</v>
      </c>
      <c r="N395" t="s">
        <v>6740</v>
      </c>
      <c r="O395" t="s">
        <v>6748</v>
      </c>
      <c r="P395" t="s">
        <v>5697</v>
      </c>
      <c r="R395" t="s">
        <v>6794</v>
      </c>
      <c r="U395">
        <v>900</v>
      </c>
      <c r="V395" t="s">
        <v>6836</v>
      </c>
      <c r="X395" t="s">
        <v>6861</v>
      </c>
      <c r="Y395" t="s">
        <v>7250</v>
      </c>
      <c r="AB395">
        <v>70</v>
      </c>
      <c r="AE395">
        <v>10</v>
      </c>
      <c r="AF395">
        <v>2</v>
      </c>
      <c r="AG395">
        <v>1</v>
      </c>
      <c r="AH395">
        <v>28.13</v>
      </c>
      <c r="AK395" t="s">
        <v>10968</v>
      </c>
      <c r="AL395">
        <v>6000</v>
      </c>
      <c r="AR395">
        <v>1</v>
      </c>
      <c r="AS395" t="s">
        <v>6813</v>
      </c>
      <c r="AT395" t="s">
        <v>11192</v>
      </c>
      <c r="AV395" t="s">
        <v>11230</v>
      </c>
      <c r="AW395" t="s">
        <v>6813</v>
      </c>
      <c r="AX395" t="s">
        <v>6824</v>
      </c>
    </row>
    <row r="396" spans="1:50">
      <c r="A396" s="1">
        <f>HYPERLINK("https://lsnyc.legalserver.org/matter/dynamic-profile/view/1901007","19-1901007")</f>
        <v>0</v>
      </c>
      <c r="B396" t="s">
        <v>169</v>
      </c>
      <c r="C396" t="s">
        <v>635</v>
      </c>
      <c r="D396" t="s">
        <v>1952</v>
      </c>
      <c r="E396" t="s">
        <v>3457</v>
      </c>
      <c r="F396" t="s">
        <v>5258</v>
      </c>
      <c r="G396" t="s">
        <v>5652</v>
      </c>
      <c r="H396">
        <v>11692</v>
      </c>
      <c r="I396" t="s">
        <v>5696</v>
      </c>
      <c r="J396" t="s">
        <v>5696</v>
      </c>
      <c r="M396" t="s">
        <v>6733</v>
      </c>
      <c r="N396" t="s">
        <v>6740</v>
      </c>
      <c r="O396" t="s">
        <v>6768</v>
      </c>
      <c r="R396" t="s">
        <v>6798</v>
      </c>
      <c r="U396">
        <v>0</v>
      </c>
      <c r="V396" t="s">
        <v>6837</v>
      </c>
      <c r="X396" t="s">
        <v>6865</v>
      </c>
      <c r="Y396" t="s">
        <v>7251</v>
      </c>
      <c r="AB396">
        <v>0</v>
      </c>
      <c r="AE396">
        <v>0</v>
      </c>
      <c r="AF396">
        <v>2</v>
      </c>
      <c r="AG396">
        <v>0</v>
      </c>
      <c r="AH396">
        <v>0</v>
      </c>
      <c r="AL396">
        <v>0</v>
      </c>
      <c r="AR396">
        <v>2.2</v>
      </c>
      <c r="AS396" t="s">
        <v>11146</v>
      </c>
      <c r="AT396" t="s">
        <v>169</v>
      </c>
      <c r="AV396" t="s">
        <v>11230</v>
      </c>
      <c r="AW396" t="s">
        <v>11120</v>
      </c>
      <c r="AX396" t="s">
        <v>6811</v>
      </c>
    </row>
    <row r="397" spans="1:50">
      <c r="A397" s="1">
        <f>HYPERLINK("https://lsnyc.legalserver.org/matter/dynamic-profile/view/1897511","19-1897511")</f>
        <v>0</v>
      </c>
      <c r="B397" t="s">
        <v>170</v>
      </c>
      <c r="C397" t="s">
        <v>356</v>
      </c>
      <c r="D397" t="s">
        <v>1953</v>
      </c>
      <c r="E397" t="s">
        <v>3458</v>
      </c>
      <c r="F397">
        <v>30</v>
      </c>
      <c r="G397" t="s">
        <v>5638</v>
      </c>
      <c r="H397">
        <v>10039</v>
      </c>
      <c r="I397" t="s">
        <v>5695</v>
      </c>
      <c r="J397" t="s">
        <v>5695</v>
      </c>
      <c r="K397" t="s">
        <v>5808</v>
      </c>
      <c r="L397" t="s">
        <v>6714</v>
      </c>
      <c r="M397" t="s">
        <v>6734</v>
      </c>
      <c r="N397" t="s">
        <v>6740</v>
      </c>
      <c r="O397" t="s">
        <v>6759</v>
      </c>
      <c r="P397" t="s">
        <v>5697</v>
      </c>
      <c r="R397" t="s">
        <v>6793</v>
      </c>
      <c r="U397">
        <v>1495</v>
      </c>
      <c r="V397" t="s">
        <v>6836</v>
      </c>
      <c r="W397" t="s">
        <v>6840</v>
      </c>
      <c r="X397" t="s">
        <v>6857</v>
      </c>
      <c r="Y397" t="s">
        <v>7252</v>
      </c>
      <c r="AA397" t="s">
        <v>9373</v>
      </c>
      <c r="AB397">
        <v>0</v>
      </c>
      <c r="AC397" t="s">
        <v>10929</v>
      </c>
      <c r="AD397" t="s">
        <v>10948</v>
      </c>
      <c r="AE397">
        <v>7</v>
      </c>
      <c r="AF397">
        <v>1</v>
      </c>
      <c r="AG397">
        <v>0</v>
      </c>
      <c r="AH397">
        <v>19.02</v>
      </c>
      <c r="AK397" t="s">
        <v>10966</v>
      </c>
      <c r="AL397">
        <v>2376</v>
      </c>
      <c r="AR397">
        <v>0.1</v>
      </c>
      <c r="AS397" t="s">
        <v>11165</v>
      </c>
      <c r="AT397" t="s">
        <v>305</v>
      </c>
      <c r="AV397" t="s">
        <v>11230</v>
      </c>
      <c r="AW397" t="s">
        <v>11165</v>
      </c>
      <c r="AX397" t="s">
        <v>11165</v>
      </c>
    </row>
    <row r="398" spans="1:50">
      <c r="A398" s="1">
        <f>HYPERLINK("https://lsnyc.legalserver.org/matter/dynamic-profile/view/1901033","19-1901033")</f>
        <v>0</v>
      </c>
      <c r="B398" t="s">
        <v>88</v>
      </c>
      <c r="C398" t="s">
        <v>636</v>
      </c>
      <c r="D398" t="s">
        <v>1954</v>
      </c>
      <c r="E398" t="s">
        <v>3459</v>
      </c>
      <c r="F398" t="s">
        <v>5110</v>
      </c>
      <c r="G398" t="s">
        <v>5637</v>
      </c>
      <c r="H398">
        <v>11210</v>
      </c>
      <c r="I398" t="s">
        <v>5696</v>
      </c>
      <c r="J398" t="s">
        <v>5696</v>
      </c>
      <c r="K398" t="s">
        <v>5809</v>
      </c>
      <c r="M398" t="s">
        <v>6734</v>
      </c>
      <c r="N398" t="s">
        <v>6740</v>
      </c>
      <c r="O398" t="s">
        <v>6748</v>
      </c>
      <c r="R398" t="s">
        <v>6793</v>
      </c>
      <c r="U398">
        <v>900</v>
      </c>
      <c r="V398" t="s">
        <v>6835</v>
      </c>
      <c r="W398" t="s">
        <v>6848</v>
      </c>
      <c r="X398" t="s">
        <v>6859</v>
      </c>
      <c r="Y398" t="s">
        <v>7253</v>
      </c>
      <c r="AA398" t="s">
        <v>9374</v>
      </c>
      <c r="AB398">
        <v>2</v>
      </c>
      <c r="AD398" t="s">
        <v>5741</v>
      </c>
      <c r="AE398">
        <v>5</v>
      </c>
      <c r="AF398">
        <v>1</v>
      </c>
      <c r="AG398">
        <v>0</v>
      </c>
      <c r="AH398">
        <v>124.9</v>
      </c>
      <c r="AK398" t="s">
        <v>10966</v>
      </c>
      <c r="AL398">
        <v>15600</v>
      </c>
      <c r="AR398">
        <v>1</v>
      </c>
      <c r="AS398" t="s">
        <v>11120</v>
      </c>
      <c r="AT398" t="s">
        <v>11203</v>
      </c>
      <c r="AV398" t="s">
        <v>11230</v>
      </c>
      <c r="AW398" t="s">
        <v>11120</v>
      </c>
      <c r="AX398" t="s">
        <v>11161</v>
      </c>
    </row>
    <row r="399" spans="1:50">
      <c r="A399" s="1">
        <f>HYPERLINK("https://lsnyc.legalserver.org/matter/dynamic-profile/view/1904129","19-1904129")</f>
        <v>0</v>
      </c>
      <c r="B399" t="s">
        <v>96</v>
      </c>
      <c r="C399" t="s">
        <v>637</v>
      </c>
      <c r="D399" t="s">
        <v>1109</v>
      </c>
      <c r="E399" t="s">
        <v>3460</v>
      </c>
      <c r="F399">
        <v>614</v>
      </c>
      <c r="G399" t="s">
        <v>5635</v>
      </c>
      <c r="H399">
        <v>10457</v>
      </c>
      <c r="I399" t="s">
        <v>5695</v>
      </c>
      <c r="J399" t="s">
        <v>5696</v>
      </c>
      <c r="K399" t="s">
        <v>5810</v>
      </c>
      <c r="L399" t="s">
        <v>6714</v>
      </c>
      <c r="M399" t="s">
        <v>6736</v>
      </c>
      <c r="N399" t="s">
        <v>6740</v>
      </c>
      <c r="O399" t="s">
        <v>6745</v>
      </c>
      <c r="P399" t="s">
        <v>5697</v>
      </c>
      <c r="R399" t="s">
        <v>6793</v>
      </c>
      <c r="S399" t="s">
        <v>6801</v>
      </c>
      <c r="U399">
        <v>1268</v>
      </c>
      <c r="V399" t="s">
        <v>6833</v>
      </c>
      <c r="W399" t="s">
        <v>6843</v>
      </c>
      <c r="X399" t="s">
        <v>6866</v>
      </c>
      <c r="Y399" t="s">
        <v>7254</v>
      </c>
      <c r="Z399" t="s">
        <v>8933</v>
      </c>
      <c r="AA399" t="s">
        <v>9375</v>
      </c>
      <c r="AB399">
        <v>0</v>
      </c>
      <c r="AC399" t="s">
        <v>10937</v>
      </c>
      <c r="AD399" t="s">
        <v>10946</v>
      </c>
      <c r="AE399">
        <v>1</v>
      </c>
      <c r="AF399">
        <v>1</v>
      </c>
      <c r="AG399">
        <v>1</v>
      </c>
      <c r="AH399">
        <v>52.66</v>
      </c>
      <c r="AK399" t="s">
        <v>10966</v>
      </c>
      <c r="AL399">
        <v>8904</v>
      </c>
      <c r="AR399">
        <v>0.5</v>
      </c>
      <c r="AS399" t="s">
        <v>6818</v>
      </c>
      <c r="AT399" t="s">
        <v>11196</v>
      </c>
      <c r="AU399" t="s">
        <v>11228</v>
      </c>
      <c r="AV399" t="s">
        <v>11230</v>
      </c>
      <c r="AW399" t="s">
        <v>6818</v>
      </c>
      <c r="AX399" t="s">
        <v>6818</v>
      </c>
    </row>
    <row r="400" spans="1:50">
      <c r="A400" s="1">
        <f>HYPERLINK("https://lsnyc.legalserver.org/matter/dynamic-profile/view/1897090","19-1897090")</f>
        <v>0</v>
      </c>
      <c r="B400" t="s">
        <v>171</v>
      </c>
      <c r="C400" t="s">
        <v>638</v>
      </c>
      <c r="D400" t="s">
        <v>1696</v>
      </c>
      <c r="E400" t="s">
        <v>3461</v>
      </c>
      <c r="F400" t="s">
        <v>5259</v>
      </c>
      <c r="G400" t="s">
        <v>5637</v>
      </c>
      <c r="H400">
        <v>11205</v>
      </c>
      <c r="I400" t="s">
        <v>5695</v>
      </c>
      <c r="J400" t="s">
        <v>5695</v>
      </c>
      <c r="L400" t="s">
        <v>5740</v>
      </c>
      <c r="N400" t="s">
        <v>6740</v>
      </c>
      <c r="O400" t="s">
        <v>6756</v>
      </c>
      <c r="R400" t="s">
        <v>6795</v>
      </c>
      <c r="U400">
        <v>910</v>
      </c>
      <c r="V400" t="s">
        <v>6835</v>
      </c>
      <c r="W400" t="s">
        <v>6838</v>
      </c>
      <c r="X400" t="s">
        <v>6857</v>
      </c>
      <c r="Y400" t="s">
        <v>7255</v>
      </c>
      <c r="AA400" t="s">
        <v>9376</v>
      </c>
      <c r="AB400">
        <v>0</v>
      </c>
      <c r="AE400">
        <v>11</v>
      </c>
      <c r="AF400">
        <v>2</v>
      </c>
      <c r="AG400">
        <v>2</v>
      </c>
      <c r="AH400">
        <v>69.90000000000001</v>
      </c>
      <c r="AK400" t="s">
        <v>10967</v>
      </c>
      <c r="AL400">
        <v>18000</v>
      </c>
      <c r="AR400">
        <v>0.75</v>
      </c>
      <c r="AS400" t="s">
        <v>11123</v>
      </c>
      <c r="AT400" t="s">
        <v>11190</v>
      </c>
      <c r="AV400" t="s">
        <v>11230</v>
      </c>
      <c r="AW400" t="s">
        <v>11121</v>
      </c>
      <c r="AX400" t="s">
        <v>11123</v>
      </c>
    </row>
    <row r="401" spans="1:50">
      <c r="A401" s="1">
        <f>HYPERLINK("https://lsnyc.legalserver.org/matter/dynamic-profile/view/1901258","19-1901258")</f>
        <v>0</v>
      </c>
      <c r="B401" t="s">
        <v>132</v>
      </c>
      <c r="C401" t="s">
        <v>639</v>
      </c>
      <c r="D401" t="s">
        <v>1955</v>
      </c>
      <c r="E401" t="s">
        <v>3462</v>
      </c>
      <c r="F401" t="s">
        <v>5260</v>
      </c>
      <c r="G401" t="s">
        <v>5637</v>
      </c>
      <c r="H401">
        <v>11216</v>
      </c>
      <c r="I401" t="s">
        <v>5696</v>
      </c>
      <c r="J401" t="s">
        <v>5696</v>
      </c>
      <c r="L401" t="s">
        <v>5740</v>
      </c>
      <c r="N401" t="s">
        <v>6740</v>
      </c>
      <c r="O401" t="s">
        <v>6771</v>
      </c>
      <c r="R401" t="s">
        <v>6793</v>
      </c>
      <c r="U401">
        <v>1150</v>
      </c>
      <c r="V401" t="s">
        <v>6835</v>
      </c>
      <c r="W401" t="s">
        <v>6844</v>
      </c>
      <c r="X401" t="s">
        <v>6857</v>
      </c>
      <c r="Y401" t="s">
        <v>7256</v>
      </c>
      <c r="AA401" t="s">
        <v>9377</v>
      </c>
      <c r="AB401">
        <v>56</v>
      </c>
      <c r="AC401" t="s">
        <v>8953</v>
      </c>
      <c r="AE401">
        <v>12</v>
      </c>
      <c r="AF401">
        <v>1</v>
      </c>
      <c r="AG401">
        <v>0</v>
      </c>
      <c r="AH401">
        <v>97.33</v>
      </c>
      <c r="AK401" t="s">
        <v>10966</v>
      </c>
      <c r="AL401">
        <v>12156</v>
      </c>
      <c r="AR401">
        <v>4.25</v>
      </c>
      <c r="AS401" t="s">
        <v>6815</v>
      </c>
      <c r="AT401" t="s">
        <v>11181</v>
      </c>
      <c r="AV401" t="s">
        <v>11230</v>
      </c>
      <c r="AW401" t="s">
        <v>11162</v>
      </c>
      <c r="AX401" t="s">
        <v>6815</v>
      </c>
    </row>
    <row r="402" spans="1:50">
      <c r="A402" s="1">
        <f>HYPERLINK("https://lsnyc.legalserver.org/matter/dynamic-profile/view/1901350","19-1901350")</f>
        <v>0</v>
      </c>
      <c r="B402" t="s">
        <v>88</v>
      </c>
      <c r="C402" t="s">
        <v>495</v>
      </c>
      <c r="D402" t="s">
        <v>1827</v>
      </c>
      <c r="E402" t="s">
        <v>3283</v>
      </c>
      <c r="F402" t="s">
        <v>5261</v>
      </c>
      <c r="G402" t="s">
        <v>5637</v>
      </c>
      <c r="H402">
        <v>11217</v>
      </c>
      <c r="I402" t="s">
        <v>5696</v>
      </c>
      <c r="J402" t="s">
        <v>5696</v>
      </c>
      <c r="L402" t="s">
        <v>6714</v>
      </c>
      <c r="N402" t="s">
        <v>6740</v>
      </c>
      <c r="O402" t="s">
        <v>6748</v>
      </c>
      <c r="R402" t="s">
        <v>6793</v>
      </c>
      <c r="U402">
        <v>718</v>
      </c>
      <c r="V402" t="s">
        <v>6835</v>
      </c>
      <c r="X402" t="s">
        <v>6859</v>
      </c>
      <c r="Y402" t="s">
        <v>7257</v>
      </c>
      <c r="AA402" t="s">
        <v>9378</v>
      </c>
      <c r="AB402">
        <v>12</v>
      </c>
      <c r="AD402" t="s">
        <v>10946</v>
      </c>
      <c r="AE402">
        <v>2</v>
      </c>
      <c r="AF402">
        <v>1</v>
      </c>
      <c r="AG402">
        <v>0</v>
      </c>
      <c r="AH402">
        <v>79.26000000000001</v>
      </c>
      <c r="AK402" t="s">
        <v>10966</v>
      </c>
      <c r="AL402">
        <v>9900</v>
      </c>
      <c r="AR402">
        <v>1</v>
      </c>
      <c r="AS402" t="s">
        <v>11148</v>
      </c>
      <c r="AT402" t="s">
        <v>11192</v>
      </c>
      <c r="AV402" t="s">
        <v>11230</v>
      </c>
      <c r="AW402" t="s">
        <v>11148</v>
      </c>
      <c r="AX402" t="s">
        <v>11161</v>
      </c>
    </row>
    <row r="403" spans="1:50">
      <c r="A403" s="1">
        <f>HYPERLINK("https://lsnyc.legalserver.org/matter/dynamic-profile/view/1900354","19-1900354")</f>
        <v>0</v>
      </c>
      <c r="B403" t="s">
        <v>90</v>
      </c>
      <c r="C403" t="s">
        <v>640</v>
      </c>
      <c r="D403" t="s">
        <v>1956</v>
      </c>
      <c r="E403" t="s">
        <v>3463</v>
      </c>
      <c r="F403" t="s">
        <v>5262</v>
      </c>
      <c r="G403" t="s">
        <v>5637</v>
      </c>
      <c r="H403">
        <v>11216</v>
      </c>
      <c r="I403" t="s">
        <v>5695</v>
      </c>
      <c r="J403" t="s">
        <v>5696</v>
      </c>
      <c r="N403" t="s">
        <v>6740</v>
      </c>
      <c r="O403" t="s">
        <v>6756</v>
      </c>
      <c r="P403" t="s">
        <v>5695</v>
      </c>
      <c r="R403" t="s">
        <v>6793</v>
      </c>
      <c r="U403">
        <v>950</v>
      </c>
      <c r="V403" t="s">
        <v>6835</v>
      </c>
      <c r="W403" t="s">
        <v>6849</v>
      </c>
      <c r="X403" t="s">
        <v>6857</v>
      </c>
      <c r="Y403" t="s">
        <v>7258</v>
      </c>
      <c r="AA403" t="s">
        <v>8917</v>
      </c>
      <c r="AB403">
        <v>14</v>
      </c>
      <c r="AC403" t="s">
        <v>10929</v>
      </c>
      <c r="AE403">
        <v>9</v>
      </c>
      <c r="AF403">
        <v>2</v>
      </c>
      <c r="AG403">
        <v>6</v>
      </c>
      <c r="AH403">
        <v>46.05</v>
      </c>
      <c r="AK403" t="s">
        <v>10972</v>
      </c>
      <c r="AL403">
        <v>20000</v>
      </c>
      <c r="AR403">
        <v>1.8</v>
      </c>
      <c r="AS403" t="s">
        <v>11135</v>
      </c>
      <c r="AT403" t="s">
        <v>11204</v>
      </c>
      <c r="AV403" t="s">
        <v>11230</v>
      </c>
      <c r="AW403" t="s">
        <v>11155</v>
      </c>
      <c r="AX403" t="s">
        <v>11135</v>
      </c>
    </row>
    <row r="404" spans="1:50">
      <c r="A404" s="1">
        <f>HYPERLINK("https://lsnyc.legalserver.org/matter/dynamic-profile/view/1898038","19-1898038")</f>
        <v>0</v>
      </c>
      <c r="B404" t="s">
        <v>144</v>
      </c>
      <c r="C404" t="s">
        <v>641</v>
      </c>
      <c r="D404" t="s">
        <v>1741</v>
      </c>
      <c r="E404" t="s">
        <v>3464</v>
      </c>
      <c r="F404" t="s">
        <v>5263</v>
      </c>
      <c r="G404" t="s">
        <v>5637</v>
      </c>
      <c r="H404">
        <v>11207</v>
      </c>
      <c r="I404" t="s">
        <v>5696</v>
      </c>
      <c r="J404" t="s">
        <v>5696</v>
      </c>
      <c r="N404" t="s">
        <v>6740</v>
      </c>
      <c r="O404" t="s">
        <v>6775</v>
      </c>
      <c r="R404" t="s">
        <v>6798</v>
      </c>
      <c r="U404">
        <v>0</v>
      </c>
      <c r="V404" t="s">
        <v>6835</v>
      </c>
      <c r="X404" t="s">
        <v>6861</v>
      </c>
      <c r="Y404" t="s">
        <v>7259</v>
      </c>
      <c r="AA404" t="s">
        <v>9379</v>
      </c>
      <c r="AB404">
        <v>0</v>
      </c>
      <c r="AE404">
        <v>0</v>
      </c>
      <c r="AF404">
        <v>1</v>
      </c>
      <c r="AG404">
        <v>0</v>
      </c>
      <c r="AH404">
        <v>104.92</v>
      </c>
      <c r="AL404">
        <v>13104</v>
      </c>
      <c r="AR404">
        <v>3.75</v>
      </c>
      <c r="AS404" t="s">
        <v>10959</v>
      </c>
      <c r="AT404" t="s">
        <v>144</v>
      </c>
      <c r="AV404" t="s">
        <v>11230</v>
      </c>
      <c r="AW404" t="s">
        <v>11141</v>
      </c>
      <c r="AX404" t="s">
        <v>10959</v>
      </c>
    </row>
    <row r="405" spans="1:50">
      <c r="A405" s="1">
        <f>HYPERLINK("https://lsnyc.legalserver.org/matter/dynamic-profile/view/1899491","19-1899491")</f>
        <v>0</v>
      </c>
      <c r="B405" t="s">
        <v>128</v>
      </c>
      <c r="C405" t="s">
        <v>414</v>
      </c>
      <c r="D405" t="s">
        <v>1957</v>
      </c>
      <c r="E405" t="s">
        <v>3465</v>
      </c>
      <c r="G405" t="s">
        <v>5644</v>
      </c>
      <c r="H405">
        <v>11434</v>
      </c>
      <c r="I405" t="s">
        <v>5696</v>
      </c>
      <c r="J405" t="s">
        <v>5696</v>
      </c>
      <c r="N405" t="s">
        <v>6740</v>
      </c>
      <c r="O405" t="s">
        <v>6780</v>
      </c>
      <c r="R405" t="s">
        <v>6798</v>
      </c>
      <c r="U405">
        <v>0</v>
      </c>
      <c r="V405" t="s">
        <v>6835</v>
      </c>
      <c r="X405" t="s">
        <v>6861</v>
      </c>
      <c r="Y405" t="s">
        <v>7260</v>
      </c>
      <c r="AA405" t="s">
        <v>9380</v>
      </c>
      <c r="AB405">
        <v>0</v>
      </c>
      <c r="AE405">
        <v>0</v>
      </c>
      <c r="AF405">
        <v>2</v>
      </c>
      <c r="AG405">
        <v>5</v>
      </c>
      <c r="AH405">
        <v>178.93</v>
      </c>
      <c r="AL405">
        <v>69800</v>
      </c>
      <c r="AR405">
        <v>4</v>
      </c>
      <c r="AS405" t="s">
        <v>10957</v>
      </c>
      <c r="AT405" t="s">
        <v>128</v>
      </c>
      <c r="AV405" t="s">
        <v>11230</v>
      </c>
      <c r="AW405" t="s">
        <v>10957</v>
      </c>
      <c r="AX405" t="s">
        <v>6819</v>
      </c>
    </row>
    <row r="406" spans="1:50">
      <c r="A406" s="1">
        <f>HYPERLINK("https://lsnyc.legalserver.org/matter/dynamic-profile/view/1898272","19-1898272")</f>
        <v>0</v>
      </c>
      <c r="B406" t="s">
        <v>68</v>
      </c>
      <c r="C406" t="s">
        <v>441</v>
      </c>
      <c r="D406" t="s">
        <v>369</v>
      </c>
      <c r="E406" t="s">
        <v>3466</v>
      </c>
      <c r="F406" t="s">
        <v>5192</v>
      </c>
      <c r="G406" t="s">
        <v>5637</v>
      </c>
      <c r="H406">
        <v>11213</v>
      </c>
      <c r="I406" t="s">
        <v>5696</v>
      </c>
      <c r="J406" t="s">
        <v>5696</v>
      </c>
      <c r="N406" t="s">
        <v>6740</v>
      </c>
      <c r="O406" t="s">
        <v>6754</v>
      </c>
      <c r="R406" t="s">
        <v>6795</v>
      </c>
      <c r="U406">
        <v>0</v>
      </c>
      <c r="V406" t="s">
        <v>6835</v>
      </c>
      <c r="X406" t="s">
        <v>6861</v>
      </c>
      <c r="Y406" t="s">
        <v>7261</v>
      </c>
      <c r="AA406" t="s">
        <v>9381</v>
      </c>
      <c r="AB406">
        <v>0</v>
      </c>
      <c r="AE406">
        <v>0</v>
      </c>
      <c r="AF406">
        <v>1</v>
      </c>
      <c r="AG406">
        <v>0</v>
      </c>
      <c r="AH406">
        <v>82.23999999999999</v>
      </c>
      <c r="AK406" t="s">
        <v>10966</v>
      </c>
      <c r="AL406">
        <v>10272</v>
      </c>
      <c r="AR406">
        <v>4.75</v>
      </c>
      <c r="AS406" t="s">
        <v>6811</v>
      </c>
      <c r="AT406" t="s">
        <v>11198</v>
      </c>
      <c r="AV406" t="s">
        <v>11230</v>
      </c>
      <c r="AW406" t="s">
        <v>10956</v>
      </c>
      <c r="AX406" t="s">
        <v>11139</v>
      </c>
    </row>
    <row r="407" spans="1:50">
      <c r="A407" s="1">
        <f>HYPERLINK("https://lsnyc.legalserver.org/matter/dynamic-profile/view/1898475","19-1898475")</f>
        <v>0</v>
      </c>
      <c r="B407" t="s">
        <v>144</v>
      </c>
      <c r="C407" t="s">
        <v>642</v>
      </c>
      <c r="D407" t="s">
        <v>1958</v>
      </c>
      <c r="E407" t="s">
        <v>3467</v>
      </c>
      <c r="G407" t="s">
        <v>5637</v>
      </c>
      <c r="H407">
        <v>11228</v>
      </c>
      <c r="I407" t="s">
        <v>5696</v>
      </c>
      <c r="J407" t="s">
        <v>5696</v>
      </c>
      <c r="N407" t="s">
        <v>6740</v>
      </c>
      <c r="O407" t="s">
        <v>6775</v>
      </c>
      <c r="R407" t="s">
        <v>6798</v>
      </c>
      <c r="U407">
        <v>0</v>
      </c>
      <c r="V407" t="s">
        <v>6835</v>
      </c>
      <c r="X407" t="s">
        <v>6859</v>
      </c>
      <c r="Y407" t="s">
        <v>7262</v>
      </c>
      <c r="AA407" t="s">
        <v>9382</v>
      </c>
      <c r="AB407">
        <v>0</v>
      </c>
      <c r="AE407">
        <v>0</v>
      </c>
      <c r="AF407">
        <v>2</v>
      </c>
      <c r="AG407">
        <v>0</v>
      </c>
      <c r="AH407">
        <v>91.33</v>
      </c>
      <c r="AK407" t="s">
        <v>10966</v>
      </c>
      <c r="AL407">
        <v>15444</v>
      </c>
      <c r="AR407">
        <v>3.35</v>
      </c>
      <c r="AS407" t="s">
        <v>11169</v>
      </c>
      <c r="AT407" t="s">
        <v>11181</v>
      </c>
      <c r="AV407" t="s">
        <v>11230</v>
      </c>
      <c r="AW407" t="s">
        <v>11141</v>
      </c>
      <c r="AX407" t="s">
        <v>11126</v>
      </c>
    </row>
    <row r="408" spans="1:50">
      <c r="A408" s="1">
        <f>HYPERLINK("https://lsnyc.legalserver.org/matter/dynamic-profile/view/1898291","19-1898291")</f>
        <v>0</v>
      </c>
      <c r="B408" t="s">
        <v>172</v>
      </c>
      <c r="C408" t="s">
        <v>643</v>
      </c>
      <c r="D408" t="s">
        <v>1959</v>
      </c>
      <c r="E408" t="s">
        <v>3468</v>
      </c>
      <c r="F408">
        <v>15</v>
      </c>
      <c r="G408" t="s">
        <v>5635</v>
      </c>
      <c r="H408">
        <v>10467</v>
      </c>
      <c r="I408" t="s">
        <v>5696</v>
      </c>
      <c r="J408" t="s">
        <v>5696</v>
      </c>
      <c r="N408" t="s">
        <v>6740</v>
      </c>
      <c r="O408" t="s">
        <v>6777</v>
      </c>
      <c r="R408" t="s">
        <v>6793</v>
      </c>
      <c r="U408">
        <v>0</v>
      </c>
      <c r="V408" t="s">
        <v>6836</v>
      </c>
      <c r="X408" t="s">
        <v>6859</v>
      </c>
      <c r="Y408" t="s">
        <v>7263</v>
      </c>
      <c r="AA408" t="s">
        <v>9383</v>
      </c>
      <c r="AB408">
        <v>0</v>
      </c>
      <c r="AE408">
        <v>0</v>
      </c>
      <c r="AF408">
        <v>1</v>
      </c>
      <c r="AG408">
        <v>3</v>
      </c>
      <c r="AH408">
        <v>37.97</v>
      </c>
      <c r="AL408">
        <v>9776</v>
      </c>
      <c r="AR408">
        <v>6.5</v>
      </c>
      <c r="AS408" t="s">
        <v>6820</v>
      </c>
      <c r="AT408" t="s">
        <v>229</v>
      </c>
      <c r="AV408" t="s">
        <v>11230</v>
      </c>
      <c r="AW408" t="s">
        <v>11142</v>
      </c>
      <c r="AX408" t="s">
        <v>6820</v>
      </c>
    </row>
    <row r="409" spans="1:50">
      <c r="A409" s="1">
        <f>HYPERLINK("https://lsnyc.legalserver.org/matter/dynamic-profile/view/1896033","19-1896033")</f>
        <v>0</v>
      </c>
      <c r="B409" t="s">
        <v>150</v>
      </c>
      <c r="C409" t="s">
        <v>642</v>
      </c>
      <c r="D409" t="s">
        <v>1960</v>
      </c>
      <c r="E409" t="s">
        <v>3469</v>
      </c>
      <c r="G409" t="s">
        <v>5636</v>
      </c>
      <c r="H409">
        <v>10312</v>
      </c>
      <c r="I409" t="s">
        <v>5696</v>
      </c>
      <c r="J409" t="s">
        <v>5696</v>
      </c>
      <c r="N409" t="s">
        <v>6740</v>
      </c>
      <c r="O409" t="s">
        <v>6754</v>
      </c>
      <c r="R409" t="s">
        <v>6799</v>
      </c>
      <c r="U409">
        <v>0</v>
      </c>
      <c r="V409" t="s">
        <v>6834</v>
      </c>
      <c r="X409" t="s">
        <v>6861</v>
      </c>
      <c r="Y409" t="s">
        <v>7264</v>
      </c>
      <c r="AA409" t="s">
        <v>9384</v>
      </c>
      <c r="AB409">
        <v>0</v>
      </c>
      <c r="AE409">
        <v>0</v>
      </c>
      <c r="AF409">
        <v>3</v>
      </c>
      <c r="AG409">
        <v>0</v>
      </c>
      <c r="AH409">
        <v>0.11</v>
      </c>
      <c r="AK409" t="s">
        <v>10966</v>
      </c>
      <c r="AL409">
        <v>24</v>
      </c>
      <c r="AR409">
        <v>5.3</v>
      </c>
      <c r="AS409" t="s">
        <v>6824</v>
      </c>
      <c r="AT409" t="s">
        <v>11211</v>
      </c>
      <c r="AV409" t="s">
        <v>11230</v>
      </c>
      <c r="AW409" t="s">
        <v>11232</v>
      </c>
      <c r="AX409" t="s">
        <v>6824</v>
      </c>
    </row>
    <row r="410" spans="1:50">
      <c r="A410" s="1">
        <f>HYPERLINK("https://lsnyc.legalserver.org/matter/dynamic-profile/view/1897951","19-1897951")</f>
        <v>0</v>
      </c>
      <c r="B410" t="s">
        <v>173</v>
      </c>
      <c r="C410" t="s">
        <v>644</v>
      </c>
      <c r="D410" t="s">
        <v>1961</v>
      </c>
      <c r="E410" t="s">
        <v>3470</v>
      </c>
      <c r="G410" t="s">
        <v>5661</v>
      </c>
      <c r="H410">
        <v>11436</v>
      </c>
      <c r="I410" t="s">
        <v>5696</v>
      </c>
      <c r="J410" t="s">
        <v>5696</v>
      </c>
      <c r="N410" t="s">
        <v>6740</v>
      </c>
      <c r="O410" t="s">
        <v>6767</v>
      </c>
      <c r="R410" t="s">
        <v>6798</v>
      </c>
      <c r="U410">
        <v>0</v>
      </c>
      <c r="V410" t="s">
        <v>6837</v>
      </c>
      <c r="X410" t="s">
        <v>6865</v>
      </c>
      <c r="Y410" t="s">
        <v>7265</v>
      </c>
      <c r="AA410" t="s">
        <v>9385</v>
      </c>
      <c r="AB410">
        <v>0</v>
      </c>
      <c r="AE410">
        <v>0</v>
      </c>
      <c r="AF410">
        <v>2</v>
      </c>
      <c r="AG410">
        <v>0</v>
      </c>
      <c r="AH410">
        <v>170.31</v>
      </c>
      <c r="AK410" t="s">
        <v>10966</v>
      </c>
      <c r="AL410">
        <v>28800</v>
      </c>
      <c r="AR410">
        <v>5.7</v>
      </c>
      <c r="AS410" t="s">
        <v>11144</v>
      </c>
      <c r="AT410" t="s">
        <v>173</v>
      </c>
      <c r="AV410" t="s">
        <v>11230</v>
      </c>
      <c r="AW410" t="s">
        <v>11142</v>
      </c>
      <c r="AX410" t="s">
        <v>11144</v>
      </c>
    </row>
    <row r="411" spans="1:50">
      <c r="A411" s="1">
        <f>HYPERLINK("https://lsnyc.legalserver.org/matter/dynamic-profile/view/1897268","19-1897268")</f>
        <v>0</v>
      </c>
      <c r="B411" t="s">
        <v>72</v>
      </c>
      <c r="C411" t="s">
        <v>645</v>
      </c>
      <c r="D411" t="s">
        <v>1962</v>
      </c>
      <c r="E411" t="s">
        <v>3471</v>
      </c>
      <c r="G411" t="s">
        <v>5637</v>
      </c>
      <c r="H411">
        <v>11236</v>
      </c>
      <c r="I411" t="s">
        <v>5696</v>
      </c>
      <c r="J411" t="s">
        <v>5696</v>
      </c>
      <c r="N411" t="s">
        <v>6740</v>
      </c>
      <c r="O411" t="s">
        <v>6771</v>
      </c>
      <c r="R411" t="s">
        <v>6793</v>
      </c>
      <c r="U411">
        <v>0</v>
      </c>
      <c r="V411" t="s">
        <v>6835</v>
      </c>
      <c r="X411" t="s">
        <v>6857</v>
      </c>
      <c r="Y411" t="s">
        <v>7266</v>
      </c>
      <c r="AA411" t="s">
        <v>9386</v>
      </c>
      <c r="AB411">
        <v>0</v>
      </c>
      <c r="AE411">
        <v>0</v>
      </c>
      <c r="AF411">
        <v>1</v>
      </c>
      <c r="AG411">
        <v>0</v>
      </c>
      <c r="AH411">
        <v>83.27</v>
      </c>
      <c r="AK411" t="s">
        <v>10966</v>
      </c>
      <c r="AL411">
        <v>10400</v>
      </c>
      <c r="AR411">
        <v>2.75</v>
      </c>
      <c r="AS411" t="s">
        <v>11144</v>
      </c>
      <c r="AT411" t="s">
        <v>72</v>
      </c>
      <c r="AV411" t="s">
        <v>11230</v>
      </c>
      <c r="AW411" t="s">
        <v>11151</v>
      </c>
      <c r="AX411" t="s">
        <v>11144</v>
      </c>
    </row>
    <row r="412" spans="1:50">
      <c r="A412" s="1">
        <f>HYPERLINK("https://lsnyc.legalserver.org/matter/dynamic-profile/view/1902196","19-1902196")</f>
        <v>0</v>
      </c>
      <c r="B412" t="s">
        <v>156</v>
      </c>
      <c r="C412" t="s">
        <v>646</v>
      </c>
      <c r="D412" t="s">
        <v>1963</v>
      </c>
      <c r="E412" t="s">
        <v>3472</v>
      </c>
      <c r="F412" t="s">
        <v>5264</v>
      </c>
      <c r="G412" t="s">
        <v>5638</v>
      </c>
      <c r="H412">
        <v>10031</v>
      </c>
      <c r="I412" t="s">
        <v>5696</v>
      </c>
      <c r="J412" t="s">
        <v>5696</v>
      </c>
      <c r="N412" t="s">
        <v>6740</v>
      </c>
      <c r="O412" t="s">
        <v>6781</v>
      </c>
      <c r="R412" t="s">
        <v>6796</v>
      </c>
      <c r="U412">
        <v>0</v>
      </c>
      <c r="V412" t="s">
        <v>6837</v>
      </c>
      <c r="X412" t="s">
        <v>6857</v>
      </c>
      <c r="Y412" t="s">
        <v>7267</v>
      </c>
      <c r="AA412" t="s">
        <v>9387</v>
      </c>
      <c r="AB412">
        <v>0</v>
      </c>
      <c r="AE412">
        <v>0</v>
      </c>
      <c r="AF412">
        <v>1</v>
      </c>
      <c r="AG412">
        <v>0</v>
      </c>
      <c r="AH412">
        <v>115.29</v>
      </c>
      <c r="AK412" t="s">
        <v>10966</v>
      </c>
      <c r="AL412">
        <v>14400</v>
      </c>
      <c r="AR412">
        <v>0.7</v>
      </c>
      <c r="AS412" t="s">
        <v>11147</v>
      </c>
      <c r="AT412" t="s">
        <v>156</v>
      </c>
      <c r="AV412" t="s">
        <v>11230</v>
      </c>
      <c r="AW412" t="s">
        <v>11163</v>
      </c>
      <c r="AX412" t="s">
        <v>11144</v>
      </c>
    </row>
    <row r="413" spans="1:50">
      <c r="A413" s="1">
        <f>HYPERLINK("https://lsnyc.legalserver.org/matter/dynamic-profile/view/1899023","19-1899023")</f>
        <v>0</v>
      </c>
      <c r="B413" t="s">
        <v>174</v>
      </c>
      <c r="C413" t="s">
        <v>647</v>
      </c>
      <c r="D413" t="s">
        <v>1746</v>
      </c>
      <c r="E413" t="s">
        <v>3473</v>
      </c>
      <c r="F413" t="s">
        <v>5265</v>
      </c>
      <c r="G413" t="s">
        <v>5637</v>
      </c>
      <c r="H413">
        <v>11221</v>
      </c>
      <c r="I413" t="s">
        <v>5696</v>
      </c>
      <c r="J413" t="s">
        <v>5696</v>
      </c>
      <c r="N413" t="s">
        <v>6740</v>
      </c>
      <c r="O413" t="s">
        <v>6775</v>
      </c>
      <c r="R413" t="s">
        <v>6799</v>
      </c>
      <c r="U413">
        <v>0</v>
      </c>
      <c r="V413" t="s">
        <v>6835</v>
      </c>
      <c r="X413" t="s">
        <v>6865</v>
      </c>
      <c r="Y413" t="s">
        <v>7268</v>
      </c>
      <c r="AA413" t="s">
        <v>9388</v>
      </c>
      <c r="AB413">
        <v>0</v>
      </c>
      <c r="AE413">
        <v>0</v>
      </c>
      <c r="AF413">
        <v>2</v>
      </c>
      <c r="AG413">
        <v>0</v>
      </c>
      <c r="AH413">
        <v>155.31</v>
      </c>
      <c r="AK413" t="s">
        <v>10966</v>
      </c>
      <c r="AL413">
        <v>26262.72</v>
      </c>
      <c r="AR413">
        <v>14.45</v>
      </c>
      <c r="AS413" t="s">
        <v>6820</v>
      </c>
      <c r="AT413" t="s">
        <v>144</v>
      </c>
      <c r="AV413" t="s">
        <v>11230</v>
      </c>
      <c r="AW413" t="s">
        <v>11160</v>
      </c>
      <c r="AX413" t="s">
        <v>10953</v>
      </c>
    </row>
    <row r="414" spans="1:50">
      <c r="A414" s="1">
        <f>HYPERLINK("https://lsnyc.legalserver.org/matter/dynamic-profile/view/1901160","19-1901160")</f>
        <v>0</v>
      </c>
      <c r="B414" t="s">
        <v>88</v>
      </c>
      <c r="C414" t="s">
        <v>648</v>
      </c>
      <c r="D414" t="s">
        <v>1842</v>
      </c>
      <c r="E414" t="s">
        <v>3474</v>
      </c>
      <c r="F414" t="s">
        <v>5100</v>
      </c>
      <c r="G414" t="s">
        <v>5637</v>
      </c>
      <c r="H414">
        <v>11206</v>
      </c>
      <c r="I414" t="s">
        <v>5696</v>
      </c>
      <c r="J414" t="s">
        <v>5696</v>
      </c>
      <c r="K414" t="s">
        <v>5811</v>
      </c>
      <c r="N414" t="s">
        <v>6740</v>
      </c>
      <c r="O414" t="s">
        <v>6748</v>
      </c>
      <c r="R414" t="s">
        <v>6793</v>
      </c>
      <c r="U414">
        <v>650</v>
      </c>
      <c r="V414" t="s">
        <v>6835</v>
      </c>
      <c r="X414" t="s">
        <v>6859</v>
      </c>
      <c r="Y414" t="s">
        <v>7269</v>
      </c>
      <c r="AA414" t="s">
        <v>9389</v>
      </c>
      <c r="AB414">
        <v>0</v>
      </c>
      <c r="AE414">
        <v>6</v>
      </c>
      <c r="AF414">
        <v>1</v>
      </c>
      <c r="AG414">
        <v>0</v>
      </c>
      <c r="AH414">
        <v>145.72</v>
      </c>
      <c r="AK414" t="s">
        <v>10967</v>
      </c>
      <c r="AL414">
        <v>18200</v>
      </c>
      <c r="AR414">
        <v>1</v>
      </c>
      <c r="AS414" t="s">
        <v>11143</v>
      </c>
      <c r="AT414" t="s">
        <v>11192</v>
      </c>
      <c r="AV414" t="s">
        <v>11230</v>
      </c>
      <c r="AW414" t="s">
        <v>11143</v>
      </c>
      <c r="AX414" t="s">
        <v>11161</v>
      </c>
    </row>
    <row r="415" spans="1:50">
      <c r="A415" s="1">
        <f>HYPERLINK("https://lsnyc.legalserver.org/matter/dynamic-profile/view/1897389","19-1897389")</f>
        <v>0</v>
      </c>
      <c r="B415" t="s">
        <v>148</v>
      </c>
      <c r="C415" t="s">
        <v>649</v>
      </c>
      <c r="D415" t="s">
        <v>1964</v>
      </c>
      <c r="E415" t="s">
        <v>3475</v>
      </c>
      <c r="G415" t="s">
        <v>5635</v>
      </c>
      <c r="H415">
        <v>10473</v>
      </c>
      <c r="I415" t="s">
        <v>5696</v>
      </c>
      <c r="J415" t="s">
        <v>5696</v>
      </c>
      <c r="N415" t="s">
        <v>6740</v>
      </c>
      <c r="O415" t="s">
        <v>6784</v>
      </c>
      <c r="R415" t="s">
        <v>6798</v>
      </c>
      <c r="U415">
        <v>0</v>
      </c>
      <c r="V415" t="s">
        <v>6833</v>
      </c>
      <c r="X415" t="s">
        <v>6861</v>
      </c>
      <c r="Y415" t="s">
        <v>7270</v>
      </c>
      <c r="AA415" t="s">
        <v>9390</v>
      </c>
      <c r="AB415">
        <v>0</v>
      </c>
      <c r="AE415">
        <v>0</v>
      </c>
      <c r="AF415">
        <v>2</v>
      </c>
      <c r="AG415">
        <v>0</v>
      </c>
      <c r="AH415">
        <v>264.7</v>
      </c>
      <c r="AK415" t="s">
        <v>10966</v>
      </c>
      <c r="AL415">
        <v>44760</v>
      </c>
      <c r="AR415">
        <v>7</v>
      </c>
      <c r="AS415" t="s">
        <v>11116</v>
      </c>
      <c r="AT415" t="s">
        <v>296</v>
      </c>
      <c r="AV415" t="s">
        <v>11230</v>
      </c>
      <c r="AW415" t="s">
        <v>11145</v>
      </c>
      <c r="AX415" t="s">
        <v>6821</v>
      </c>
    </row>
    <row r="416" spans="1:50">
      <c r="A416" s="1">
        <f>HYPERLINK("https://lsnyc.legalserver.org/matter/dynamic-profile/view/1895005","19-1895005")</f>
        <v>0</v>
      </c>
      <c r="B416" t="s">
        <v>144</v>
      </c>
      <c r="C416" t="s">
        <v>650</v>
      </c>
      <c r="D416" t="s">
        <v>1965</v>
      </c>
      <c r="E416" t="s">
        <v>3476</v>
      </c>
      <c r="G416" t="s">
        <v>5637</v>
      </c>
      <c r="H416">
        <v>11212</v>
      </c>
      <c r="I416" t="s">
        <v>5696</v>
      </c>
      <c r="J416" t="s">
        <v>5696</v>
      </c>
      <c r="N416" t="s">
        <v>6740</v>
      </c>
      <c r="O416" t="s">
        <v>6775</v>
      </c>
      <c r="R416" t="s">
        <v>6799</v>
      </c>
      <c r="U416">
        <v>0</v>
      </c>
      <c r="V416" t="s">
        <v>6835</v>
      </c>
      <c r="X416" t="s">
        <v>6858</v>
      </c>
      <c r="Y416" t="s">
        <v>7271</v>
      </c>
      <c r="AA416" t="s">
        <v>9391</v>
      </c>
      <c r="AB416">
        <v>0</v>
      </c>
      <c r="AE416">
        <v>0</v>
      </c>
      <c r="AF416">
        <v>2</v>
      </c>
      <c r="AG416">
        <v>0</v>
      </c>
      <c r="AH416">
        <v>966.29</v>
      </c>
      <c r="AL416">
        <v>163400</v>
      </c>
      <c r="AR416">
        <v>4.5</v>
      </c>
      <c r="AS416" t="s">
        <v>11170</v>
      </c>
      <c r="AT416" t="s">
        <v>144</v>
      </c>
      <c r="AV416" t="s">
        <v>11230</v>
      </c>
      <c r="AW416" t="s">
        <v>11119</v>
      </c>
      <c r="AX416" t="s">
        <v>11170</v>
      </c>
    </row>
    <row r="417" spans="1:50">
      <c r="A417" s="1">
        <f>HYPERLINK("https://lsnyc.legalserver.org/matter/dynamic-profile/view/1896632","19-1896632")</f>
        <v>0</v>
      </c>
      <c r="B417" t="s">
        <v>152</v>
      </c>
      <c r="C417" t="s">
        <v>651</v>
      </c>
      <c r="D417" t="s">
        <v>1966</v>
      </c>
      <c r="E417" t="s">
        <v>3477</v>
      </c>
      <c r="G417" t="s">
        <v>5635</v>
      </c>
      <c r="H417">
        <v>10452</v>
      </c>
      <c r="I417" t="s">
        <v>5696</v>
      </c>
      <c r="J417" t="s">
        <v>5696</v>
      </c>
      <c r="N417" t="s">
        <v>6740</v>
      </c>
      <c r="O417" t="s">
        <v>6767</v>
      </c>
      <c r="R417" t="s">
        <v>6798</v>
      </c>
      <c r="U417">
        <v>0</v>
      </c>
      <c r="V417" t="s">
        <v>6833</v>
      </c>
      <c r="X417" t="s">
        <v>6861</v>
      </c>
      <c r="Y417" t="s">
        <v>7272</v>
      </c>
      <c r="AA417" t="s">
        <v>9392</v>
      </c>
      <c r="AB417">
        <v>0</v>
      </c>
      <c r="AE417">
        <v>0</v>
      </c>
      <c r="AF417">
        <v>3</v>
      </c>
      <c r="AG417">
        <v>2</v>
      </c>
      <c r="AH417">
        <v>165.73</v>
      </c>
      <c r="AK417" t="s">
        <v>10966</v>
      </c>
      <c r="AL417">
        <v>50000</v>
      </c>
      <c r="AR417">
        <v>6.5</v>
      </c>
      <c r="AS417" t="s">
        <v>10961</v>
      </c>
      <c r="AT417" t="s">
        <v>296</v>
      </c>
      <c r="AV417" t="s">
        <v>11230</v>
      </c>
      <c r="AW417" t="s">
        <v>11122</v>
      </c>
      <c r="AX417" t="s">
        <v>11160</v>
      </c>
    </row>
    <row r="418" spans="1:50">
      <c r="A418" s="1">
        <f>HYPERLINK("https://lsnyc.legalserver.org/matter/dynamic-profile/view/1903236","19-1903236")</f>
        <v>0</v>
      </c>
      <c r="B418" t="s">
        <v>163</v>
      </c>
      <c r="C418" t="s">
        <v>652</v>
      </c>
      <c r="D418" t="s">
        <v>1967</v>
      </c>
      <c r="E418" t="s">
        <v>3478</v>
      </c>
      <c r="G418" t="s">
        <v>5637</v>
      </c>
      <c r="H418">
        <v>11208</v>
      </c>
      <c r="I418" t="s">
        <v>5696</v>
      </c>
      <c r="J418" t="s">
        <v>5696</v>
      </c>
      <c r="N418" t="s">
        <v>6740</v>
      </c>
      <c r="O418" t="s">
        <v>6780</v>
      </c>
      <c r="R418" t="s">
        <v>6799</v>
      </c>
      <c r="U418">
        <v>0</v>
      </c>
      <c r="V418" t="s">
        <v>6835</v>
      </c>
      <c r="X418" t="s">
        <v>6865</v>
      </c>
      <c r="Y418" t="s">
        <v>7273</v>
      </c>
      <c r="AA418" t="s">
        <v>9393</v>
      </c>
      <c r="AB418">
        <v>0</v>
      </c>
      <c r="AE418">
        <v>0</v>
      </c>
      <c r="AF418">
        <v>2</v>
      </c>
      <c r="AG418">
        <v>4</v>
      </c>
      <c r="AH418">
        <v>378.14</v>
      </c>
      <c r="AL418">
        <v>130800</v>
      </c>
      <c r="AR418">
        <v>11.4</v>
      </c>
      <c r="AS418" t="s">
        <v>11168</v>
      </c>
      <c r="AT418" t="s">
        <v>144</v>
      </c>
      <c r="AV418" t="s">
        <v>11230</v>
      </c>
      <c r="AW418" t="s">
        <v>11136</v>
      </c>
      <c r="AX418" t="s">
        <v>6824</v>
      </c>
    </row>
    <row r="419" spans="1:50">
      <c r="A419" s="1">
        <f>HYPERLINK("https://lsnyc.legalserver.org/matter/dynamic-profile/view/1898661","19-1898661")</f>
        <v>0</v>
      </c>
      <c r="B419" t="s">
        <v>152</v>
      </c>
      <c r="C419" t="s">
        <v>653</v>
      </c>
      <c r="D419" t="s">
        <v>1697</v>
      </c>
      <c r="E419" t="s">
        <v>3479</v>
      </c>
      <c r="F419" t="s">
        <v>5266</v>
      </c>
      <c r="G419" t="s">
        <v>5635</v>
      </c>
      <c r="H419">
        <v>10462</v>
      </c>
      <c r="I419" t="s">
        <v>5696</v>
      </c>
      <c r="J419" t="s">
        <v>5696</v>
      </c>
      <c r="N419" t="s">
        <v>6740</v>
      </c>
      <c r="O419" t="s">
        <v>6784</v>
      </c>
      <c r="R419" t="s">
        <v>6797</v>
      </c>
      <c r="U419">
        <v>0</v>
      </c>
      <c r="V419" t="s">
        <v>6833</v>
      </c>
      <c r="X419" t="s">
        <v>6861</v>
      </c>
      <c r="Y419" t="s">
        <v>7274</v>
      </c>
      <c r="AA419" t="s">
        <v>9394</v>
      </c>
      <c r="AB419">
        <v>0</v>
      </c>
      <c r="AE419">
        <v>0</v>
      </c>
      <c r="AF419">
        <v>1</v>
      </c>
      <c r="AG419">
        <v>0</v>
      </c>
      <c r="AH419">
        <v>128.84</v>
      </c>
      <c r="AK419" t="s">
        <v>10966</v>
      </c>
      <c r="AL419">
        <v>16092</v>
      </c>
      <c r="AR419">
        <v>7</v>
      </c>
      <c r="AS419" t="s">
        <v>6821</v>
      </c>
      <c r="AT419" t="s">
        <v>296</v>
      </c>
      <c r="AV419" t="s">
        <v>11230</v>
      </c>
      <c r="AW419" t="s">
        <v>11152</v>
      </c>
      <c r="AX419" t="s">
        <v>6821</v>
      </c>
    </row>
    <row r="420" spans="1:50">
      <c r="A420" s="1">
        <f>HYPERLINK("https://lsnyc.legalserver.org/matter/dynamic-profile/view/1896766","19-1896766")</f>
        <v>0</v>
      </c>
      <c r="B420" t="s">
        <v>175</v>
      </c>
      <c r="C420" t="s">
        <v>654</v>
      </c>
      <c r="D420" t="s">
        <v>1676</v>
      </c>
      <c r="E420" t="s">
        <v>3480</v>
      </c>
      <c r="F420" t="s">
        <v>5161</v>
      </c>
      <c r="G420" t="s">
        <v>5637</v>
      </c>
      <c r="H420">
        <v>11207</v>
      </c>
      <c r="I420" t="s">
        <v>5695</v>
      </c>
      <c r="J420" t="s">
        <v>5695</v>
      </c>
      <c r="N420" t="s">
        <v>6740</v>
      </c>
      <c r="O420" t="s">
        <v>6753</v>
      </c>
      <c r="R420" t="s">
        <v>6794</v>
      </c>
      <c r="U420">
        <v>247</v>
      </c>
      <c r="V420" t="s">
        <v>6835</v>
      </c>
      <c r="X420" t="s">
        <v>6859</v>
      </c>
      <c r="Y420" t="s">
        <v>7275</v>
      </c>
      <c r="AB420">
        <v>64</v>
      </c>
      <c r="AE420">
        <v>1</v>
      </c>
      <c r="AF420">
        <v>1</v>
      </c>
      <c r="AG420">
        <v>0</v>
      </c>
      <c r="AH420">
        <v>46.89</v>
      </c>
      <c r="AK420" t="s">
        <v>10967</v>
      </c>
      <c r="AL420">
        <v>5856</v>
      </c>
      <c r="AR420">
        <v>0.1</v>
      </c>
      <c r="AS420" t="s">
        <v>11148</v>
      </c>
      <c r="AT420" t="s">
        <v>69</v>
      </c>
      <c r="AV420" t="s">
        <v>11230</v>
      </c>
      <c r="AW420" t="s">
        <v>11164</v>
      </c>
      <c r="AX420" t="s">
        <v>11148</v>
      </c>
    </row>
    <row r="421" spans="1:50">
      <c r="A421" s="1">
        <f>HYPERLINK("https://lsnyc.legalserver.org/matter/dynamic-profile/view/1896762","19-1896762")</f>
        <v>0</v>
      </c>
      <c r="B421" t="s">
        <v>175</v>
      </c>
      <c r="C421" t="s">
        <v>655</v>
      </c>
      <c r="D421" t="s">
        <v>1968</v>
      </c>
      <c r="E421" t="s">
        <v>3481</v>
      </c>
      <c r="F421" t="s">
        <v>5110</v>
      </c>
      <c r="G421" t="s">
        <v>5637</v>
      </c>
      <c r="H421">
        <v>11221</v>
      </c>
      <c r="I421" t="s">
        <v>5695</v>
      </c>
      <c r="J421" t="s">
        <v>5695</v>
      </c>
      <c r="N421" t="s">
        <v>6740</v>
      </c>
      <c r="O421" t="s">
        <v>6753</v>
      </c>
      <c r="R421" t="s">
        <v>6793</v>
      </c>
      <c r="U421">
        <v>0</v>
      </c>
      <c r="V421" t="s">
        <v>6835</v>
      </c>
      <c r="X421" t="s">
        <v>6859</v>
      </c>
      <c r="Y421" t="s">
        <v>7276</v>
      </c>
      <c r="AB421">
        <v>0</v>
      </c>
      <c r="AE421">
        <v>0</v>
      </c>
      <c r="AF421">
        <v>1</v>
      </c>
      <c r="AG421">
        <v>0</v>
      </c>
      <c r="AH421">
        <v>106.82</v>
      </c>
      <c r="AK421" t="s">
        <v>10967</v>
      </c>
      <c r="AL421">
        <v>13342</v>
      </c>
      <c r="AR421">
        <v>0.1</v>
      </c>
      <c r="AS421" t="s">
        <v>11148</v>
      </c>
      <c r="AT421" t="s">
        <v>69</v>
      </c>
      <c r="AV421" t="s">
        <v>11230</v>
      </c>
      <c r="AW421" t="s">
        <v>11148</v>
      </c>
      <c r="AX421" t="s">
        <v>11148</v>
      </c>
    </row>
    <row r="422" spans="1:50">
      <c r="A422" s="1">
        <f>HYPERLINK("https://lsnyc.legalserver.org/matter/dynamic-profile/view/1899709","19-1899709")</f>
        <v>0</v>
      </c>
      <c r="B422" t="s">
        <v>151</v>
      </c>
      <c r="C422" t="s">
        <v>435</v>
      </c>
      <c r="D422" t="s">
        <v>1969</v>
      </c>
      <c r="E422" t="s">
        <v>3482</v>
      </c>
      <c r="G422" t="s">
        <v>5637</v>
      </c>
      <c r="H422">
        <v>11234</v>
      </c>
      <c r="I422" t="s">
        <v>5696</v>
      </c>
      <c r="J422" t="s">
        <v>5696</v>
      </c>
      <c r="N422" t="s">
        <v>6740</v>
      </c>
      <c r="O422" t="s">
        <v>6776</v>
      </c>
      <c r="R422" t="s">
        <v>6798</v>
      </c>
      <c r="U422">
        <v>0</v>
      </c>
      <c r="V422" t="s">
        <v>6835</v>
      </c>
      <c r="X422" t="s">
        <v>6859</v>
      </c>
      <c r="Y422" t="s">
        <v>7277</v>
      </c>
      <c r="AB422">
        <v>0</v>
      </c>
      <c r="AE422">
        <v>0</v>
      </c>
      <c r="AF422">
        <v>2</v>
      </c>
      <c r="AG422">
        <v>0</v>
      </c>
      <c r="AH422">
        <v>430.51</v>
      </c>
      <c r="AL422">
        <v>72800</v>
      </c>
      <c r="AR422">
        <v>8.800000000000001</v>
      </c>
      <c r="AS422" t="s">
        <v>11137</v>
      </c>
      <c r="AT422" t="s">
        <v>128</v>
      </c>
      <c r="AV422" t="s">
        <v>11230</v>
      </c>
      <c r="AW422" t="s">
        <v>10954</v>
      </c>
      <c r="AX422" t="s">
        <v>11131</v>
      </c>
    </row>
    <row r="423" spans="1:50">
      <c r="A423" s="1">
        <f>HYPERLINK("https://lsnyc.legalserver.org/matter/dynamic-profile/view/1900791","19-1900791")</f>
        <v>0</v>
      </c>
      <c r="B423" t="s">
        <v>174</v>
      </c>
      <c r="C423" t="s">
        <v>656</v>
      </c>
      <c r="D423" t="s">
        <v>1970</v>
      </c>
      <c r="E423" t="s">
        <v>3483</v>
      </c>
      <c r="G423" t="s">
        <v>5637</v>
      </c>
      <c r="H423">
        <v>11212</v>
      </c>
      <c r="I423" t="s">
        <v>5696</v>
      </c>
      <c r="J423" t="s">
        <v>5696</v>
      </c>
      <c r="N423" t="s">
        <v>6740</v>
      </c>
      <c r="O423" t="s">
        <v>6780</v>
      </c>
      <c r="R423" t="s">
        <v>6798</v>
      </c>
      <c r="U423">
        <v>0</v>
      </c>
      <c r="V423" t="s">
        <v>6835</v>
      </c>
      <c r="X423" t="s">
        <v>6857</v>
      </c>
      <c r="Y423" t="s">
        <v>7278</v>
      </c>
      <c r="AB423">
        <v>0</v>
      </c>
      <c r="AE423">
        <v>0</v>
      </c>
      <c r="AF423">
        <v>1</v>
      </c>
      <c r="AG423">
        <v>0</v>
      </c>
      <c r="AH423">
        <v>476.54</v>
      </c>
      <c r="AL423">
        <v>59520</v>
      </c>
      <c r="AR423">
        <v>2.3</v>
      </c>
      <c r="AS423" t="s">
        <v>6818</v>
      </c>
      <c r="AT423" t="s">
        <v>128</v>
      </c>
      <c r="AV423" t="s">
        <v>11230</v>
      </c>
      <c r="AW423" t="s">
        <v>11149</v>
      </c>
      <c r="AX423" t="s">
        <v>11133</v>
      </c>
    </row>
    <row r="424" spans="1:50">
      <c r="A424" s="1">
        <f>HYPERLINK("https://lsnyc.legalserver.org/matter/dynamic-profile/view/1899670","19-1899670")</f>
        <v>0</v>
      </c>
      <c r="B424" t="s">
        <v>174</v>
      </c>
      <c r="C424" t="s">
        <v>435</v>
      </c>
      <c r="D424" t="s">
        <v>1971</v>
      </c>
      <c r="E424" t="s">
        <v>3484</v>
      </c>
      <c r="G424" t="s">
        <v>5637</v>
      </c>
      <c r="H424">
        <v>11207</v>
      </c>
      <c r="I424" t="s">
        <v>5696</v>
      </c>
      <c r="J424" t="s">
        <v>5696</v>
      </c>
      <c r="N424" t="s">
        <v>6740</v>
      </c>
      <c r="O424" t="s">
        <v>6775</v>
      </c>
      <c r="R424" t="s">
        <v>6799</v>
      </c>
      <c r="U424">
        <v>0</v>
      </c>
      <c r="V424" t="s">
        <v>6835</v>
      </c>
      <c r="X424" t="s">
        <v>6857</v>
      </c>
      <c r="Y424" t="s">
        <v>7279</v>
      </c>
      <c r="AB424">
        <v>0</v>
      </c>
      <c r="AE424">
        <v>0</v>
      </c>
      <c r="AF424">
        <v>3</v>
      </c>
      <c r="AG424">
        <v>0</v>
      </c>
      <c r="AH424">
        <v>575.71</v>
      </c>
      <c r="AL424">
        <v>122800</v>
      </c>
      <c r="AR424">
        <v>2.4</v>
      </c>
      <c r="AS424" t="s">
        <v>6895</v>
      </c>
      <c r="AT424" t="s">
        <v>128</v>
      </c>
      <c r="AV424" t="s">
        <v>11230</v>
      </c>
      <c r="AW424" t="s">
        <v>11152</v>
      </c>
      <c r="AX424" t="s">
        <v>6895</v>
      </c>
    </row>
    <row r="425" spans="1:50">
      <c r="A425" s="1">
        <f>HYPERLINK("https://lsnyc.legalserver.org/matter/dynamic-profile/view/1901207","19-1901207")</f>
        <v>0</v>
      </c>
      <c r="B425" t="s">
        <v>132</v>
      </c>
      <c r="C425" t="s">
        <v>657</v>
      </c>
      <c r="D425" t="s">
        <v>1972</v>
      </c>
      <c r="E425" t="s">
        <v>3485</v>
      </c>
      <c r="F425" t="s">
        <v>5243</v>
      </c>
      <c r="G425" t="s">
        <v>5637</v>
      </c>
      <c r="H425">
        <v>11218</v>
      </c>
      <c r="I425" t="s">
        <v>5696</v>
      </c>
      <c r="J425" t="s">
        <v>5696</v>
      </c>
      <c r="L425" t="s">
        <v>5740</v>
      </c>
      <c r="M425" t="s">
        <v>6734</v>
      </c>
      <c r="N425" t="s">
        <v>6741</v>
      </c>
      <c r="O425" t="s">
        <v>6773</v>
      </c>
      <c r="P425" t="s">
        <v>5697</v>
      </c>
      <c r="R425" t="s">
        <v>6793</v>
      </c>
      <c r="U425">
        <v>2330</v>
      </c>
      <c r="V425" t="s">
        <v>6835</v>
      </c>
      <c r="W425" t="s">
        <v>6838</v>
      </c>
      <c r="X425" t="s">
        <v>6862</v>
      </c>
      <c r="Y425" t="s">
        <v>7280</v>
      </c>
      <c r="AA425" t="s">
        <v>9395</v>
      </c>
      <c r="AB425">
        <v>18</v>
      </c>
      <c r="AE425">
        <v>9</v>
      </c>
      <c r="AF425">
        <v>1</v>
      </c>
      <c r="AG425">
        <v>2</v>
      </c>
      <c r="AH425">
        <v>547.23</v>
      </c>
      <c r="AL425">
        <v>116724</v>
      </c>
      <c r="AP425" t="s">
        <v>11098</v>
      </c>
      <c r="AR425">
        <v>5.25</v>
      </c>
      <c r="AS425" t="s">
        <v>11144</v>
      </c>
      <c r="AT425" t="s">
        <v>141</v>
      </c>
      <c r="AV425" t="s">
        <v>11230</v>
      </c>
      <c r="AW425" t="s">
        <v>11162</v>
      </c>
      <c r="AX425" t="s">
        <v>11144</v>
      </c>
    </row>
    <row r="426" spans="1:50">
      <c r="A426" s="1">
        <f>HYPERLINK("https://lsnyc.legalserver.org/matter/dynamic-profile/view/1902992","19-1902992")</f>
        <v>0</v>
      </c>
      <c r="B426" t="s">
        <v>90</v>
      </c>
      <c r="C426" t="s">
        <v>658</v>
      </c>
      <c r="D426" t="s">
        <v>1973</v>
      </c>
      <c r="E426" t="s">
        <v>3486</v>
      </c>
      <c r="F426" t="s">
        <v>5113</v>
      </c>
      <c r="G426" t="s">
        <v>5637</v>
      </c>
      <c r="H426">
        <v>11225</v>
      </c>
      <c r="I426" t="s">
        <v>5695</v>
      </c>
      <c r="J426" t="s">
        <v>5696</v>
      </c>
      <c r="K426" t="s">
        <v>5812</v>
      </c>
      <c r="L426" t="s">
        <v>6714</v>
      </c>
      <c r="M426" t="s">
        <v>6736</v>
      </c>
      <c r="N426" t="s">
        <v>6741</v>
      </c>
      <c r="O426" t="s">
        <v>6755</v>
      </c>
      <c r="P426" t="s">
        <v>5697</v>
      </c>
      <c r="R426" t="s">
        <v>6793</v>
      </c>
      <c r="T426" t="s">
        <v>6811</v>
      </c>
      <c r="U426">
        <v>951</v>
      </c>
      <c r="V426" t="s">
        <v>6835</v>
      </c>
      <c r="W426" t="s">
        <v>6854</v>
      </c>
      <c r="X426" t="s">
        <v>6862</v>
      </c>
      <c r="Y426" t="s">
        <v>7281</v>
      </c>
      <c r="AA426" t="s">
        <v>9396</v>
      </c>
      <c r="AB426">
        <v>0</v>
      </c>
      <c r="AD426" t="s">
        <v>10945</v>
      </c>
      <c r="AE426">
        <v>20</v>
      </c>
      <c r="AF426">
        <v>2</v>
      </c>
      <c r="AG426">
        <v>0</v>
      </c>
      <c r="AH426">
        <v>133.48</v>
      </c>
      <c r="AK426" t="s">
        <v>10966</v>
      </c>
      <c r="AL426">
        <v>22572</v>
      </c>
      <c r="AP426" t="s">
        <v>11098</v>
      </c>
      <c r="AR426">
        <v>0.5</v>
      </c>
      <c r="AS426" t="s">
        <v>11147</v>
      </c>
      <c r="AT426" t="s">
        <v>11197</v>
      </c>
      <c r="AU426" t="s">
        <v>11228</v>
      </c>
      <c r="AV426" t="s">
        <v>11230</v>
      </c>
      <c r="AW426" t="s">
        <v>11138</v>
      </c>
      <c r="AX426" t="s">
        <v>11147</v>
      </c>
    </row>
    <row r="427" spans="1:50">
      <c r="A427" s="1">
        <f>HYPERLINK("https://lsnyc.legalserver.org/matter/dynamic-profile/view/1902896","19-1902896")</f>
        <v>0</v>
      </c>
      <c r="B427" t="s">
        <v>176</v>
      </c>
      <c r="C427" t="s">
        <v>659</v>
      </c>
      <c r="D427" t="s">
        <v>1974</v>
      </c>
      <c r="E427" t="s">
        <v>3487</v>
      </c>
      <c r="G427" t="s">
        <v>5644</v>
      </c>
      <c r="H427">
        <v>11432</v>
      </c>
      <c r="I427" t="s">
        <v>5696</v>
      </c>
      <c r="J427" t="s">
        <v>5696</v>
      </c>
      <c r="N427" t="s">
        <v>6741</v>
      </c>
      <c r="O427" t="s">
        <v>6748</v>
      </c>
      <c r="R427" t="s">
        <v>6795</v>
      </c>
      <c r="U427">
        <v>0</v>
      </c>
      <c r="V427" t="s">
        <v>6837</v>
      </c>
      <c r="X427" t="s">
        <v>6859</v>
      </c>
      <c r="Y427" t="s">
        <v>7282</v>
      </c>
      <c r="AA427" t="s">
        <v>9397</v>
      </c>
      <c r="AB427">
        <v>0</v>
      </c>
      <c r="AE427">
        <v>0</v>
      </c>
      <c r="AF427">
        <v>3</v>
      </c>
      <c r="AG427">
        <v>0</v>
      </c>
      <c r="AH427">
        <v>125.06</v>
      </c>
      <c r="AK427" t="s">
        <v>10966</v>
      </c>
      <c r="AL427">
        <v>26676</v>
      </c>
      <c r="AR427">
        <v>2.5</v>
      </c>
      <c r="AS427" t="s">
        <v>6812</v>
      </c>
      <c r="AT427" t="s">
        <v>176</v>
      </c>
      <c r="AV427" t="s">
        <v>11230</v>
      </c>
      <c r="AW427" t="s">
        <v>11131</v>
      </c>
      <c r="AX427" t="s">
        <v>6823</v>
      </c>
    </row>
    <row r="428" spans="1:50">
      <c r="A428" s="1">
        <f>HYPERLINK("https://lsnyc.legalserver.org/matter/dynamic-profile/view/1900537","19-1900537")</f>
        <v>0</v>
      </c>
      <c r="B428" t="s">
        <v>148</v>
      </c>
      <c r="C428" t="s">
        <v>660</v>
      </c>
      <c r="D428" t="s">
        <v>1975</v>
      </c>
      <c r="E428" t="s">
        <v>3488</v>
      </c>
      <c r="F428" t="s">
        <v>5267</v>
      </c>
      <c r="G428" t="s">
        <v>5635</v>
      </c>
      <c r="H428">
        <v>10462</v>
      </c>
      <c r="I428" t="s">
        <v>5696</v>
      </c>
      <c r="J428" t="s">
        <v>5696</v>
      </c>
      <c r="N428" t="s">
        <v>6741</v>
      </c>
      <c r="O428" t="s">
        <v>6784</v>
      </c>
      <c r="R428" t="s">
        <v>6797</v>
      </c>
      <c r="U428">
        <v>0</v>
      </c>
      <c r="V428" t="s">
        <v>6833</v>
      </c>
      <c r="X428" t="s">
        <v>6865</v>
      </c>
      <c r="Y428" t="s">
        <v>7283</v>
      </c>
      <c r="AA428" t="s">
        <v>9398</v>
      </c>
      <c r="AB428">
        <v>0</v>
      </c>
      <c r="AE428">
        <v>0</v>
      </c>
      <c r="AF428">
        <v>2</v>
      </c>
      <c r="AG428">
        <v>1</v>
      </c>
      <c r="AH428">
        <v>399.91</v>
      </c>
      <c r="AK428" t="s">
        <v>10966</v>
      </c>
      <c r="AL428">
        <v>85300</v>
      </c>
      <c r="AR428">
        <v>4.5</v>
      </c>
      <c r="AS428" t="s">
        <v>6816</v>
      </c>
      <c r="AT428" t="s">
        <v>296</v>
      </c>
      <c r="AV428" t="s">
        <v>11230</v>
      </c>
      <c r="AW428" t="s">
        <v>6895</v>
      </c>
      <c r="AX428" t="s">
        <v>6819</v>
      </c>
    </row>
    <row r="429" spans="1:50">
      <c r="A429" s="1">
        <f>HYPERLINK("https://lsnyc.legalserver.org/matter/dynamic-profile/view/1895291","19-1895291")</f>
        <v>0</v>
      </c>
      <c r="B429" t="s">
        <v>51</v>
      </c>
      <c r="C429" t="s">
        <v>371</v>
      </c>
      <c r="D429" t="s">
        <v>1976</v>
      </c>
      <c r="E429" t="s">
        <v>3489</v>
      </c>
      <c r="G429" t="s">
        <v>5636</v>
      </c>
      <c r="H429">
        <v>10312</v>
      </c>
      <c r="I429" t="s">
        <v>5695</v>
      </c>
      <c r="J429" t="s">
        <v>5696</v>
      </c>
      <c r="K429" t="s">
        <v>5813</v>
      </c>
      <c r="L429" t="s">
        <v>6712</v>
      </c>
      <c r="M429" t="s">
        <v>6736</v>
      </c>
      <c r="N429" t="s">
        <v>6742</v>
      </c>
      <c r="O429" t="s">
        <v>6745</v>
      </c>
      <c r="P429" t="s">
        <v>5697</v>
      </c>
      <c r="R429" t="s">
        <v>6793</v>
      </c>
      <c r="S429" t="s">
        <v>6801</v>
      </c>
      <c r="U429">
        <v>1400</v>
      </c>
      <c r="V429" t="s">
        <v>6834</v>
      </c>
      <c r="W429" t="s">
        <v>6841</v>
      </c>
      <c r="X429" t="s">
        <v>6860</v>
      </c>
      <c r="Y429" t="s">
        <v>7284</v>
      </c>
      <c r="AA429" t="s">
        <v>9399</v>
      </c>
      <c r="AB429">
        <v>2</v>
      </c>
      <c r="AC429" t="s">
        <v>10930</v>
      </c>
      <c r="AD429" t="s">
        <v>10944</v>
      </c>
      <c r="AE429">
        <v>1</v>
      </c>
      <c r="AF429">
        <v>1</v>
      </c>
      <c r="AG429">
        <v>0</v>
      </c>
      <c r="AH429">
        <v>76.86</v>
      </c>
      <c r="AK429" t="s">
        <v>10966</v>
      </c>
      <c r="AL429">
        <v>9600</v>
      </c>
      <c r="AN429" t="s">
        <v>11081</v>
      </c>
      <c r="AO429" t="s">
        <v>6841</v>
      </c>
      <c r="AP429" t="s">
        <v>11097</v>
      </c>
      <c r="AR429">
        <v>10.5</v>
      </c>
      <c r="AS429" t="s">
        <v>6819</v>
      </c>
      <c r="AT429" t="s">
        <v>11177</v>
      </c>
      <c r="AU429" t="s">
        <v>11228</v>
      </c>
      <c r="AV429" t="s">
        <v>11230</v>
      </c>
      <c r="AW429" t="s">
        <v>11122</v>
      </c>
      <c r="AX429" t="s">
        <v>6827</v>
      </c>
    </row>
    <row r="430" spans="1:50">
      <c r="A430" s="1">
        <f>HYPERLINK("https://lsnyc.legalserver.org/matter/dynamic-profile/view/1904525","19-1904525")</f>
        <v>0</v>
      </c>
      <c r="B430" t="s">
        <v>96</v>
      </c>
      <c r="C430" t="s">
        <v>628</v>
      </c>
      <c r="D430" t="s">
        <v>1935</v>
      </c>
      <c r="E430" t="s">
        <v>3432</v>
      </c>
      <c r="F430" t="s">
        <v>5205</v>
      </c>
      <c r="G430" t="s">
        <v>5635</v>
      </c>
      <c r="H430">
        <v>10467</v>
      </c>
      <c r="I430" t="s">
        <v>5695</v>
      </c>
      <c r="J430" t="s">
        <v>5696</v>
      </c>
      <c r="K430" t="s">
        <v>5804</v>
      </c>
      <c r="L430" t="s">
        <v>6712</v>
      </c>
      <c r="M430" t="s">
        <v>6736</v>
      </c>
      <c r="N430" t="s">
        <v>6742</v>
      </c>
      <c r="O430" t="s">
        <v>6745</v>
      </c>
      <c r="P430" t="s">
        <v>5697</v>
      </c>
      <c r="R430" t="s">
        <v>6793</v>
      </c>
      <c r="S430" t="s">
        <v>6801</v>
      </c>
      <c r="U430">
        <v>811</v>
      </c>
      <c r="V430" t="s">
        <v>6833</v>
      </c>
      <c r="W430" t="s">
        <v>6843</v>
      </c>
      <c r="X430" t="s">
        <v>6862</v>
      </c>
      <c r="Y430" t="s">
        <v>7225</v>
      </c>
      <c r="AA430" t="s">
        <v>9351</v>
      </c>
      <c r="AB430">
        <v>55</v>
      </c>
      <c r="AC430" t="s">
        <v>10929</v>
      </c>
      <c r="AD430" t="s">
        <v>10945</v>
      </c>
      <c r="AE430">
        <v>42</v>
      </c>
      <c r="AF430">
        <v>1</v>
      </c>
      <c r="AG430">
        <v>0</v>
      </c>
      <c r="AH430">
        <v>73.02</v>
      </c>
      <c r="AK430" t="s">
        <v>10967</v>
      </c>
      <c r="AL430">
        <v>9120</v>
      </c>
      <c r="AO430" t="s">
        <v>11087</v>
      </c>
      <c r="AP430" t="s">
        <v>11098</v>
      </c>
      <c r="AQ430" t="s">
        <v>11102</v>
      </c>
      <c r="AR430">
        <v>3.5</v>
      </c>
      <c r="AS430" t="s">
        <v>6828</v>
      </c>
      <c r="AT430" t="s">
        <v>11196</v>
      </c>
      <c r="AU430" t="s">
        <v>11228</v>
      </c>
      <c r="AV430" t="s">
        <v>11230</v>
      </c>
      <c r="AW430" t="s">
        <v>6810</v>
      </c>
      <c r="AX430" t="s">
        <v>6823</v>
      </c>
    </row>
    <row r="431" spans="1:50">
      <c r="A431" s="1">
        <f>HYPERLINK("https://lsnyc.legalserver.org/matter/dynamic-profile/view/1901399","19-1901399")</f>
        <v>0</v>
      </c>
      <c r="B431" t="s">
        <v>74</v>
      </c>
      <c r="C431" t="s">
        <v>661</v>
      </c>
      <c r="D431" t="s">
        <v>1977</v>
      </c>
      <c r="E431" t="s">
        <v>3490</v>
      </c>
      <c r="F431">
        <v>63</v>
      </c>
      <c r="G431" t="s">
        <v>5635</v>
      </c>
      <c r="H431">
        <v>10452</v>
      </c>
      <c r="I431" t="s">
        <v>5695</v>
      </c>
      <c r="J431" t="s">
        <v>5696</v>
      </c>
      <c r="K431" t="s">
        <v>5814</v>
      </c>
      <c r="L431" t="s">
        <v>6712</v>
      </c>
      <c r="M431" t="s">
        <v>6736</v>
      </c>
      <c r="N431" t="s">
        <v>6742</v>
      </c>
      <c r="O431" t="s">
        <v>6747</v>
      </c>
      <c r="P431" t="s">
        <v>5697</v>
      </c>
      <c r="R431" t="s">
        <v>6793</v>
      </c>
      <c r="S431" t="s">
        <v>6801</v>
      </c>
      <c r="U431">
        <v>627.28</v>
      </c>
      <c r="V431" t="s">
        <v>6833</v>
      </c>
      <c r="W431" t="s">
        <v>6842</v>
      </c>
      <c r="X431" t="s">
        <v>6862</v>
      </c>
      <c r="Y431" t="s">
        <v>7285</v>
      </c>
      <c r="AB431">
        <v>41</v>
      </c>
      <c r="AC431" t="s">
        <v>10929</v>
      </c>
      <c r="AD431" t="s">
        <v>5741</v>
      </c>
      <c r="AE431">
        <v>12</v>
      </c>
      <c r="AF431">
        <v>2</v>
      </c>
      <c r="AG431">
        <v>0</v>
      </c>
      <c r="AH431">
        <v>177.41</v>
      </c>
      <c r="AK431" t="s">
        <v>10966</v>
      </c>
      <c r="AL431">
        <v>30000</v>
      </c>
      <c r="AM431" t="s">
        <v>11026</v>
      </c>
      <c r="AO431" t="s">
        <v>11088</v>
      </c>
      <c r="AP431" t="s">
        <v>11098</v>
      </c>
      <c r="AQ431" t="s">
        <v>11103</v>
      </c>
      <c r="AR431">
        <v>6.25</v>
      </c>
      <c r="AS431" t="s">
        <v>6826</v>
      </c>
      <c r="AT431" t="s">
        <v>288</v>
      </c>
      <c r="AU431" t="s">
        <v>11228</v>
      </c>
      <c r="AV431" t="s">
        <v>11230</v>
      </c>
      <c r="AW431" t="s">
        <v>11148</v>
      </c>
      <c r="AX431" t="s">
        <v>6820</v>
      </c>
    </row>
    <row r="432" spans="1:50">
      <c r="A432" s="1">
        <f>HYPERLINK("https://lsnyc.legalserver.org/matter/dynamic-profile/view/1900040","19-1900040")</f>
        <v>0</v>
      </c>
      <c r="B432" t="s">
        <v>86</v>
      </c>
      <c r="C432" t="s">
        <v>662</v>
      </c>
      <c r="D432" t="s">
        <v>1978</v>
      </c>
      <c r="E432" t="s">
        <v>3491</v>
      </c>
      <c r="F432" t="s">
        <v>5268</v>
      </c>
      <c r="G432" t="s">
        <v>5636</v>
      </c>
      <c r="H432">
        <v>10301</v>
      </c>
      <c r="I432" t="s">
        <v>5695</v>
      </c>
      <c r="J432" t="s">
        <v>5696</v>
      </c>
      <c r="K432" t="s">
        <v>5815</v>
      </c>
      <c r="L432" t="s">
        <v>6712</v>
      </c>
      <c r="M432" t="s">
        <v>6736</v>
      </c>
      <c r="N432" t="s">
        <v>6742</v>
      </c>
      <c r="O432" t="s">
        <v>6745</v>
      </c>
      <c r="P432" t="s">
        <v>5697</v>
      </c>
      <c r="R432" t="s">
        <v>6793</v>
      </c>
      <c r="S432" t="s">
        <v>6801</v>
      </c>
      <c r="U432">
        <v>0</v>
      </c>
      <c r="V432" t="s">
        <v>6834</v>
      </c>
      <c r="W432" t="s">
        <v>6839</v>
      </c>
      <c r="X432" t="s">
        <v>6867</v>
      </c>
      <c r="Y432" t="s">
        <v>7286</v>
      </c>
      <c r="AA432" t="s">
        <v>9400</v>
      </c>
      <c r="AB432">
        <v>2</v>
      </c>
      <c r="AC432" t="s">
        <v>10930</v>
      </c>
      <c r="AD432" t="s">
        <v>5741</v>
      </c>
      <c r="AE432">
        <v>25</v>
      </c>
      <c r="AF432">
        <v>1</v>
      </c>
      <c r="AG432">
        <v>0</v>
      </c>
      <c r="AH432">
        <v>86.47</v>
      </c>
      <c r="AK432" t="s">
        <v>10966</v>
      </c>
      <c r="AL432">
        <v>10800</v>
      </c>
      <c r="AR432">
        <v>16</v>
      </c>
      <c r="AS432" t="s">
        <v>6818</v>
      </c>
      <c r="AT432" t="s">
        <v>11177</v>
      </c>
      <c r="AU432" t="s">
        <v>11228</v>
      </c>
      <c r="AV432" t="s">
        <v>11230</v>
      </c>
      <c r="AW432" t="s">
        <v>11155</v>
      </c>
      <c r="AX432" t="s">
        <v>6825</v>
      </c>
    </row>
    <row r="433" spans="1:50">
      <c r="A433" s="1">
        <f>HYPERLINK("https://lsnyc.legalserver.org/matter/dynamic-profile/view/1896230","19-1896230")</f>
        <v>0</v>
      </c>
      <c r="B433" t="s">
        <v>85</v>
      </c>
      <c r="C433" t="s">
        <v>379</v>
      </c>
      <c r="D433" t="s">
        <v>1979</v>
      </c>
      <c r="E433" t="s">
        <v>3492</v>
      </c>
      <c r="F433" t="s">
        <v>5207</v>
      </c>
      <c r="G433" t="s">
        <v>5637</v>
      </c>
      <c r="H433">
        <v>11201</v>
      </c>
      <c r="I433" t="s">
        <v>5696</v>
      </c>
      <c r="J433" t="s">
        <v>5696</v>
      </c>
      <c r="K433" t="s">
        <v>5816</v>
      </c>
      <c r="L433" t="s">
        <v>5740</v>
      </c>
      <c r="M433" t="s">
        <v>6736</v>
      </c>
      <c r="N433" t="s">
        <v>6742</v>
      </c>
      <c r="O433" t="s">
        <v>6754</v>
      </c>
      <c r="R433" t="s">
        <v>6793</v>
      </c>
      <c r="U433">
        <v>0</v>
      </c>
      <c r="V433" t="s">
        <v>6835</v>
      </c>
      <c r="X433" t="s">
        <v>6862</v>
      </c>
      <c r="Y433" t="s">
        <v>7287</v>
      </c>
      <c r="AA433" t="s">
        <v>9401</v>
      </c>
      <c r="AB433">
        <v>0</v>
      </c>
      <c r="AC433" t="s">
        <v>10929</v>
      </c>
      <c r="AD433" t="s">
        <v>10945</v>
      </c>
      <c r="AE433">
        <v>0</v>
      </c>
      <c r="AF433">
        <v>1</v>
      </c>
      <c r="AG433">
        <v>0</v>
      </c>
      <c r="AH433">
        <v>82.43000000000001</v>
      </c>
      <c r="AK433" t="s">
        <v>10966</v>
      </c>
      <c r="AL433">
        <v>10296</v>
      </c>
      <c r="AR433">
        <v>7.5</v>
      </c>
      <c r="AS433" t="s">
        <v>11117</v>
      </c>
      <c r="AT433" t="s">
        <v>85</v>
      </c>
      <c r="AV433" t="s">
        <v>11230</v>
      </c>
      <c r="AW433" t="s">
        <v>11167</v>
      </c>
      <c r="AX433" t="s">
        <v>11117</v>
      </c>
    </row>
    <row r="434" spans="1:50">
      <c r="A434" s="1">
        <f>HYPERLINK("https://lsnyc.legalserver.org/matter/dynamic-profile/view/1896477","19-1896477")</f>
        <v>0</v>
      </c>
      <c r="B434" t="s">
        <v>129</v>
      </c>
      <c r="C434" t="s">
        <v>663</v>
      </c>
      <c r="D434" t="s">
        <v>1863</v>
      </c>
      <c r="E434" t="s">
        <v>3493</v>
      </c>
      <c r="F434" t="s">
        <v>5203</v>
      </c>
      <c r="G434" t="s">
        <v>5637</v>
      </c>
      <c r="H434">
        <v>11233</v>
      </c>
      <c r="I434" t="s">
        <v>5695</v>
      </c>
      <c r="J434" t="s">
        <v>5695</v>
      </c>
      <c r="K434" t="s">
        <v>5817</v>
      </c>
      <c r="L434" t="s">
        <v>6714</v>
      </c>
      <c r="M434" t="s">
        <v>6736</v>
      </c>
      <c r="N434" t="s">
        <v>6742</v>
      </c>
      <c r="O434" t="s">
        <v>6753</v>
      </c>
      <c r="P434" t="s">
        <v>5697</v>
      </c>
      <c r="R434" t="s">
        <v>6793</v>
      </c>
      <c r="S434" t="s">
        <v>6801</v>
      </c>
      <c r="U434">
        <v>1166</v>
      </c>
      <c r="V434" t="s">
        <v>6835</v>
      </c>
      <c r="W434" t="s">
        <v>6843</v>
      </c>
      <c r="X434" t="s">
        <v>6862</v>
      </c>
      <c r="Y434" t="s">
        <v>7288</v>
      </c>
      <c r="AA434" t="s">
        <v>9402</v>
      </c>
      <c r="AB434">
        <v>0</v>
      </c>
      <c r="AC434" t="s">
        <v>10929</v>
      </c>
      <c r="AE434">
        <v>5</v>
      </c>
      <c r="AF434">
        <v>1</v>
      </c>
      <c r="AG434">
        <v>0</v>
      </c>
      <c r="AH434">
        <v>200.16</v>
      </c>
      <c r="AK434" t="s">
        <v>10966</v>
      </c>
      <c r="AL434">
        <v>25000</v>
      </c>
      <c r="AN434" t="s">
        <v>11082</v>
      </c>
      <c r="AO434" t="s">
        <v>11089</v>
      </c>
      <c r="AP434" t="s">
        <v>11098</v>
      </c>
      <c r="AQ434" t="s">
        <v>11104</v>
      </c>
      <c r="AR434">
        <v>6.1</v>
      </c>
      <c r="AS434" t="s">
        <v>6815</v>
      </c>
      <c r="AT434" t="s">
        <v>11178</v>
      </c>
      <c r="AV434" t="s">
        <v>11230</v>
      </c>
      <c r="AW434" t="s">
        <v>11154</v>
      </c>
      <c r="AX434" t="s">
        <v>6815</v>
      </c>
    </row>
    <row r="435" spans="1:50">
      <c r="A435" s="1">
        <f>HYPERLINK("https://lsnyc.legalserver.org/matter/dynamic-profile/view/1898558","19-1898558")</f>
        <v>0</v>
      </c>
      <c r="B435" t="s">
        <v>51</v>
      </c>
      <c r="C435" t="s">
        <v>664</v>
      </c>
      <c r="D435" t="s">
        <v>1980</v>
      </c>
      <c r="E435" t="s">
        <v>3494</v>
      </c>
      <c r="F435" t="s">
        <v>5252</v>
      </c>
      <c r="G435" t="s">
        <v>5636</v>
      </c>
      <c r="H435">
        <v>10304</v>
      </c>
      <c r="I435" t="s">
        <v>5695</v>
      </c>
      <c r="J435" t="s">
        <v>5696</v>
      </c>
      <c r="K435" t="s">
        <v>5818</v>
      </c>
      <c r="L435" t="s">
        <v>6714</v>
      </c>
      <c r="M435" t="s">
        <v>6736</v>
      </c>
      <c r="N435" t="s">
        <v>6742</v>
      </c>
      <c r="O435" t="s">
        <v>6745</v>
      </c>
      <c r="P435" t="s">
        <v>5697</v>
      </c>
      <c r="R435" t="s">
        <v>6793</v>
      </c>
      <c r="U435">
        <v>183</v>
      </c>
      <c r="V435" t="s">
        <v>6834</v>
      </c>
      <c r="W435" t="s">
        <v>6839</v>
      </c>
      <c r="X435" t="s">
        <v>6862</v>
      </c>
      <c r="Y435" t="s">
        <v>7289</v>
      </c>
      <c r="AA435" t="s">
        <v>9403</v>
      </c>
      <c r="AB435">
        <v>305</v>
      </c>
      <c r="AC435" t="s">
        <v>10934</v>
      </c>
      <c r="AD435" t="s">
        <v>5741</v>
      </c>
      <c r="AE435">
        <v>20</v>
      </c>
      <c r="AF435">
        <v>1</v>
      </c>
      <c r="AG435">
        <v>0</v>
      </c>
      <c r="AH435">
        <v>91.27</v>
      </c>
      <c r="AK435" t="s">
        <v>10966</v>
      </c>
      <c r="AL435">
        <v>11400</v>
      </c>
      <c r="AN435" t="s">
        <v>11082</v>
      </c>
      <c r="AO435" t="s">
        <v>11090</v>
      </c>
      <c r="AP435" t="s">
        <v>11098</v>
      </c>
      <c r="AR435">
        <v>12</v>
      </c>
      <c r="AS435" t="s">
        <v>6819</v>
      </c>
      <c r="AT435" t="s">
        <v>11177</v>
      </c>
      <c r="AU435" t="s">
        <v>11228</v>
      </c>
      <c r="AV435" t="s">
        <v>11230</v>
      </c>
      <c r="AW435" t="s">
        <v>10958</v>
      </c>
      <c r="AX435" t="s">
        <v>6819</v>
      </c>
    </row>
    <row r="436" spans="1:50">
      <c r="A436" s="1">
        <f>HYPERLINK("https://lsnyc.legalserver.org/matter/dynamic-profile/view/1904051","19-1904051")</f>
        <v>0</v>
      </c>
      <c r="B436" t="s">
        <v>59</v>
      </c>
      <c r="C436" t="s">
        <v>415</v>
      </c>
      <c r="D436" t="s">
        <v>1251</v>
      </c>
      <c r="E436" t="s">
        <v>3495</v>
      </c>
      <c r="F436" t="s">
        <v>5130</v>
      </c>
      <c r="G436" t="s">
        <v>5662</v>
      </c>
      <c r="H436">
        <v>11368</v>
      </c>
      <c r="I436" t="s">
        <v>5695</v>
      </c>
      <c r="J436" t="s">
        <v>5696</v>
      </c>
      <c r="K436" t="s">
        <v>5819</v>
      </c>
      <c r="L436" t="s">
        <v>6714</v>
      </c>
      <c r="M436" t="s">
        <v>6736</v>
      </c>
      <c r="N436" t="s">
        <v>6742</v>
      </c>
      <c r="O436" t="s">
        <v>6750</v>
      </c>
      <c r="P436" t="s">
        <v>5697</v>
      </c>
      <c r="R436" t="s">
        <v>6793</v>
      </c>
      <c r="S436" t="s">
        <v>6804</v>
      </c>
      <c r="T436" t="s">
        <v>6817</v>
      </c>
      <c r="U436">
        <v>1284</v>
      </c>
      <c r="V436" t="s">
        <v>6837</v>
      </c>
      <c r="W436" t="s">
        <v>6840</v>
      </c>
      <c r="X436" t="s">
        <v>6862</v>
      </c>
      <c r="Y436" t="s">
        <v>7290</v>
      </c>
      <c r="AA436" t="s">
        <v>9404</v>
      </c>
      <c r="AB436">
        <v>8</v>
      </c>
      <c r="AC436" t="s">
        <v>10935</v>
      </c>
      <c r="AD436" t="s">
        <v>5741</v>
      </c>
      <c r="AE436">
        <v>11</v>
      </c>
      <c r="AF436">
        <v>1</v>
      </c>
      <c r="AG436">
        <v>0</v>
      </c>
      <c r="AH436">
        <v>160.13</v>
      </c>
      <c r="AK436" t="s">
        <v>10966</v>
      </c>
      <c r="AL436">
        <v>20000</v>
      </c>
      <c r="AN436" t="s">
        <v>11083</v>
      </c>
      <c r="AO436" t="s">
        <v>11091</v>
      </c>
      <c r="AP436" t="s">
        <v>11098</v>
      </c>
      <c r="AQ436" t="s">
        <v>11105</v>
      </c>
      <c r="AR436">
        <v>5.67</v>
      </c>
      <c r="AS436" t="s">
        <v>6828</v>
      </c>
      <c r="AT436" t="s">
        <v>11182</v>
      </c>
      <c r="AU436" t="s">
        <v>11228</v>
      </c>
      <c r="AV436" t="s">
        <v>11230</v>
      </c>
      <c r="AW436" t="s">
        <v>6817</v>
      </c>
      <c r="AX436" t="s">
        <v>6824</v>
      </c>
    </row>
    <row r="437" spans="1:50">
      <c r="A437" s="1">
        <f>HYPERLINK("https://lsnyc.legalserver.org/matter/dynamic-profile/view/1904213","19-1904213")</f>
        <v>0</v>
      </c>
      <c r="B437" t="s">
        <v>66</v>
      </c>
      <c r="C437" t="s">
        <v>512</v>
      </c>
      <c r="D437" t="s">
        <v>1981</v>
      </c>
      <c r="E437" t="s">
        <v>3496</v>
      </c>
      <c r="F437" t="s">
        <v>5097</v>
      </c>
      <c r="G437" t="s">
        <v>5635</v>
      </c>
      <c r="H437">
        <v>10467</v>
      </c>
      <c r="I437" t="s">
        <v>5695</v>
      </c>
      <c r="J437" t="s">
        <v>5696</v>
      </c>
      <c r="K437" t="s">
        <v>5820</v>
      </c>
      <c r="L437" t="s">
        <v>6714</v>
      </c>
      <c r="M437" t="s">
        <v>6736</v>
      </c>
      <c r="N437" t="s">
        <v>6742</v>
      </c>
      <c r="O437" t="s">
        <v>6747</v>
      </c>
      <c r="P437" t="s">
        <v>5697</v>
      </c>
      <c r="R437" t="s">
        <v>6793</v>
      </c>
      <c r="S437" t="s">
        <v>6805</v>
      </c>
      <c r="U437">
        <v>1506.54</v>
      </c>
      <c r="V437" t="s">
        <v>6833</v>
      </c>
      <c r="W437" t="s">
        <v>6843</v>
      </c>
      <c r="X437" t="s">
        <v>6862</v>
      </c>
      <c r="Y437" t="s">
        <v>7291</v>
      </c>
      <c r="Z437" t="s">
        <v>8934</v>
      </c>
      <c r="AA437" t="s">
        <v>9405</v>
      </c>
      <c r="AB437">
        <v>0</v>
      </c>
      <c r="AC437" t="s">
        <v>10929</v>
      </c>
      <c r="AD437" t="s">
        <v>10944</v>
      </c>
      <c r="AE437">
        <v>4</v>
      </c>
      <c r="AF437">
        <v>3</v>
      </c>
      <c r="AG437">
        <v>0</v>
      </c>
      <c r="AH437">
        <v>196.91</v>
      </c>
      <c r="AK437" t="s">
        <v>10967</v>
      </c>
      <c r="AL437">
        <v>42000</v>
      </c>
      <c r="AN437" t="s">
        <v>11081</v>
      </c>
      <c r="AO437" t="s">
        <v>11092</v>
      </c>
      <c r="AP437" t="s">
        <v>11098</v>
      </c>
      <c r="AQ437" t="s">
        <v>11106</v>
      </c>
      <c r="AR437">
        <v>6.3</v>
      </c>
      <c r="AS437" t="s">
        <v>6809</v>
      </c>
      <c r="AT437" t="s">
        <v>11187</v>
      </c>
      <c r="AU437" t="s">
        <v>11228</v>
      </c>
      <c r="AV437" t="s">
        <v>11230</v>
      </c>
      <c r="AW437" t="s">
        <v>6818</v>
      </c>
      <c r="AX437" t="s">
        <v>6814</v>
      </c>
    </row>
    <row r="438" spans="1:50">
      <c r="A438" s="1">
        <f>HYPERLINK("https://lsnyc.legalserver.org/matter/dynamic-profile/view/1895791","19-1895791")</f>
        <v>0</v>
      </c>
      <c r="B438" t="s">
        <v>177</v>
      </c>
      <c r="C438" t="s">
        <v>665</v>
      </c>
      <c r="D438" t="s">
        <v>1741</v>
      </c>
      <c r="E438" t="s">
        <v>3497</v>
      </c>
      <c r="F438" t="s">
        <v>5269</v>
      </c>
      <c r="G438" t="s">
        <v>5635</v>
      </c>
      <c r="H438">
        <v>10457</v>
      </c>
      <c r="I438" t="s">
        <v>5696</v>
      </c>
      <c r="J438" t="s">
        <v>5696</v>
      </c>
      <c r="K438" t="s">
        <v>5821</v>
      </c>
      <c r="L438" t="s">
        <v>6714</v>
      </c>
      <c r="M438" t="s">
        <v>6736</v>
      </c>
      <c r="N438" t="s">
        <v>6742</v>
      </c>
      <c r="O438" t="s">
        <v>6748</v>
      </c>
      <c r="R438" t="s">
        <v>6793</v>
      </c>
      <c r="S438" t="s">
        <v>6801</v>
      </c>
      <c r="U438">
        <v>1400</v>
      </c>
      <c r="V438" t="s">
        <v>6833</v>
      </c>
      <c r="W438" t="s">
        <v>6839</v>
      </c>
      <c r="X438" t="s">
        <v>6868</v>
      </c>
      <c r="Y438" t="s">
        <v>7292</v>
      </c>
      <c r="AA438" t="s">
        <v>9406</v>
      </c>
      <c r="AB438">
        <v>30</v>
      </c>
      <c r="AC438" t="s">
        <v>10941</v>
      </c>
      <c r="AE438">
        <v>13</v>
      </c>
      <c r="AF438">
        <v>1</v>
      </c>
      <c r="AG438">
        <v>0</v>
      </c>
      <c r="AH438">
        <v>66.77</v>
      </c>
      <c r="AK438" t="s">
        <v>10966</v>
      </c>
      <c r="AL438">
        <v>8340</v>
      </c>
      <c r="AO438" t="s">
        <v>11090</v>
      </c>
      <c r="AP438" t="s">
        <v>11098</v>
      </c>
      <c r="AQ438" t="s">
        <v>11104</v>
      </c>
      <c r="AR438">
        <v>15</v>
      </c>
      <c r="AS438" t="s">
        <v>11139</v>
      </c>
      <c r="AT438" t="s">
        <v>11180</v>
      </c>
      <c r="AV438" t="s">
        <v>11230</v>
      </c>
      <c r="AW438" t="s">
        <v>11153</v>
      </c>
      <c r="AX438" t="s">
        <v>11136</v>
      </c>
    </row>
    <row r="439" spans="1:50">
      <c r="A439" s="1">
        <f>HYPERLINK("https://lsnyc.legalserver.org/matter/dynamic-profile/view/1897258","19-1897258")</f>
        <v>0</v>
      </c>
      <c r="B439" t="s">
        <v>51</v>
      </c>
      <c r="C439" t="s">
        <v>666</v>
      </c>
      <c r="D439" t="s">
        <v>1982</v>
      </c>
      <c r="E439" t="s">
        <v>3498</v>
      </c>
      <c r="F439" t="s">
        <v>5270</v>
      </c>
      <c r="G439" t="s">
        <v>5636</v>
      </c>
      <c r="H439">
        <v>10304</v>
      </c>
      <c r="I439" t="s">
        <v>5695</v>
      </c>
      <c r="J439" t="s">
        <v>5696</v>
      </c>
      <c r="K439" t="s">
        <v>5822</v>
      </c>
      <c r="L439" t="s">
        <v>6714</v>
      </c>
      <c r="M439" t="s">
        <v>6736</v>
      </c>
      <c r="N439" t="s">
        <v>6742</v>
      </c>
      <c r="O439" t="s">
        <v>6745</v>
      </c>
      <c r="P439" t="s">
        <v>5697</v>
      </c>
      <c r="R439" t="s">
        <v>6793</v>
      </c>
      <c r="S439" t="s">
        <v>6801</v>
      </c>
      <c r="U439">
        <v>2900</v>
      </c>
      <c r="V439" t="s">
        <v>6834</v>
      </c>
      <c r="W439" t="s">
        <v>6848</v>
      </c>
      <c r="X439" t="s">
        <v>6867</v>
      </c>
      <c r="Y439" t="s">
        <v>7293</v>
      </c>
      <c r="AA439" t="s">
        <v>9407</v>
      </c>
      <c r="AB439">
        <v>900</v>
      </c>
      <c r="AC439" t="s">
        <v>10929</v>
      </c>
      <c r="AD439" t="s">
        <v>5741</v>
      </c>
      <c r="AE439">
        <v>-1</v>
      </c>
      <c r="AF439">
        <v>2</v>
      </c>
      <c r="AG439">
        <v>0</v>
      </c>
      <c r="AH439">
        <v>70.95999999999999</v>
      </c>
      <c r="AK439" t="s">
        <v>10966</v>
      </c>
      <c r="AL439">
        <v>12000</v>
      </c>
      <c r="AO439" t="s">
        <v>6841</v>
      </c>
      <c r="AP439" t="s">
        <v>11097</v>
      </c>
      <c r="AR439">
        <v>14.5</v>
      </c>
      <c r="AS439" t="s">
        <v>6819</v>
      </c>
      <c r="AT439" t="s">
        <v>11177</v>
      </c>
      <c r="AU439" t="s">
        <v>11228</v>
      </c>
      <c r="AV439" t="s">
        <v>11230</v>
      </c>
      <c r="AW439" t="s">
        <v>11145</v>
      </c>
      <c r="AX439" t="s">
        <v>6819</v>
      </c>
    </row>
    <row r="440" spans="1:50">
      <c r="A440" s="1">
        <f>HYPERLINK("https://lsnyc.legalserver.org/matter/dynamic-profile/view/1901840","19-1901840")</f>
        <v>0</v>
      </c>
      <c r="B440" t="s">
        <v>56</v>
      </c>
      <c r="C440" t="s">
        <v>599</v>
      </c>
      <c r="D440" t="s">
        <v>1983</v>
      </c>
      <c r="E440" t="s">
        <v>3499</v>
      </c>
      <c r="F440" t="s">
        <v>5271</v>
      </c>
      <c r="G440" t="s">
        <v>5637</v>
      </c>
      <c r="H440">
        <v>11226</v>
      </c>
      <c r="I440" t="s">
        <v>5695</v>
      </c>
      <c r="J440" t="s">
        <v>5696</v>
      </c>
      <c r="K440" t="s">
        <v>5823</v>
      </c>
      <c r="L440" t="s">
        <v>6714</v>
      </c>
      <c r="M440" t="s">
        <v>6736</v>
      </c>
      <c r="N440" t="s">
        <v>6742</v>
      </c>
      <c r="O440" t="s">
        <v>6755</v>
      </c>
      <c r="R440" t="s">
        <v>6793</v>
      </c>
      <c r="U440">
        <v>1809.23</v>
      </c>
      <c r="V440" t="s">
        <v>6835</v>
      </c>
      <c r="W440" t="s">
        <v>6854</v>
      </c>
      <c r="X440" t="s">
        <v>6862</v>
      </c>
      <c r="Y440" t="s">
        <v>7294</v>
      </c>
      <c r="AA440" t="s">
        <v>9408</v>
      </c>
      <c r="AB440">
        <v>0</v>
      </c>
      <c r="AD440" t="s">
        <v>10945</v>
      </c>
      <c r="AE440">
        <v>10</v>
      </c>
      <c r="AF440">
        <v>4</v>
      </c>
      <c r="AG440">
        <v>3</v>
      </c>
      <c r="AH440">
        <v>165.56</v>
      </c>
      <c r="AK440" t="s">
        <v>10966</v>
      </c>
      <c r="AL440">
        <v>64584</v>
      </c>
      <c r="AR440">
        <v>1.7</v>
      </c>
      <c r="AS440" t="s">
        <v>6818</v>
      </c>
      <c r="AT440" t="s">
        <v>11190</v>
      </c>
      <c r="AU440" t="s">
        <v>11228</v>
      </c>
      <c r="AV440" t="s">
        <v>11230</v>
      </c>
      <c r="AW440" t="s">
        <v>11150</v>
      </c>
      <c r="AX440" t="s">
        <v>6818</v>
      </c>
    </row>
    <row r="441" spans="1:50">
      <c r="A441" s="1">
        <f>HYPERLINK("https://lsnyc.legalserver.org/matter/dynamic-profile/view/1899622","19-1899622")</f>
        <v>0</v>
      </c>
      <c r="B441" t="s">
        <v>99</v>
      </c>
      <c r="C441" t="s">
        <v>643</v>
      </c>
      <c r="D441" t="s">
        <v>1984</v>
      </c>
      <c r="E441" t="s">
        <v>3500</v>
      </c>
      <c r="F441" t="s">
        <v>5187</v>
      </c>
      <c r="G441" t="s">
        <v>5637</v>
      </c>
      <c r="H441">
        <v>11218</v>
      </c>
      <c r="I441" t="s">
        <v>5695</v>
      </c>
      <c r="J441" t="s">
        <v>5696</v>
      </c>
      <c r="K441" t="s">
        <v>5824</v>
      </c>
      <c r="L441" t="s">
        <v>6714</v>
      </c>
      <c r="M441" t="s">
        <v>6736</v>
      </c>
      <c r="N441" t="s">
        <v>6742</v>
      </c>
      <c r="O441" t="s">
        <v>6754</v>
      </c>
      <c r="R441" t="s">
        <v>6793</v>
      </c>
      <c r="U441">
        <v>992.64</v>
      </c>
      <c r="V441" t="s">
        <v>6835</v>
      </c>
      <c r="W441" t="s">
        <v>6840</v>
      </c>
      <c r="X441" t="s">
        <v>6862</v>
      </c>
      <c r="Y441" t="s">
        <v>7295</v>
      </c>
      <c r="AA441" t="s">
        <v>9409</v>
      </c>
      <c r="AB441">
        <v>7</v>
      </c>
      <c r="AE441">
        <v>14</v>
      </c>
      <c r="AF441">
        <v>1</v>
      </c>
      <c r="AG441">
        <v>0</v>
      </c>
      <c r="AH441">
        <v>74.45999999999999</v>
      </c>
      <c r="AK441" t="s">
        <v>10966</v>
      </c>
      <c r="AL441">
        <v>9300</v>
      </c>
      <c r="AR441">
        <v>12.5</v>
      </c>
      <c r="AS441" t="s">
        <v>6819</v>
      </c>
      <c r="AT441" t="s">
        <v>11198</v>
      </c>
      <c r="AV441" t="s">
        <v>11230</v>
      </c>
      <c r="AW441" t="s">
        <v>11128</v>
      </c>
      <c r="AX441" t="s">
        <v>6819</v>
      </c>
    </row>
    <row r="442" spans="1:50">
      <c r="A442" s="1">
        <f>HYPERLINK("https://lsnyc.legalserver.org/matter/dynamic-profile/view/1899843","19-1899843")</f>
        <v>0</v>
      </c>
      <c r="B442" t="s">
        <v>75</v>
      </c>
      <c r="C442" t="s">
        <v>569</v>
      </c>
      <c r="D442" t="s">
        <v>1887</v>
      </c>
      <c r="E442" t="s">
        <v>3372</v>
      </c>
      <c r="F442" t="s">
        <v>5130</v>
      </c>
      <c r="G442" t="s">
        <v>5638</v>
      </c>
      <c r="H442">
        <v>10032</v>
      </c>
      <c r="I442" t="s">
        <v>5696</v>
      </c>
      <c r="J442" t="s">
        <v>5696</v>
      </c>
      <c r="K442" t="s">
        <v>5825</v>
      </c>
      <c r="L442" t="s">
        <v>6714</v>
      </c>
      <c r="M442" t="s">
        <v>6736</v>
      </c>
      <c r="N442" t="s">
        <v>6742</v>
      </c>
      <c r="O442" t="s">
        <v>6758</v>
      </c>
      <c r="P442" t="s">
        <v>5697</v>
      </c>
      <c r="R442" t="s">
        <v>6793</v>
      </c>
      <c r="S442" t="s">
        <v>6801</v>
      </c>
      <c r="U442">
        <v>854</v>
      </c>
      <c r="V442" t="s">
        <v>6836</v>
      </c>
      <c r="W442" t="s">
        <v>6841</v>
      </c>
      <c r="X442" t="s">
        <v>6862</v>
      </c>
      <c r="Y442" t="s">
        <v>7165</v>
      </c>
      <c r="AA442" t="s">
        <v>9318</v>
      </c>
      <c r="AB442">
        <v>0</v>
      </c>
      <c r="AC442" t="s">
        <v>10929</v>
      </c>
      <c r="AE442">
        <v>28</v>
      </c>
      <c r="AF442">
        <v>1</v>
      </c>
      <c r="AG442">
        <v>0</v>
      </c>
      <c r="AH442">
        <v>12.78</v>
      </c>
      <c r="AL442">
        <v>1596</v>
      </c>
      <c r="AR442">
        <v>5.2</v>
      </c>
      <c r="AS442" t="s">
        <v>6809</v>
      </c>
      <c r="AT442" t="s">
        <v>75</v>
      </c>
      <c r="AV442" t="s">
        <v>11230</v>
      </c>
      <c r="AW442" t="s">
        <v>11132</v>
      </c>
      <c r="AX442" t="s">
        <v>6809</v>
      </c>
    </row>
    <row r="443" spans="1:50">
      <c r="A443" s="1">
        <f>HYPERLINK("https://lsnyc.legalserver.org/matter/dynamic-profile/view/1904250","19-1904250")</f>
        <v>0</v>
      </c>
      <c r="B443" t="s">
        <v>79</v>
      </c>
      <c r="C443" t="s">
        <v>667</v>
      </c>
      <c r="D443" t="s">
        <v>1640</v>
      </c>
      <c r="E443" t="s">
        <v>3501</v>
      </c>
      <c r="F443" t="s">
        <v>5100</v>
      </c>
      <c r="G443" t="s">
        <v>5647</v>
      </c>
      <c r="H443">
        <v>11691</v>
      </c>
      <c r="I443" t="s">
        <v>5695</v>
      </c>
      <c r="J443" t="s">
        <v>5696</v>
      </c>
      <c r="K443" t="s">
        <v>5826</v>
      </c>
      <c r="L443" t="s">
        <v>6714</v>
      </c>
      <c r="M443" t="s">
        <v>6736</v>
      </c>
      <c r="N443" t="s">
        <v>6742</v>
      </c>
      <c r="O443" t="s">
        <v>6745</v>
      </c>
      <c r="P443" t="s">
        <v>5697</v>
      </c>
      <c r="R443" t="s">
        <v>6793</v>
      </c>
      <c r="S443" t="s">
        <v>6805</v>
      </c>
      <c r="T443" t="s">
        <v>6818</v>
      </c>
      <c r="U443">
        <v>208</v>
      </c>
      <c r="V443" t="s">
        <v>6837</v>
      </c>
      <c r="W443" t="s">
        <v>6844</v>
      </c>
      <c r="X443" t="s">
        <v>6862</v>
      </c>
      <c r="Y443" t="s">
        <v>7296</v>
      </c>
      <c r="AA443" t="s">
        <v>9410</v>
      </c>
      <c r="AB443">
        <v>53</v>
      </c>
      <c r="AC443" t="s">
        <v>8953</v>
      </c>
      <c r="AD443" t="s">
        <v>10944</v>
      </c>
      <c r="AE443">
        <v>30</v>
      </c>
      <c r="AF443">
        <v>2</v>
      </c>
      <c r="AG443">
        <v>2</v>
      </c>
      <c r="AH443">
        <v>35.42</v>
      </c>
      <c r="AK443" t="s">
        <v>10966</v>
      </c>
      <c r="AL443">
        <v>9120</v>
      </c>
      <c r="AR443">
        <v>5.5</v>
      </c>
      <c r="AS443" t="s">
        <v>6826</v>
      </c>
      <c r="AT443" t="s">
        <v>79</v>
      </c>
      <c r="AU443" t="s">
        <v>11228</v>
      </c>
      <c r="AV443" t="s">
        <v>11230</v>
      </c>
      <c r="AW443" t="s">
        <v>6818</v>
      </c>
      <c r="AX443" t="s">
        <v>6819</v>
      </c>
    </row>
    <row r="444" spans="1:50">
      <c r="A444" s="1">
        <f>HYPERLINK("https://lsnyc.legalserver.org/matter/dynamic-profile/view/1895622","19-1895622")</f>
        <v>0</v>
      </c>
      <c r="B444" t="s">
        <v>70</v>
      </c>
      <c r="C444" t="s">
        <v>335</v>
      </c>
      <c r="D444" t="s">
        <v>1985</v>
      </c>
      <c r="E444" t="s">
        <v>3502</v>
      </c>
      <c r="F444" t="s">
        <v>5272</v>
      </c>
      <c r="G444" t="s">
        <v>5637</v>
      </c>
      <c r="H444">
        <v>11225</v>
      </c>
      <c r="I444" t="s">
        <v>5696</v>
      </c>
      <c r="J444" t="s">
        <v>5696</v>
      </c>
      <c r="K444" t="s">
        <v>5827</v>
      </c>
      <c r="L444" t="s">
        <v>6714</v>
      </c>
      <c r="M444" t="s">
        <v>6736</v>
      </c>
      <c r="N444" t="s">
        <v>6742</v>
      </c>
      <c r="O444" t="s">
        <v>6755</v>
      </c>
      <c r="R444" t="s">
        <v>6793</v>
      </c>
      <c r="S444" t="s">
        <v>6801</v>
      </c>
      <c r="U444">
        <v>1058.31</v>
      </c>
      <c r="V444" t="s">
        <v>6835</v>
      </c>
      <c r="W444" t="s">
        <v>6854</v>
      </c>
      <c r="X444" t="s">
        <v>6862</v>
      </c>
      <c r="Y444" t="s">
        <v>7297</v>
      </c>
      <c r="Z444" t="s">
        <v>8935</v>
      </c>
      <c r="AB444">
        <v>124</v>
      </c>
      <c r="AC444" t="s">
        <v>10929</v>
      </c>
      <c r="AD444" t="s">
        <v>10947</v>
      </c>
      <c r="AE444">
        <v>35</v>
      </c>
      <c r="AF444">
        <v>1</v>
      </c>
      <c r="AG444">
        <v>0</v>
      </c>
      <c r="AH444">
        <v>0</v>
      </c>
      <c r="AL444">
        <v>0</v>
      </c>
      <c r="AR444">
        <v>13.5</v>
      </c>
      <c r="AS444" t="s">
        <v>6824</v>
      </c>
      <c r="AT444" t="s">
        <v>11178</v>
      </c>
      <c r="AV444" t="s">
        <v>11230</v>
      </c>
      <c r="AW444" t="s">
        <v>11119</v>
      </c>
      <c r="AX444" t="s">
        <v>6824</v>
      </c>
    </row>
    <row r="445" spans="1:50">
      <c r="A445" s="1">
        <f>HYPERLINK("https://lsnyc.legalserver.org/matter/dynamic-profile/view/1903223","19-1903223")</f>
        <v>0</v>
      </c>
      <c r="B445" t="s">
        <v>95</v>
      </c>
      <c r="C445" t="s">
        <v>624</v>
      </c>
      <c r="D445" t="s">
        <v>1986</v>
      </c>
      <c r="E445" t="s">
        <v>3503</v>
      </c>
      <c r="F445" t="s">
        <v>5273</v>
      </c>
      <c r="G445" t="s">
        <v>5637</v>
      </c>
      <c r="H445">
        <v>11233</v>
      </c>
      <c r="I445" t="s">
        <v>5695</v>
      </c>
      <c r="J445" t="s">
        <v>5696</v>
      </c>
      <c r="K445" t="s">
        <v>5828</v>
      </c>
      <c r="L445" t="s">
        <v>6716</v>
      </c>
      <c r="M445" t="s">
        <v>6736</v>
      </c>
      <c r="N445" t="s">
        <v>6742</v>
      </c>
      <c r="O445" t="s">
        <v>6746</v>
      </c>
      <c r="P445" t="s">
        <v>5697</v>
      </c>
      <c r="R445" t="s">
        <v>6794</v>
      </c>
      <c r="S445" t="s">
        <v>6801</v>
      </c>
      <c r="T445" t="s">
        <v>6818</v>
      </c>
      <c r="U445">
        <v>463</v>
      </c>
      <c r="V445" t="s">
        <v>6835</v>
      </c>
      <c r="W445" t="s">
        <v>6838</v>
      </c>
      <c r="X445" t="s">
        <v>6869</v>
      </c>
      <c r="Y445" t="s">
        <v>7298</v>
      </c>
      <c r="Z445" t="s">
        <v>8929</v>
      </c>
      <c r="AA445" t="s">
        <v>9411</v>
      </c>
      <c r="AB445">
        <v>40</v>
      </c>
      <c r="AC445" t="s">
        <v>10931</v>
      </c>
      <c r="AD445" t="s">
        <v>5741</v>
      </c>
      <c r="AE445">
        <v>15</v>
      </c>
      <c r="AF445">
        <v>1</v>
      </c>
      <c r="AG445">
        <v>1</v>
      </c>
      <c r="AH445">
        <v>0</v>
      </c>
      <c r="AK445" t="s">
        <v>10966</v>
      </c>
      <c r="AL445">
        <v>0</v>
      </c>
      <c r="AN445" t="s">
        <v>11082</v>
      </c>
      <c r="AO445" t="s">
        <v>11090</v>
      </c>
      <c r="AP445" t="s">
        <v>11098</v>
      </c>
      <c r="AQ445" t="s">
        <v>11107</v>
      </c>
      <c r="AR445">
        <v>1.9</v>
      </c>
      <c r="AS445" t="s">
        <v>6813</v>
      </c>
      <c r="AT445" t="s">
        <v>11198</v>
      </c>
      <c r="AU445" t="s">
        <v>5741</v>
      </c>
      <c r="AV445" t="s">
        <v>11230</v>
      </c>
      <c r="AW445" t="s">
        <v>6818</v>
      </c>
      <c r="AX445" t="s">
        <v>6818</v>
      </c>
    </row>
    <row r="446" spans="1:50">
      <c r="A446" s="1">
        <f>HYPERLINK("https://lsnyc.legalserver.org/matter/dynamic-profile/view/1895858","19-1895858")</f>
        <v>0</v>
      </c>
      <c r="B446" t="s">
        <v>72</v>
      </c>
      <c r="C446" t="s">
        <v>482</v>
      </c>
      <c r="D446" t="s">
        <v>1987</v>
      </c>
      <c r="E446" t="s">
        <v>3504</v>
      </c>
      <c r="G446" t="s">
        <v>5637</v>
      </c>
      <c r="H446">
        <v>11233</v>
      </c>
      <c r="I446" t="s">
        <v>5696</v>
      </c>
      <c r="J446" t="s">
        <v>5696</v>
      </c>
      <c r="M446" t="s">
        <v>6736</v>
      </c>
      <c r="N446" t="s">
        <v>6742</v>
      </c>
      <c r="O446" t="s">
        <v>6746</v>
      </c>
      <c r="R446" t="s">
        <v>6793</v>
      </c>
      <c r="U446">
        <v>0</v>
      </c>
      <c r="V446" t="s">
        <v>6835</v>
      </c>
      <c r="X446" t="s">
        <v>6862</v>
      </c>
      <c r="Y446" t="s">
        <v>7299</v>
      </c>
      <c r="AA446" t="s">
        <v>9412</v>
      </c>
      <c r="AB446">
        <v>0</v>
      </c>
      <c r="AE446">
        <v>6</v>
      </c>
      <c r="AF446">
        <v>1</v>
      </c>
      <c r="AG446">
        <v>0</v>
      </c>
      <c r="AH446">
        <v>36.12</v>
      </c>
      <c r="AL446">
        <v>4512</v>
      </c>
      <c r="AN446" t="s">
        <v>11083</v>
      </c>
      <c r="AO446" t="s">
        <v>11093</v>
      </c>
      <c r="AP446" t="s">
        <v>11098</v>
      </c>
      <c r="AQ446" t="s">
        <v>11108</v>
      </c>
      <c r="AR446">
        <v>5</v>
      </c>
      <c r="AS446" t="s">
        <v>11116</v>
      </c>
      <c r="AT446" t="s">
        <v>11214</v>
      </c>
      <c r="AV446" t="s">
        <v>11230</v>
      </c>
      <c r="AW446" t="s">
        <v>10960</v>
      </c>
      <c r="AX446" t="s">
        <v>11116</v>
      </c>
    </row>
    <row r="447" spans="1:50">
      <c r="A447" s="1">
        <f>HYPERLINK("https://lsnyc.legalserver.org/matter/dynamic-profile/view/1898247","19-1898247")</f>
        <v>0</v>
      </c>
      <c r="B447" t="s">
        <v>86</v>
      </c>
      <c r="C447" t="s">
        <v>668</v>
      </c>
      <c r="D447" t="s">
        <v>1893</v>
      </c>
      <c r="E447" t="s">
        <v>3505</v>
      </c>
      <c r="F447" t="s">
        <v>5274</v>
      </c>
      <c r="G447" t="s">
        <v>5636</v>
      </c>
      <c r="H447">
        <v>10304</v>
      </c>
      <c r="I447" t="s">
        <v>5696</v>
      </c>
      <c r="J447" t="s">
        <v>5696</v>
      </c>
      <c r="M447" t="s">
        <v>6736</v>
      </c>
      <c r="N447" t="s">
        <v>6742</v>
      </c>
      <c r="O447" t="s">
        <v>6745</v>
      </c>
      <c r="R447" t="s">
        <v>6793</v>
      </c>
      <c r="S447" t="s">
        <v>6801</v>
      </c>
      <c r="U447">
        <v>372</v>
      </c>
      <c r="V447" t="s">
        <v>6834</v>
      </c>
      <c r="W447" t="s">
        <v>6843</v>
      </c>
      <c r="X447" t="s">
        <v>6862</v>
      </c>
      <c r="Y447" t="s">
        <v>7246</v>
      </c>
      <c r="AA447" t="s">
        <v>9413</v>
      </c>
      <c r="AB447">
        <v>403</v>
      </c>
      <c r="AC447" t="s">
        <v>10934</v>
      </c>
      <c r="AD447" t="s">
        <v>10944</v>
      </c>
      <c r="AE447">
        <v>449</v>
      </c>
      <c r="AF447">
        <v>1</v>
      </c>
      <c r="AG447">
        <v>0</v>
      </c>
      <c r="AH447">
        <v>79.26000000000001</v>
      </c>
      <c r="AK447" t="s">
        <v>10966</v>
      </c>
      <c r="AL447">
        <v>9900</v>
      </c>
      <c r="AR447">
        <v>5.6</v>
      </c>
      <c r="AS447" t="s">
        <v>6815</v>
      </c>
      <c r="AT447" t="s">
        <v>11177</v>
      </c>
      <c r="AV447" t="s">
        <v>11230</v>
      </c>
      <c r="AW447" t="s">
        <v>11132</v>
      </c>
      <c r="AX447" t="s">
        <v>6815</v>
      </c>
    </row>
    <row r="448" spans="1:50">
      <c r="A448" s="1">
        <f>HYPERLINK("https://lsnyc.legalserver.org/matter/dynamic-profile/view/1899110","19-1899110")</f>
        <v>0</v>
      </c>
      <c r="B448" t="s">
        <v>51</v>
      </c>
      <c r="C448" t="s">
        <v>316</v>
      </c>
      <c r="D448" t="s">
        <v>1988</v>
      </c>
      <c r="E448" t="s">
        <v>3506</v>
      </c>
      <c r="F448" t="s">
        <v>5244</v>
      </c>
      <c r="G448" t="s">
        <v>5636</v>
      </c>
      <c r="H448">
        <v>10303</v>
      </c>
      <c r="I448" t="s">
        <v>5696</v>
      </c>
      <c r="J448" t="s">
        <v>5696</v>
      </c>
      <c r="L448" t="s">
        <v>6712</v>
      </c>
      <c r="N448" t="s">
        <v>6742</v>
      </c>
      <c r="O448" t="s">
        <v>6762</v>
      </c>
      <c r="R448" t="s">
        <v>6793</v>
      </c>
      <c r="U448">
        <v>1500</v>
      </c>
      <c r="V448" t="s">
        <v>6834</v>
      </c>
      <c r="W448" t="s">
        <v>6841</v>
      </c>
      <c r="X448" t="s">
        <v>6860</v>
      </c>
      <c r="Y448" t="s">
        <v>7300</v>
      </c>
      <c r="AA448" t="s">
        <v>9414</v>
      </c>
      <c r="AB448">
        <v>2</v>
      </c>
      <c r="AC448" t="s">
        <v>10939</v>
      </c>
      <c r="AE448">
        <v>0</v>
      </c>
      <c r="AF448">
        <v>3</v>
      </c>
      <c r="AG448">
        <v>0</v>
      </c>
      <c r="AH448">
        <v>165.96</v>
      </c>
      <c r="AK448" t="s">
        <v>10966</v>
      </c>
      <c r="AL448">
        <v>35400</v>
      </c>
      <c r="AR448">
        <v>14.4</v>
      </c>
      <c r="AS448" t="s">
        <v>11117</v>
      </c>
      <c r="AT448" t="s">
        <v>54</v>
      </c>
      <c r="AV448" t="s">
        <v>11230</v>
      </c>
      <c r="AW448" t="s">
        <v>11128</v>
      </c>
      <c r="AX448" t="s">
        <v>11117</v>
      </c>
    </row>
    <row r="449" spans="1:50">
      <c r="A449" s="1">
        <f>HYPERLINK("https://lsnyc.legalserver.org/matter/dynamic-profile/view/1900071","19-1900071")</f>
        <v>0</v>
      </c>
      <c r="B449" t="s">
        <v>136</v>
      </c>
      <c r="C449" t="s">
        <v>669</v>
      </c>
      <c r="D449" t="s">
        <v>803</v>
      </c>
      <c r="E449" t="s">
        <v>3507</v>
      </c>
      <c r="F449" t="s">
        <v>5275</v>
      </c>
      <c r="G449" t="s">
        <v>5637</v>
      </c>
      <c r="H449">
        <v>11230</v>
      </c>
      <c r="I449" t="s">
        <v>5696</v>
      </c>
      <c r="J449" t="s">
        <v>5696</v>
      </c>
      <c r="N449" t="s">
        <v>6742</v>
      </c>
      <c r="O449" t="s">
        <v>6771</v>
      </c>
      <c r="R449" t="s">
        <v>6793</v>
      </c>
      <c r="U449">
        <v>0</v>
      </c>
      <c r="V449" t="s">
        <v>6835</v>
      </c>
      <c r="X449" t="s">
        <v>6862</v>
      </c>
      <c r="Y449" t="s">
        <v>7284</v>
      </c>
      <c r="AA449" t="s">
        <v>9415</v>
      </c>
      <c r="AB449">
        <v>0</v>
      </c>
      <c r="AE449">
        <v>0</v>
      </c>
      <c r="AF449">
        <v>1</v>
      </c>
      <c r="AG449">
        <v>0</v>
      </c>
      <c r="AH449">
        <v>81.67</v>
      </c>
      <c r="AK449" t="s">
        <v>10966</v>
      </c>
      <c r="AL449">
        <v>10200</v>
      </c>
      <c r="AO449" t="s">
        <v>11091</v>
      </c>
      <c r="AP449" t="s">
        <v>11098</v>
      </c>
      <c r="AQ449" t="s">
        <v>11109</v>
      </c>
      <c r="AR449">
        <v>1.75</v>
      </c>
      <c r="AS449" t="s">
        <v>6812</v>
      </c>
      <c r="AT449" t="s">
        <v>141</v>
      </c>
      <c r="AV449" t="s">
        <v>11230</v>
      </c>
      <c r="AW449" t="s">
        <v>10957</v>
      </c>
      <c r="AX449" t="s">
        <v>6812</v>
      </c>
    </row>
    <row r="450" spans="1:50">
      <c r="A450" s="1">
        <f>HYPERLINK("https://lsnyc.legalserver.org/matter/dynamic-profile/view/1905547","19-1905547")</f>
        <v>0</v>
      </c>
      <c r="B450" t="s">
        <v>178</v>
      </c>
      <c r="C450" t="s">
        <v>670</v>
      </c>
      <c r="D450" t="s">
        <v>1685</v>
      </c>
      <c r="E450" t="s">
        <v>3508</v>
      </c>
      <c r="F450" t="s">
        <v>5161</v>
      </c>
      <c r="G450" t="s">
        <v>5638</v>
      </c>
      <c r="H450">
        <v>10035</v>
      </c>
      <c r="I450" t="s">
        <v>5695</v>
      </c>
      <c r="J450" t="s">
        <v>5696</v>
      </c>
      <c r="K450" t="s">
        <v>5829</v>
      </c>
      <c r="L450" t="s">
        <v>6711</v>
      </c>
      <c r="M450" t="s">
        <v>6736</v>
      </c>
      <c r="N450" t="s">
        <v>6743</v>
      </c>
      <c r="O450" t="s">
        <v>6745</v>
      </c>
      <c r="P450" t="s">
        <v>5697</v>
      </c>
      <c r="R450" t="s">
        <v>6793</v>
      </c>
      <c r="T450" t="s">
        <v>6819</v>
      </c>
      <c r="U450">
        <v>1575</v>
      </c>
      <c r="V450" t="s">
        <v>6836</v>
      </c>
      <c r="W450" t="s">
        <v>6843</v>
      </c>
      <c r="X450" t="s">
        <v>6859</v>
      </c>
      <c r="Y450" t="s">
        <v>7301</v>
      </c>
      <c r="AA450" t="s">
        <v>9416</v>
      </c>
      <c r="AB450">
        <v>10</v>
      </c>
      <c r="AC450" t="s">
        <v>10929</v>
      </c>
      <c r="AD450" t="s">
        <v>5741</v>
      </c>
      <c r="AE450">
        <v>0</v>
      </c>
      <c r="AF450">
        <v>3</v>
      </c>
      <c r="AG450">
        <v>1</v>
      </c>
      <c r="AH450">
        <v>166.99</v>
      </c>
      <c r="AK450" t="s">
        <v>10966</v>
      </c>
      <c r="AL450">
        <v>43000</v>
      </c>
      <c r="AR450">
        <v>0.1</v>
      </c>
      <c r="AS450" t="s">
        <v>6819</v>
      </c>
      <c r="AT450" t="s">
        <v>11201</v>
      </c>
      <c r="AU450" t="s">
        <v>11228</v>
      </c>
      <c r="AV450" t="s">
        <v>11230</v>
      </c>
      <c r="AW450" t="s">
        <v>6819</v>
      </c>
      <c r="AX450" t="s">
        <v>6819</v>
      </c>
    </row>
    <row r="451" spans="1:50">
      <c r="A451" s="1">
        <f>HYPERLINK("https://lsnyc.legalserver.org/matter/dynamic-profile/view/1903469","19-1903469")</f>
        <v>0</v>
      </c>
      <c r="B451" t="s">
        <v>179</v>
      </c>
      <c r="C451" t="s">
        <v>671</v>
      </c>
      <c r="D451" t="s">
        <v>1989</v>
      </c>
      <c r="E451" t="s">
        <v>3509</v>
      </c>
      <c r="F451" t="s">
        <v>5101</v>
      </c>
      <c r="G451" t="s">
        <v>5635</v>
      </c>
      <c r="H451">
        <v>10468</v>
      </c>
      <c r="I451" t="s">
        <v>5696</v>
      </c>
      <c r="J451" t="s">
        <v>5696</v>
      </c>
      <c r="N451" t="s">
        <v>6743</v>
      </c>
      <c r="O451" t="s">
        <v>6764</v>
      </c>
      <c r="R451" t="s">
        <v>6795</v>
      </c>
      <c r="U451">
        <v>0</v>
      </c>
      <c r="V451" t="s">
        <v>6833</v>
      </c>
      <c r="X451" t="s">
        <v>6861</v>
      </c>
      <c r="Y451" t="s">
        <v>6912</v>
      </c>
      <c r="AA451" t="s">
        <v>9417</v>
      </c>
      <c r="AB451">
        <v>0</v>
      </c>
      <c r="AE451">
        <v>0</v>
      </c>
      <c r="AF451">
        <v>1</v>
      </c>
      <c r="AG451">
        <v>2</v>
      </c>
      <c r="AH451">
        <v>39.38</v>
      </c>
      <c r="AK451" t="s">
        <v>10966</v>
      </c>
      <c r="AL451">
        <v>8400</v>
      </c>
      <c r="AR451">
        <v>0.35</v>
      </c>
      <c r="AS451" t="s">
        <v>11136</v>
      </c>
      <c r="AT451" t="s">
        <v>179</v>
      </c>
      <c r="AV451" t="s">
        <v>11230</v>
      </c>
      <c r="AW451" t="s">
        <v>11136</v>
      </c>
      <c r="AX451" t="s">
        <v>11136</v>
      </c>
    </row>
    <row r="452" spans="1:50">
      <c r="A452" s="1">
        <f>HYPERLINK("https://lsnyc.legalserver.org/matter/dynamic-profile/view/1896843","19-1896843")</f>
        <v>0</v>
      </c>
      <c r="B452" t="s">
        <v>180</v>
      </c>
      <c r="C452" t="s">
        <v>335</v>
      </c>
      <c r="D452" t="s">
        <v>1990</v>
      </c>
      <c r="E452" t="s">
        <v>3510</v>
      </c>
      <c r="F452" t="s">
        <v>5186</v>
      </c>
      <c r="G452" t="s">
        <v>5635</v>
      </c>
      <c r="H452">
        <v>10463</v>
      </c>
      <c r="I452" t="s">
        <v>5696</v>
      </c>
      <c r="J452" t="s">
        <v>5696</v>
      </c>
      <c r="N452" t="s">
        <v>6743</v>
      </c>
      <c r="O452" t="s">
        <v>6764</v>
      </c>
      <c r="Q452" t="s">
        <v>6745</v>
      </c>
      <c r="R452" t="s">
        <v>6795</v>
      </c>
      <c r="U452">
        <v>0</v>
      </c>
      <c r="V452" t="s">
        <v>6833</v>
      </c>
      <c r="X452" t="s">
        <v>6859</v>
      </c>
      <c r="Y452" t="s">
        <v>7302</v>
      </c>
      <c r="AB452">
        <v>0</v>
      </c>
      <c r="AE452">
        <v>0</v>
      </c>
      <c r="AF452">
        <v>1</v>
      </c>
      <c r="AG452">
        <v>0</v>
      </c>
      <c r="AH452">
        <v>85.7</v>
      </c>
      <c r="AK452" t="s">
        <v>10977</v>
      </c>
      <c r="AL452">
        <v>10704</v>
      </c>
      <c r="AR452">
        <v>4.25</v>
      </c>
      <c r="AS452" t="s">
        <v>6814</v>
      </c>
      <c r="AT452" t="s">
        <v>11215</v>
      </c>
      <c r="AV452" t="s">
        <v>11230</v>
      </c>
      <c r="AW452" t="s">
        <v>11232</v>
      </c>
      <c r="AX452" t="s">
        <v>6814</v>
      </c>
    </row>
    <row r="453" spans="1:50">
      <c r="A453" s="1">
        <f>HYPERLINK("https://lsnyc.legalserver.org/matter/dynamic-profile/view/1900998","19-1900998")</f>
        <v>0</v>
      </c>
      <c r="B453" t="s">
        <v>146</v>
      </c>
      <c r="C453" t="s">
        <v>672</v>
      </c>
      <c r="D453" t="s">
        <v>1991</v>
      </c>
      <c r="E453" t="s">
        <v>3511</v>
      </c>
      <c r="G453" t="s">
        <v>5663</v>
      </c>
      <c r="H453">
        <v>11360</v>
      </c>
      <c r="I453" t="s">
        <v>5696</v>
      </c>
      <c r="J453" t="s">
        <v>5696</v>
      </c>
      <c r="N453" t="s">
        <v>6744</v>
      </c>
      <c r="O453" t="s">
        <v>6767</v>
      </c>
      <c r="R453" t="s">
        <v>6798</v>
      </c>
      <c r="U453">
        <v>0</v>
      </c>
      <c r="V453" t="s">
        <v>6837</v>
      </c>
      <c r="X453" t="s">
        <v>6865</v>
      </c>
      <c r="Y453" t="s">
        <v>7303</v>
      </c>
      <c r="AA453" t="s">
        <v>9418</v>
      </c>
      <c r="AB453">
        <v>0</v>
      </c>
      <c r="AE453">
        <v>0</v>
      </c>
      <c r="AF453">
        <v>1</v>
      </c>
      <c r="AG453">
        <v>0</v>
      </c>
      <c r="AH453">
        <v>57.65</v>
      </c>
      <c r="AK453" t="s">
        <v>10966</v>
      </c>
      <c r="AL453">
        <v>7200</v>
      </c>
      <c r="AR453">
        <v>3.7</v>
      </c>
      <c r="AS453" t="s">
        <v>11163</v>
      </c>
      <c r="AT453" t="s">
        <v>11180</v>
      </c>
      <c r="AV453" t="s">
        <v>11230</v>
      </c>
      <c r="AW453" t="s">
        <v>11120</v>
      </c>
      <c r="AX453" t="s">
        <v>6822</v>
      </c>
    </row>
    <row r="454" spans="1:50">
      <c r="A454" s="1">
        <f>HYPERLINK("https://lsnyc.legalserver.org/matter/dynamic-profile/view/1895878","19-1895878")</f>
        <v>0</v>
      </c>
      <c r="B454" t="s">
        <v>181</v>
      </c>
      <c r="C454" t="s">
        <v>673</v>
      </c>
      <c r="D454" t="s">
        <v>1992</v>
      </c>
      <c r="E454" t="s">
        <v>3512</v>
      </c>
      <c r="G454" t="s">
        <v>5656</v>
      </c>
      <c r="H454">
        <v>11413</v>
      </c>
      <c r="I454" t="s">
        <v>5696</v>
      </c>
      <c r="J454" t="s">
        <v>5696</v>
      </c>
      <c r="N454" t="s">
        <v>6744</v>
      </c>
      <c r="O454" t="s">
        <v>6767</v>
      </c>
      <c r="R454" t="s">
        <v>6798</v>
      </c>
      <c r="U454">
        <v>0</v>
      </c>
      <c r="V454" t="s">
        <v>6837</v>
      </c>
      <c r="X454" t="s">
        <v>6865</v>
      </c>
      <c r="Y454" t="s">
        <v>7304</v>
      </c>
      <c r="AA454" t="s">
        <v>9419</v>
      </c>
      <c r="AB454">
        <v>0</v>
      </c>
      <c r="AE454">
        <v>0</v>
      </c>
      <c r="AF454">
        <v>1</v>
      </c>
      <c r="AG454">
        <v>0</v>
      </c>
      <c r="AH454">
        <v>208.17</v>
      </c>
      <c r="AK454" t="s">
        <v>10966</v>
      </c>
      <c r="AL454">
        <v>26000</v>
      </c>
      <c r="AR454">
        <v>4.4</v>
      </c>
      <c r="AS454" t="s">
        <v>11159</v>
      </c>
      <c r="AT454" t="s">
        <v>11180</v>
      </c>
      <c r="AV454" t="s">
        <v>11230</v>
      </c>
      <c r="AW454" t="s">
        <v>11170</v>
      </c>
      <c r="AX454" t="s">
        <v>11159</v>
      </c>
    </row>
    <row r="455" spans="1:50">
      <c r="A455" s="1">
        <f>HYPERLINK("https://lsnyc.legalserver.org/matter/dynamic-profile/view/1901216","19-1901216")</f>
        <v>0</v>
      </c>
      <c r="B455" t="s">
        <v>146</v>
      </c>
      <c r="C455" t="s">
        <v>445</v>
      </c>
      <c r="D455" t="s">
        <v>1965</v>
      </c>
      <c r="E455" t="s">
        <v>3513</v>
      </c>
      <c r="G455" t="s">
        <v>5637</v>
      </c>
      <c r="H455">
        <v>11221</v>
      </c>
      <c r="I455" t="s">
        <v>5696</v>
      </c>
      <c r="J455" t="s">
        <v>5696</v>
      </c>
      <c r="N455" t="s">
        <v>6744</v>
      </c>
      <c r="O455" t="s">
        <v>6767</v>
      </c>
      <c r="R455" t="s">
        <v>6798</v>
      </c>
      <c r="U455">
        <v>0</v>
      </c>
      <c r="V455" t="s">
        <v>6837</v>
      </c>
      <c r="X455" t="s">
        <v>6865</v>
      </c>
      <c r="Y455" t="s">
        <v>7305</v>
      </c>
      <c r="AA455" t="s">
        <v>9420</v>
      </c>
      <c r="AB455">
        <v>0</v>
      </c>
      <c r="AE455">
        <v>0</v>
      </c>
      <c r="AF455">
        <v>1</v>
      </c>
      <c r="AG455">
        <v>0</v>
      </c>
      <c r="AH455">
        <v>600.48</v>
      </c>
      <c r="AL455">
        <v>75000</v>
      </c>
      <c r="AR455">
        <v>1.1</v>
      </c>
      <c r="AS455" t="s">
        <v>11162</v>
      </c>
      <c r="AT455" t="s">
        <v>146</v>
      </c>
      <c r="AV455" t="s">
        <v>11230</v>
      </c>
      <c r="AW455" t="s">
        <v>11162</v>
      </c>
      <c r="AX455" t="s">
        <v>6808</v>
      </c>
    </row>
    <row r="456" spans="1:50">
      <c r="A456" s="1">
        <f>HYPERLINK("https://lsnyc.legalserver.org/matter/dynamic-profile/view/1900662","19-1900662")</f>
        <v>0</v>
      </c>
      <c r="B456" t="s">
        <v>146</v>
      </c>
      <c r="C456" t="s">
        <v>674</v>
      </c>
      <c r="D456" t="s">
        <v>1751</v>
      </c>
      <c r="E456" t="s">
        <v>3514</v>
      </c>
      <c r="G456" t="s">
        <v>5644</v>
      </c>
      <c r="H456">
        <v>11436</v>
      </c>
      <c r="I456" t="s">
        <v>5696</v>
      </c>
      <c r="J456" t="s">
        <v>5696</v>
      </c>
      <c r="N456" t="s">
        <v>6744</v>
      </c>
      <c r="O456" t="s">
        <v>6767</v>
      </c>
      <c r="R456" t="s">
        <v>6798</v>
      </c>
      <c r="U456">
        <v>0</v>
      </c>
      <c r="V456" t="s">
        <v>6837</v>
      </c>
      <c r="X456" t="s">
        <v>6857</v>
      </c>
      <c r="Y456" t="s">
        <v>7306</v>
      </c>
      <c r="AA456" t="s">
        <v>9421</v>
      </c>
      <c r="AB456">
        <v>0</v>
      </c>
      <c r="AE456">
        <v>0</v>
      </c>
      <c r="AF456">
        <v>4</v>
      </c>
      <c r="AG456">
        <v>0</v>
      </c>
      <c r="AH456">
        <v>275.32</v>
      </c>
      <c r="AK456" t="s">
        <v>10966</v>
      </c>
      <c r="AL456">
        <v>70895</v>
      </c>
      <c r="AR456">
        <v>2.5</v>
      </c>
      <c r="AS456" t="s">
        <v>11161</v>
      </c>
      <c r="AT456" t="s">
        <v>11185</v>
      </c>
      <c r="AV456" t="s">
        <v>11230</v>
      </c>
      <c r="AW456" t="s">
        <v>6895</v>
      </c>
      <c r="AX456" t="s">
        <v>6814</v>
      </c>
    </row>
    <row r="457" spans="1:50">
      <c r="A457" s="1">
        <f>HYPERLINK("https://lsnyc.legalserver.org/matter/dynamic-profile/view/1897422","19-1897422")</f>
        <v>0</v>
      </c>
      <c r="B457" t="s">
        <v>181</v>
      </c>
      <c r="C457" t="s">
        <v>675</v>
      </c>
      <c r="D457" t="s">
        <v>1993</v>
      </c>
      <c r="E457" t="s">
        <v>3515</v>
      </c>
      <c r="G457" t="s">
        <v>5664</v>
      </c>
      <c r="H457">
        <v>11369</v>
      </c>
      <c r="I457" t="s">
        <v>5696</v>
      </c>
      <c r="J457" t="s">
        <v>5696</v>
      </c>
      <c r="N457" t="s">
        <v>6744</v>
      </c>
      <c r="O457" t="s">
        <v>6767</v>
      </c>
      <c r="R457" t="s">
        <v>6798</v>
      </c>
      <c r="U457">
        <v>0</v>
      </c>
      <c r="V457" t="s">
        <v>6837</v>
      </c>
      <c r="X457" t="s">
        <v>6857</v>
      </c>
      <c r="Y457" t="s">
        <v>7307</v>
      </c>
      <c r="AA457" t="s">
        <v>9422</v>
      </c>
      <c r="AB457">
        <v>0</v>
      </c>
      <c r="AE457">
        <v>0</v>
      </c>
      <c r="AF457">
        <v>4</v>
      </c>
      <c r="AG457">
        <v>1</v>
      </c>
      <c r="AH457">
        <v>306.26</v>
      </c>
      <c r="AK457" t="s">
        <v>10967</v>
      </c>
      <c r="AL457">
        <v>92400</v>
      </c>
      <c r="AR457">
        <v>4.7</v>
      </c>
      <c r="AS457" t="s">
        <v>11159</v>
      </c>
      <c r="AT457" t="s">
        <v>181</v>
      </c>
      <c r="AV457" t="s">
        <v>11230</v>
      </c>
      <c r="AW457" t="s">
        <v>11165</v>
      </c>
      <c r="AX457" t="s">
        <v>11159</v>
      </c>
    </row>
    <row r="458" spans="1:50">
      <c r="A458" s="1">
        <f>HYPERLINK("https://lsnyc.legalserver.org/matter/dynamic-profile/view/1898179","19-1898179")</f>
        <v>0</v>
      </c>
      <c r="B458" t="s">
        <v>161</v>
      </c>
      <c r="C458" t="s">
        <v>676</v>
      </c>
      <c r="D458" t="s">
        <v>1994</v>
      </c>
      <c r="E458" t="s">
        <v>3516</v>
      </c>
      <c r="G458" t="s">
        <v>5657</v>
      </c>
      <c r="H458">
        <v>11412</v>
      </c>
      <c r="I458" t="s">
        <v>5696</v>
      </c>
      <c r="J458" t="s">
        <v>5696</v>
      </c>
      <c r="N458" t="s">
        <v>6744</v>
      </c>
      <c r="O458" t="s">
        <v>6767</v>
      </c>
      <c r="R458" t="s">
        <v>6798</v>
      </c>
      <c r="U458">
        <v>0</v>
      </c>
      <c r="V458" t="s">
        <v>6837</v>
      </c>
      <c r="X458" t="s">
        <v>6861</v>
      </c>
      <c r="Y458" t="s">
        <v>7308</v>
      </c>
      <c r="AB458">
        <v>0</v>
      </c>
      <c r="AE458">
        <v>0</v>
      </c>
      <c r="AF458">
        <v>3</v>
      </c>
      <c r="AG458">
        <v>4</v>
      </c>
      <c r="AH458">
        <v>138.05</v>
      </c>
      <c r="AK458" t="s">
        <v>10966</v>
      </c>
      <c r="AL458">
        <v>53852</v>
      </c>
      <c r="AR458">
        <v>3.2</v>
      </c>
      <c r="AS458" t="s">
        <v>11131</v>
      </c>
      <c r="AT458" t="s">
        <v>146</v>
      </c>
      <c r="AV458" t="s">
        <v>11230</v>
      </c>
      <c r="AW458" t="s">
        <v>10961</v>
      </c>
      <c r="AX458" t="s">
        <v>6808</v>
      </c>
    </row>
    <row r="459" spans="1:50">
      <c r="A459" s="1">
        <f>HYPERLINK("https://lsnyc.legalserver.org/matter/dynamic-profile/view/1901962","19-1901962")</f>
        <v>0</v>
      </c>
      <c r="B459" t="s">
        <v>108</v>
      </c>
      <c r="C459" t="s">
        <v>677</v>
      </c>
      <c r="D459" t="s">
        <v>1995</v>
      </c>
      <c r="E459" t="s">
        <v>3517</v>
      </c>
      <c r="G459" t="s">
        <v>5635</v>
      </c>
      <c r="H459">
        <v>10462</v>
      </c>
      <c r="I459" t="s">
        <v>5695</v>
      </c>
      <c r="J459" t="s">
        <v>5696</v>
      </c>
      <c r="K459" t="s">
        <v>5830</v>
      </c>
      <c r="L459" t="s">
        <v>6722</v>
      </c>
      <c r="M459" t="s">
        <v>6732</v>
      </c>
      <c r="O459" t="s">
        <v>6763</v>
      </c>
      <c r="P459" t="s">
        <v>5697</v>
      </c>
      <c r="R459" t="s">
        <v>6795</v>
      </c>
      <c r="S459" t="s">
        <v>6801</v>
      </c>
      <c r="U459">
        <v>1467</v>
      </c>
      <c r="V459" t="s">
        <v>6833</v>
      </c>
      <c r="W459" t="s">
        <v>6842</v>
      </c>
      <c r="Y459" t="s">
        <v>7309</v>
      </c>
      <c r="AA459" t="s">
        <v>9423</v>
      </c>
      <c r="AB459">
        <v>2659</v>
      </c>
      <c r="AC459" t="s">
        <v>10936</v>
      </c>
      <c r="AE459">
        <v>54</v>
      </c>
      <c r="AF459">
        <v>1</v>
      </c>
      <c r="AG459">
        <v>0</v>
      </c>
      <c r="AH459">
        <v>136.43</v>
      </c>
      <c r="AK459" t="s">
        <v>10966</v>
      </c>
      <c r="AL459">
        <v>17040</v>
      </c>
      <c r="AR459">
        <v>1.9</v>
      </c>
      <c r="AS459" t="s">
        <v>11147</v>
      </c>
      <c r="AT459" t="s">
        <v>108</v>
      </c>
      <c r="AU459" t="s">
        <v>11228</v>
      </c>
      <c r="AV459" t="s">
        <v>11231</v>
      </c>
      <c r="AW459" t="s">
        <v>11233</v>
      </c>
    </row>
    <row r="460" spans="1:50">
      <c r="A460" s="1">
        <f>HYPERLINK("https://lsnyc.legalserver.org/matter/dynamic-profile/view/1905990","19-1905990")</f>
        <v>0</v>
      </c>
      <c r="B460" t="s">
        <v>129</v>
      </c>
      <c r="C460" t="s">
        <v>388</v>
      </c>
      <c r="D460" t="s">
        <v>1375</v>
      </c>
      <c r="E460" t="s">
        <v>3518</v>
      </c>
      <c r="G460" t="s">
        <v>5637</v>
      </c>
      <c r="H460">
        <v>11236</v>
      </c>
      <c r="I460" t="s">
        <v>5695</v>
      </c>
      <c r="J460" t="s">
        <v>5696</v>
      </c>
      <c r="K460" t="s">
        <v>5831</v>
      </c>
      <c r="L460" t="s">
        <v>6712</v>
      </c>
      <c r="M460" t="s">
        <v>6732</v>
      </c>
      <c r="O460" t="s">
        <v>6746</v>
      </c>
      <c r="R460" t="s">
        <v>6793</v>
      </c>
      <c r="U460">
        <v>1125</v>
      </c>
      <c r="V460" t="s">
        <v>6835</v>
      </c>
      <c r="W460" t="s">
        <v>6840</v>
      </c>
      <c r="Y460" t="s">
        <v>7310</v>
      </c>
      <c r="AA460" t="s">
        <v>9424</v>
      </c>
      <c r="AB460">
        <v>3</v>
      </c>
      <c r="AD460" t="s">
        <v>5741</v>
      </c>
      <c r="AE460">
        <v>7</v>
      </c>
      <c r="AF460">
        <v>1</v>
      </c>
      <c r="AG460">
        <v>2</v>
      </c>
      <c r="AH460">
        <v>20.14</v>
      </c>
      <c r="AK460" t="s">
        <v>10966</v>
      </c>
      <c r="AL460">
        <v>4296</v>
      </c>
      <c r="AR460">
        <v>0.3</v>
      </c>
      <c r="AS460" t="s">
        <v>6827</v>
      </c>
      <c r="AT460" t="s">
        <v>11178</v>
      </c>
      <c r="AU460" t="s">
        <v>11228</v>
      </c>
      <c r="AV460" t="s">
        <v>11231</v>
      </c>
      <c r="AW460" t="s">
        <v>6826</v>
      </c>
    </row>
    <row r="461" spans="1:50">
      <c r="A461" s="1">
        <f>HYPERLINK("https://lsnyc.legalserver.org/matter/dynamic-profile/view/1904872","19-1904872")</f>
        <v>0</v>
      </c>
      <c r="B461" t="s">
        <v>95</v>
      </c>
      <c r="C461" t="s">
        <v>678</v>
      </c>
      <c r="D461" t="s">
        <v>1996</v>
      </c>
      <c r="E461" t="s">
        <v>3519</v>
      </c>
      <c r="F461" t="s">
        <v>5161</v>
      </c>
      <c r="G461" t="s">
        <v>5637</v>
      </c>
      <c r="H461">
        <v>11216</v>
      </c>
      <c r="I461" t="s">
        <v>5696</v>
      </c>
      <c r="J461" t="s">
        <v>5696</v>
      </c>
      <c r="K461" t="s">
        <v>5832</v>
      </c>
      <c r="L461" t="s">
        <v>6712</v>
      </c>
      <c r="M461" t="s">
        <v>6732</v>
      </c>
      <c r="O461" t="s">
        <v>6755</v>
      </c>
      <c r="R461" t="s">
        <v>6793</v>
      </c>
      <c r="U461">
        <v>654</v>
      </c>
      <c r="V461" t="s">
        <v>6835</v>
      </c>
      <c r="W461" t="s">
        <v>6843</v>
      </c>
      <c r="Y461" t="s">
        <v>7311</v>
      </c>
      <c r="AA461" t="s">
        <v>9425</v>
      </c>
      <c r="AB461">
        <v>40</v>
      </c>
      <c r="AC461" t="s">
        <v>10929</v>
      </c>
      <c r="AE461">
        <v>6</v>
      </c>
      <c r="AF461">
        <v>1</v>
      </c>
      <c r="AG461">
        <v>0</v>
      </c>
      <c r="AH461">
        <v>208.17</v>
      </c>
      <c r="AK461" t="s">
        <v>10966</v>
      </c>
      <c r="AL461">
        <v>26000</v>
      </c>
      <c r="AR461">
        <v>0.7</v>
      </c>
      <c r="AS461" t="s">
        <v>6827</v>
      </c>
      <c r="AT461" t="s">
        <v>11198</v>
      </c>
      <c r="AV461" t="s">
        <v>11231</v>
      </c>
      <c r="AW461" t="s">
        <v>6816</v>
      </c>
    </row>
    <row r="462" spans="1:50">
      <c r="A462" s="1">
        <f>HYPERLINK("https://lsnyc.legalserver.org/matter/dynamic-profile/view/1903780","19-1903780")</f>
        <v>0</v>
      </c>
      <c r="B462" t="s">
        <v>100</v>
      </c>
      <c r="C462" t="s">
        <v>679</v>
      </c>
      <c r="D462" t="s">
        <v>1997</v>
      </c>
      <c r="E462" t="s">
        <v>3520</v>
      </c>
      <c r="F462">
        <v>2</v>
      </c>
      <c r="G462" t="s">
        <v>5635</v>
      </c>
      <c r="H462">
        <v>10470</v>
      </c>
      <c r="I462" t="s">
        <v>5695</v>
      </c>
      <c r="J462" t="s">
        <v>5696</v>
      </c>
      <c r="K462" t="s">
        <v>5833</v>
      </c>
      <c r="L462" t="s">
        <v>6712</v>
      </c>
      <c r="M462" t="s">
        <v>6732</v>
      </c>
      <c r="O462" t="s">
        <v>6747</v>
      </c>
      <c r="P462" t="s">
        <v>5697</v>
      </c>
      <c r="R462" t="s">
        <v>6793</v>
      </c>
      <c r="S462" t="s">
        <v>6804</v>
      </c>
      <c r="T462" t="s">
        <v>6811</v>
      </c>
      <c r="U462">
        <v>1515</v>
      </c>
      <c r="V462" t="s">
        <v>6833</v>
      </c>
      <c r="W462" t="s">
        <v>6839</v>
      </c>
      <c r="Y462" t="s">
        <v>7312</v>
      </c>
      <c r="AA462" t="s">
        <v>9426</v>
      </c>
      <c r="AB462">
        <v>2</v>
      </c>
      <c r="AC462" t="s">
        <v>10930</v>
      </c>
      <c r="AD462" t="s">
        <v>10950</v>
      </c>
      <c r="AE462">
        <v>3</v>
      </c>
      <c r="AF462">
        <v>4</v>
      </c>
      <c r="AG462">
        <v>0</v>
      </c>
      <c r="AH462">
        <v>140.48</v>
      </c>
      <c r="AK462" t="s">
        <v>10966</v>
      </c>
      <c r="AL462">
        <v>36174</v>
      </c>
      <c r="AR462">
        <v>3</v>
      </c>
      <c r="AS462" t="s">
        <v>6823</v>
      </c>
      <c r="AT462" t="s">
        <v>11179</v>
      </c>
      <c r="AU462" t="s">
        <v>11228</v>
      </c>
      <c r="AV462" t="s">
        <v>11231</v>
      </c>
      <c r="AW462" t="s">
        <v>6811</v>
      </c>
    </row>
    <row r="463" spans="1:50">
      <c r="A463" s="1">
        <f>HYPERLINK("https://lsnyc.legalserver.org/matter/dynamic-profile/view/1903571","19-1903571")</f>
        <v>0</v>
      </c>
      <c r="B463" t="s">
        <v>147</v>
      </c>
      <c r="C463" t="s">
        <v>415</v>
      </c>
      <c r="D463" t="s">
        <v>1822</v>
      </c>
      <c r="E463" t="s">
        <v>3521</v>
      </c>
      <c r="F463" t="s">
        <v>5220</v>
      </c>
      <c r="G463" t="s">
        <v>5658</v>
      </c>
      <c r="H463">
        <v>11417</v>
      </c>
      <c r="I463" t="s">
        <v>5696</v>
      </c>
      <c r="J463" t="s">
        <v>5696</v>
      </c>
      <c r="K463" t="s">
        <v>5834</v>
      </c>
      <c r="L463" t="s">
        <v>6712</v>
      </c>
      <c r="M463" t="s">
        <v>6732</v>
      </c>
      <c r="O463" t="s">
        <v>6758</v>
      </c>
      <c r="R463" t="s">
        <v>6793</v>
      </c>
      <c r="U463">
        <v>1300</v>
      </c>
      <c r="V463" t="s">
        <v>6837</v>
      </c>
      <c r="W463" t="s">
        <v>6841</v>
      </c>
      <c r="Y463" t="s">
        <v>7313</v>
      </c>
      <c r="AA463" t="s">
        <v>9427</v>
      </c>
      <c r="AB463">
        <v>2</v>
      </c>
      <c r="AE463">
        <v>2</v>
      </c>
      <c r="AF463">
        <v>2</v>
      </c>
      <c r="AG463">
        <v>2</v>
      </c>
      <c r="AH463">
        <v>101.75</v>
      </c>
      <c r="AK463" t="s">
        <v>10966</v>
      </c>
      <c r="AL463">
        <v>26200</v>
      </c>
      <c r="AR463">
        <v>0.6</v>
      </c>
      <c r="AS463" t="s">
        <v>6811</v>
      </c>
      <c r="AT463" t="s">
        <v>11181</v>
      </c>
      <c r="AV463" t="s">
        <v>11231</v>
      </c>
      <c r="AW463" t="s">
        <v>11147</v>
      </c>
    </row>
    <row r="464" spans="1:50">
      <c r="A464" s="1">
        <f>HYPERLINK("https://lsnyc.legalserver.org/matter/dynamic-profile/view/1906181","19-1906181")</f>
        <v>0</v>
      </c>
      <c r="B464" t="s">
        <v>182</v>
      </c>
      <c r="C464" t="s">
        <v>335</v>
      </c>
      <c r="D464" t="s">
        <v>1998</v>
      </c>
      <c r="E464" t="s">
        <v>3522</v>
      </c>
      <c r="F464" t="s">
        <v>5276</v>
      </c>
      <c r="G464" t="s">
        <v>5637</v>
      </c>
      <c r="H464">
        <v>11214</v>
      </c>
      <c r="I464" t="s">
        <v>5696</v>
      </c>
      <c r="J464" t="s">
        <v>5696</v>
      </c>
      <c r="K464" t="s">
        <v>5835</v>
      </c>
      <c r="L464" t="s">
        <v>6712</v>
      </c>
      <c r="M464" t="s">
        <v>6732</v>
      </c>
      <c r="O464" t="s">
        <v>6746</v>
      </c>
      <c r="R464" t="s">
        <v>6793</v>
      </c>
      <c r="U464">
        <v>1600</v>
      </c>
      <c r="V464" t="s">
        <v>6835</v>
      </c>
      <c r="Y464" t="s">
        <v>7314</v>
      </c>
      <c r="AA464" t="s">
        <v>9428</v>
      </c>
      <c r="AB464">
        <v>0</v>
      </c>
      <c r="AC464" t="s">
        <v>8953</v>
      </c>
      <c r="AE464">
        <v>10</v>
      </c>
      <c r="AF464">
        <v>4</v>
      </c>
      <c r="AG464">
        <v>1</v>
      </c>
      <c r="AH464">
        <v>55.84</v>
      </c>
      <c r="AK464" t="s">
        <v>10966</v>
      </c>
      <c r="AL464">
        <v>16848</v>
      </c>
      <c r="AR464">
        <v>0</v>
      </c>
      <c r="AT464" t="s">
        <v>280</v>
      </c>
      <c r="AU464" t="s">
        <v>11228</v>
      </c>
      <c r="AV464" t="s">
        <v>11231</v>
      </c>
      <c r="AW464" t="s">
        <v>6821</v>
      </c>
    </row>
    <row r="465" spans="1:49">
      <c r="A465" s="1">
        <f>HYPERLINK("https://lsnyc.legalserver.org/matter/dynamic-profile/view/1906186","19-1906186")</f>
        <v>0</v>
      </c>
      <c r="B465" t="s">
        <v>118</v>
      </c>
      <c r="C465" t="s">
        <v>680</v>
      </c>
      <c r="D465" t="s">
        <v>1999</v>
      </c>
      <c r="E465" t="s">
        <v>3523</v>
      </c>
      <c r="G465" t="s">
        <v>5637</v>
      </c>
      <c r="H465">
        <v>11212</v>
      </c>
      <c r="I465" t="s">
        <v>5696</v>
      </c>
      <c r="J465" t="s">
        <v>5696</v>
      </c>
      <c r="K465" t="s">
        <v>5836</v>
      </c>
      <c r="L465" t="s">
        <v>6712</v>
      </c>
      <c r="M465" t="s">
        <v>6732</v>
      </c>
      <c r="O465" t="s">
        <v>6772</v>
      </c>
      <c r="R465" t="s">
        <v>6793</v>
      </c>
      <c r="U465">
        <v>0</v>
      </c>
      <c r="V465" t="s">
        <v>6833</v>
      </c>
      <c r="Y465" t="s">
        <v>7315</v>
      </c>
      <c r="AA465" t="s">
        <v>9429</v>
      </c>
      <c r="AB465">
        <v>0</v>
      </c>
      <c r="AC465" t="s">
        <v>10930</v>
      </c>
      <c r="AE465">
        <v>0</v>
      </c>
      <c r="AF465">
        <v>1</v>
      </c>
      <c r="AG465">
        <v>0</v>
      </c>
      <c r="AH465">
        <v>0</v>
      </c>
      <c r="AK465" t="s">
        <v>10966</v>
      </c>
      <c r="AL465">
        <v>0</v>
      </c>
      <c r="AR465">
        <v>0.75</v>
      </c>
      <c r="AS465" t="s">
        <v>6821</v>
      </c>
      <c r="AT465" t="s">
        <v>104</v>
      </c>
      <c r="AV465" t="s">
        <v>11231</v>
      </c>
      <c r="AW465" t="s">
        <v>6821</v>
      </c>
    </row>
    <row r="466" spans="1:49">
      <c r="A466" s="1">
        <f>HYPERLINK("https://lsnyc.legalserver.org/matter/dynamic-profile/view/1906163","19-1906163")</f>
        <v>0</v>
      </c>
      <c r="B466" t="s">
        <v>88</v>
      </c>
      <c r="C466" t="s">
        <v>423</v>
      </c>
      <c r="D466" t="s">
        <v>1739</v>
      </c>
      <c r="E466" t="s">
        <v>3524</v>
      </c>
      <c r="F466" t="s">
        <v>5109</v>
      </c>
      <c r="G466" t="s">
        <v>5637</v>
      </c>
      <c r="H466">
        <v>11232</v>
      </c>
      <c r="I466" t="s">
        <v>5695</v>
      </c>
      <c r="J466" t="s">
        <v>5696</v>
      </c>
      <c r="K466" t="s">
        <v>5837</v>
      </c>
      <c r="L466" t="s">
        <v>6712</v>
      </c>
      <c r="M466" t="s">
        <v>6732</v>
      </c>
      <c r="O466" t="s">
        <v>6746</v>
      </c>
      <c r="P466" t="s">
        <v>5697</v>
      </c>
      <c r="R466" t="s">
        <v>6793</v>
      </c>
      <c r="T466" t="s">
        <v>6820</v>
      </c>
      <c r="U466">
        <v>600</v>
      </c>
      <c r="V466" t="s">
        <v>6835</v>
      </c>
      <c r="W466" t="s">
        <v>6840</v>
      </c>
      <c r="Y466" t="s">
        <v>7316</v>
      </c>
      <c r="Z466" t="s">
        <v>5741</v>
      </c>
      <c r="AA466" t="s">
        <v>9430</v>
      </c>
      <c r="AB466">
        <v>6</v>
      </c>
      <c r="AC466" t="s">
        <v>8953</v>
      </c>
      <c r="AD466" t="s">
        <v>5741</v>
      </c>
      <c r="AE466">
        <v>22</v>
      </c>
      <c r="AF466">
        <v>1</v>
      </c>
      <c r="AG466">
        <v>0</v>
      </c>
      <c r="AH466">
        <v>0</v>
      </c>
      <c r="AK466" t="s">
        <v>10966</v>
      </c>
      <c r="AL466">
        <v>0</v>
      </c>
      <c r="AR466">
        <v>0.5</v>
      </c>
      <c r="AS466" t="s">
        <v>6820</v>
      </c>
      <c r="AT466" t="s">
        <v>11178</v>
      </c>
      <c r="AU466" t="s">
        <v>11228</v>
      </c>
      <c r="AV466" t="s">
        <v>11231</v>
      </c>
      <c r="AW466" t="s">
        <v>6821</v>
      </c>
    </row>
    <row r="467" spans="1:49">
      <c r="A467" s="1">
        <f>HYPERLINK("https://lsnyc.legalserver.org/matter/dynamic-profile/view/1902949","19-1902949")</f>
        <v>0</v>
      </c>
      <c r="B467" t="s">
        <v>183</v>
      </c>
      <c r="C467" t="s">
        <v>681</v>
      </c>
      <c r="D467" t="s">
        <v>2000</v>
      </c>
      <c r="E467" t="s">
        <v>3525</v>
      </c>
      <c r="G467" t="s">
        <v>5635</v>
      </c>
      <c r="H467">
        <v>10454</v>
      </c>
      <c r="I467" t="s">
        <v>5695</v>
      </c>
      <c r="J467" t="s">
        <v>5696</v>
      </c>
      <c r="K467" t="s">
        <v>5838</v>
      </c>
      <c r="L467" t="s">
        <v>6712</v>
      </c>
      <c r="M467" t="s">
        <v>6732</v>
      </c>
      <c r="O467" t="s">
        <v>6747</v>
      </c>
      <c r="P467" t="s">
        <v>5697</v>
      </c>
      <c r="R467" t="s">
        <v>6793</v>
      </c>
      <c r="S467" t="s">
        <v>6801</v>
      </c>
      <c r="U467">
        <v>1661.56</v>
      </c>
      <c r="V467" t="s">
        <v>6833</v>
      </c>
      <c r="W467" t="s">
        <v>6839</v>
      </c>
      <c r="Y467" t="s">
        <v>7317</v>
      </c>
      <c r="AA467" t="s">
        <v>9431</v>
      </c>
      <c r="AB467">
        <v>29</v>
      </c>
      <c r="AC467" t="s">
        <v>10929</v>
      </c>
      <c r="AD467" t="s">
        <v>10946</v>
      </c>
      <c r="AE467">
        <v>12</v>
      </c>
      <c r="AF467">
        <v>1</v>
      </c>
      <c r="AG467">
        <v>0</v>
      </c>
      <c r="AH467">
        <v>172.94</v>
      </c>
      <c r="AK467" t="s">
        <v>10967</v>
      </c>
      <c r="AL467">
        <v>21600</v>
      </c>
      <c r="AM467" t="s">
        <v>11027</v>
      </c>
      <c r="AR467">
        <v>1.5</v>
      </c>
      <c r="AS467" t="s">
        <v>11136</v>
      </c>
      <c r="AT467" t="s">
        <v>11187</v>
      </c>
      <c r="AU467" t="s">
        <v>11228</v>
      </c>
      <c r="AV467" t="s">
        <v>11231</v>
      </c>
      <c r="AW467" t="s">
        <v>11131</v>
      </c>
    </row>
    <row r="468" spans="1:49">
      <c r="A468" s="1">
        <f>HYPERLINK("https://lsnyc.legalserver.org/matter/dynamic-profile/view/1901630","19-1901630")</f>
        <v>0</v>
      </c>
      <c r="B468" t="s">
        <v>184</v>
      </c>
      <c r="C468" t="s">
        <v>682</v>
      </c>
      <c r="D468" t="s">
        <v>2001</v>
      </c>
      <c r="E468" t="s">
        <v>3526</v>
      </c>
      <c r="F468" t="s">
        <v>5277</v>
      </c>
      <c r="G468" t="s">
        <v>5662</v>
      </c>
      <c r="H468">
        <v>11368</v>
      </c>
      <c r="I468" t="s">
        <v>5695</v>
      </c>
      <c r="J468" t="s">
        <v>5696</v>
      </c>
      <c r="K468" t="s">
        <v>5839</v>
      </c>
      <c r="L468" t="s">
        <v>6712</v>
      </c>
      <c r="M468" t="s">
        <v>6732</v>
      </c>
      <c r="O468" t="s">
        <v>6750</v>
      </c>
      <c r="P468" t="s">
        <v>5697</v>
      </c>
      <c r="R468" t="s">
        <v>6793</v>
      </c>
      <c r="U468">
        <v>1800</v>
      </c>
      <c r="V468" t="s">
        <v>6837</v>
      </c>
      <c r="W468" t="s">
        <v>6840</v>
      </c>
      <c r="Y468" t="s">
        <v>7318</v>
      </c>
      <c r="Z468" t="s">
        <v>8936</v>
      </c>
      <c r="AA468" t="s">
        <v>9432</v>
      </c>
      <c r="AB468">
        <v>3</v>
      </c>
      <c r="AC468" t="s">
        <v>8953</v>
      </c>
      <c r="AD468" t="s">
        <v>5741</v>
      </c>
      <c r="AE468">
        <v>21</v>
      </c>
      <c r="AF468">
        <v>2</v>
      </c>
      <c r="AG468">
        <v>2</v>
      </c>
      <c r="AH468">
        <v>102.52</v>
      </c>
      <c r="AK468" t="s">
        <v>10967</v>
      </c>
      <c r="AL468">
        <v>26400</v>
      </c>
      <c r="AR468">
        <v>0.42</v>
      </c>
      <c r="AS468" t="s">
        <v>11124</v>
      </c>
      <c r="AT468" t="s">
        <v>11184</v>
      </c>
      <c r="AU468" t="s">
        <v>11228</v>
      </c>
      <c r="AV468" t="s">
        <v>11231</v>
      </c>
      <c r="AW468" t="s">
        <v>11124</v>
      </c>
    </row>
    <row r="469" spans="1:49">
      <c r="A469" s="1">
        <f>HYPERLINK("https://lsnyc.legalserver.org/matter/dynamic-profile/view/1896005","19-1896005")</f>
        <v>0</v>
      </c>
      <c r="B469" t="s">
        <v>185</v>
      </c>
      <c r="C469" t="s">
        <v>683</v>
      </c>
      <c r="D469" t="s">
        <v>2002</v>
      </c>
      <c r="E469" t="s">
        <v>3527</v>
      </c>
      <c r="F469" t="s">
        <v>5180</v>
      </c>
      <c r="G469" t="s">
        <v>5635</v>
      </c>
      <c r="H469">
        <v>10451</v>
      </c>
      <c r="I469" t="s">
        <v>5695</v>
      </c>
      <c r="J469" t="s">
        <v>5695</v>
      </c>
      <c r="K469" t="s">
        <v>5840</v>
      </c>
      <c r="L469" t="s">
        <v>6712</v>
      </c>
      <c r="M469" t="s">
        <v>6732</v>
      </c>
      <c r="O469" t="s">
        <v>6748</v>
      </c>
      <c r="R469" t="s">
        <v>6793</v>
      </c>
      <c r="U469">
        <v>1146.72</v>
      </c>
      <c r="V469" t="s">
        <v>6833</v>
      </c>
      <c r="W469" t="s">
        <v>6839</v>
      </c>
      <c r="Y469" t="s">
        <v>7319</v>
      </c>
      <c r="AA469" t="s">
        <v>9433</v>
      </c>
      <c r="AB469">
        <v>0</v>
      </c>
      <c r="AC469" t="s">
        <v>10929</v>
      </c>
      <c r="AD469" t="s">
        <v>10945</v>
      </c>
      <c r="AE469">
        <v>-1</v>
      </c>
      <c r="AF469">
        <v>1</v>
      </c>
      <c r="AG469">
        <v>0</v>
      </c>
      <c r="AH469">
        <v>68.41</v>
      </c>
      <c r="AK469" t="s">
        <v>10967</v>
      </c>
      <c r="AL469">
        <v>8544</v>
      </c>
      <c r="AM469" t="s">
        <v>11028</v>
      </c>
      <c r="AR469">
        <v>0.7</v>
      </c>
      <c r="AS469" t="s">
        <v>11140</v>
      </c>
      <c r="AT469" t="s">
        <v>11179</v>
      </c>
      <c r="AU469" t="s">
        <v>11228</v>
      </c>
      <c r="AV469" t="s">
        <v>11231</v>
      </c>
      <c r="AW469" t="s">
        <v>11170</v>
      </c>
    </row>
    <row r="470" spans="1:49">
      <c r="A470" s="1">
        <f>HYPERLINK("https://lsnyc.legalserver.org/matter/dynamic-profile/view/1905006","19-1905006")</f>
        <v>0</v>
      </c>
      <c r="B470" t="s">
        <v>186</v>
      </c>
      <c r="C470" t="s">
        <v>572</v>
      </c>
      <c r="D470" t="s">
        <v>1658</v>
      </c>
      <c r="E470" t="s">
        <v>3528</v>
      </c>
      <c r="F470" t="s">
        <v>5116</v>
      </c>
      <c r="G470" t="s">
        <v>5644</v>
      </c>
      <c r="H470">
        <v>11435</v>
      </c>
      <c r="I470" t="s">
        <v>5695</v>
      </c>
      <c r="J470" t="s">
        <v>5696</v>
      </c>
      <c r="K470" t="s">
        <v>5841</v>
      </c>
      <c r="L470" t="s">
        <v>6712</v>
      </c>
      <c r="M470" t="s">
        <v>6732</v>
      </c>
      <c r="O470" t="s">
        <v>6750</v>
      </c>
      <c r="P470" t="s">
        <v>5695</v>
      </c>
      <c r="R470" t="s">
        <v>6793</v>
      </c>
      <c r="U470">
        <v>1712</v>
      </c>
      <c r="V470" t="s">
        <v>6837</v>
      </c>
      <c r="W470" t="s">
        <v>6840</v>
      </c>
      <c r="Y470" t="s">
        <v>7320</v>
      </c>
      <c r="Z470" t="s">
        <v>8937</v>
      </c>
      <c r="AA470" t="s">
        <v>9434</v>
      </c>
      <c r="AB470">
        <v>3</v>
      </c>
      <c r="AC470" t="s">
        <v>10930</v>
      </c>
      <c r="AD470" t="s">
        <v>5741</v>
      </c>
      <c r="AE470">
        <v>2</v>
      </c>
      <c r="AF470">
        <v>1</v>
      </c>
      <c r="AG470">
        <v>3</v>
      </c>
      <c r="AH470">
        <v>35.51</v>
      </c>
      <c r="AK470" t="s">
        <v>10966</v>
      </c>
      <c r="AL470">
        <v>9144</v>
      </c>
      <c r="AR470">
        <v>1.97</v>
      </c>
      <c r="AS470" t="s">
        <v>6821</v>
      </c>
      <c r="AT470" t="s">
        <v>11184</v>
      </c>
      <c r="AU470" t="s">
        <v>11228</v>
      </c>
      <c r="AV470" t="s">
        <v>11231</v>
      </c>
      <c r="AW470" t="s">
        <v>6812</v>
      </c>
    </row>
    <row r="471" spans="1:49">
      <c r="A471" s="1">
        <f>HYPERLINK("https://lsnyc.legalserver.org/matter/dynamic-profile/view/1899269","19-1899269")</f>
        <v>0</v>
      </c>
      <c r="B471" t="s">
        <v>117</v>
      </c>
      <c r="C471" t="s">
        <v>684</v>
      </c>
      <c r="D471" t="s">
        <v>2003</v>
      </c>
      <c r="E471" t="s">
        <v>3529</v>
      </c>
      <c r="F471" t="s">
        <v>5212</v>
      </c>
      <c r="G471" t="s">
        <v>5637</v>
      </c>
      <c r="H471">
        <v>11223</v>
      </c>
      <c r="I471" t="s">
        <v>5695</v>
      </c>
      <c r="J471" t="s">
        <v>5696</v>
      </c>
      <c r="K471" t="s">
        <v>5842</v>
      </c>
      <c r="L471" t="s">
        <v>6712</v>
      </c>
      <c r="M471" t="s">
        <v>6732</v>
      </c>
      <c r="O471" t="s">
        <v>6754</v>
      </c>
      <c r="R471" t="s">
        <v>6793</v>
      </c>
      <c r="S471" t="s">
        <v>6801</v>
      </c>
      <c r="U471">
        <v>1102.23</v>
      </c>
      <c r="V471" t="s">
        <v>6835</v>
      </c>
      <c r="W471" t="s">
        <v>6845</v>
      </c>
      <c r="Y471" t="s">
        <v>7321</v>
      </c>
      <c r="AA471" t="s">
        <v>9435</v>
      </c>
      <c r="AB471">
        <v>72</v>
      </c>
      <c r="AC471" t="s">
        <v>10929</v>
      </c>
      <c r="AE471">
        <v>46</v>
      </c>
      <c r="AF471">
        <v>3</v>
      </c>
      <c r="AG471">
        <v>0</v>
      </c>
      <c r="AH471">
        <v>172.77</v>
      </c>
      <c r="AK471" t="s">
        <v>10966</v>
      </c>
      <c r="AL471">
        <v>36852</v>
      </c>
      <c r="AR471">
        <v>14.75</v>
      </c>
      <c r="AS471" t="s">
        <v>6820</v>
      </c>
      <c r="AT471" t="s">
        <v>68</v>
      </c>
      <c r="AV471" t="s">
        <v>11231</v>
      </c>
      <c r="AW471" t="s">
        <v>11126</v>
      </c>
    </row>
    <row r="472" spans="1:49">
      <c r="A472" s="1">
        <f>HYPERLINK("https://lsnyc.legalserver.org/matter/dynamic-profile/view/1901611","19-1901611")</f>
        <v>0</v>
      </c>
      <c r="B472" t="s">
        <v>187</v>
      </c>
      <c r="C472" t="s">
        <v>685</v>
      </c>
      <c r="D472" t="s">
        <v>2004</v>
      </c>
      <c r="E472" t="s">
        <v>3530</v>
      </c>
      <c r="F472" t="s">
        <v>5180</v>
      </c>
      <c r="G472" t="s">
        <v>5635</v>
      </c>
      <c r="H472">
        <v>10459</v>
      </c>
      <c r="I472" t="s">
        <v>5695</v>
      </c>
      <c r="J472" t="s">
        <v>5696</v>
      </c>
      <c r="L472" t="s">
        <v>6712</v>
      </c>
      <c r="M472" t="s">
        <v>6732</v>
      </c>
      <c r="O472" t="s">
        <v>6747</v>
      </c>
      <c r="R472" t="s">
        <v>6793</v>
      </c>
      <c r="U472">
        <v>1414</v>
      </c>
      <c r="V472" t="s">
        <v>6833</v>
      </c>
      <c r="W472" t="s">
        <v>6840</v>
      </c>
      <c r="Y472" t="s">
        <v>7322</v>
      </c>
      <c r="AA472" t="s">
        <v>9436</v>
      </c>
      <c r="AB472">
        <v>0</v>
      </c>
      <c r="AE472">
        <v>3</v>
      </c>
      <c r="AF472">
        <v>2</v>
      </c>
      <c r="AG472">
        <v>5</v>
      </c>
      <c r="AH472">
        <v>21.32</v>
      </c>
      <c r="AK472" t="s">
        <v>10966</v>
      </c>
      <c r="AL472">
        <v>8316</v>
      </c>
      <c r="AM472" t="s">
        <v>11029</v>
      </c>
      <c r="AR472">
        <v>0.4</v>
      </c>
      <c r="AS472" t="s">
        <v>11144</v>
      </c>
      <c r="AT472" t="s">
        <v>139</v>
      </c>
      <c r="AU472" t="s">
        <v>11228</v>
      </c>
      <c r="AV472" t="s">
        <v>11231</v>
      </c>
      <c r="AW472" t="s">
        <v>11124</v>
      </c>
    </row>
    <row r="473" spans="1:49">
      <c r="A473" s="1">
        <f>HYPERLINK("https://lsnyc.legalserver.org/matter/dynamic-profile/view/1898572","19-1898572")</f>
        <v>0</v>
      </c>
      <c r="B473" t="s">
        <v>186</v>
      </c>
      <c r="C473" t="s">
        <v>686</v>
      </c>
      <c r="D473" t="s">
        <v>2005</v>
      </c>
      <c r="E473" t="s">
        <v>3531</v>
      </c>
      <c r="G473" t="s">
        <v>5644</v>
      </c>
      <c r="H473">
        <v>11436</v>
      </c>
      <c r="I473" t="s">
        <v>5696</v>
      </c>
      <c r="J473" t="s">
        <v>5695</v>
      </c>
      <c r="K473" t="s">
        <v>5843</v>
      </c>
      <c r="L473" t="s">
        <v>6712</v>
      </c>
      <c r="M473" t="s">
        <v>6732</v>
      </c>
      <c r="O473" t="s">
        <v>6750</v>
      </c>
      <c r="P473" t="s">
        <v>5697</v>
      </c>
      <c r="R473" t="s">
        <v>6793</v>
      </c>
      <c r="S473" t="s">
        <v>6803</v>
      </c>
      <c r="U473">
        <v>1800</v>
      </c>
      <c r="V473" t="s">
        <v>6837</v>
      </c>
      <c r="Y473" t="s">
        <v>7323</v>
      </c>
      <c r="AA473" t="s">
        <v>9437</v>
      </c>
      <c r="AB473">
        <v>3</v>
      </c>
      <c r="AD473" t="s">
        <v>5741</v>
      </c>
      <c r="AE473">
        <v>1</v>
      </c>
      <c r="AF473">
        <v>1</v>
      </c>
      <c r="AG473">
        <v>2</v>
      </c>
      <c r="AH473">
        <v>89.08</v>
      </c>
      <c r="AL473">
        <v>19000</v>
      </c>
      <c r="AR473">
        <v>0.7</v>
      </c>
      <c r="AS473" t="s">
        <v>11123</v>
      </c>
      <c r="AT473" t="s">
        <v>186</v>
      </c>
      <c r="AV473" t="s">
        <v>11231</v>
      </c>
      <c r="AW473" t="s">
        <v>11123</v>
      </c>
    </row>
    <row r="474" spans="1:49">
      <c r="A474" s="1">
        <f>HYPERLINK("https://lsnyc.legalserver.org/matter/dynamic-profile/view/1905238","19-1905238")</f>
        <v>0</v>
      </c>
      <c r="B474" t="s">
        <v>186</v>
      </c>
      <c r="C474" t="s">
        <v>483</v>
      </c>
      <c r="D474" t="s">
        <v>2006</v>
      </c>
      <c r="E474" t="s">
        <v>3532</v>
      </c>
      <c r="F474" t="s">
        <v>5278</v>
      </c>
      <c r="G474" t="s">
        <v>5641</v>
      </c>
      <c r="H474">
        <v>11356</v>
      </c>
      <c r="I474" t="s">
        <v>5695</v>
      </c>
      <c r="J474" t="s">
        <v>5696</v>
      </c>
      <c r="K474" t="s">
        <v>5844</v>
      </c>
      <c r="L474" t="s">
        <v>6712</v>
      </c>
      <c r="M474" t="s">
        <v>6732</v>
      </c>
      <c r="O474" t="s">
        <v>6750</v>
      </c>
      <c r="P474" t="s">
        <v>5697</v>
      </c>
      <c r="R474" t="s">
        <v>6793</v>
      </c>
      <c r="T474" t="s">
        <v>6808</v>
      </c>
      <c r="U474">
        <v>3200</v>
      </c>
      <c r="V474" t="s">
        <v>6837</v>
      </c>
      <c r="W474" t="s">
        <v>6840</v>
      </c>
      <c r="Y474" t="s">
        <v>7324</v>
      </c>
      <c r="AA474" t="s">
        <v>9438</v>
      </c>
      <c r="AB474">
        <v>2</v>
      </c>
      <c r="AC474" t="s">
        <v>8953</v>
      </c>
      <c r="AD474" t="s">
        <v>5741</v>
      </c>
      <c r="AE474">
        <v>1</v>
      </c>
      <c r="AF474">
        <v>4</v>
      </c>
      <c r="AG474">
        <v>4</v>
      </c>
      <c r="AH474">
        <v>59.87</v>
      </c>
      <c r="AK474" t="s">
        <v>10966</v>
      </c>
      <c r="AL474">
        <v>26000</v>
      </c>
      <c r="AR474">
        <v>1.67</v>
      </c>
      <c r="AS474" t="s">
        <v>6821</v>
      </c>
      <c r="AT474" t="s">
        <v>11182</v>
      </c>
      <c r="AU474" t="s">
        <v>11228</v>
      </c>
      <c r="AV474" t="s">
        <v>11231</v>
      </c>
      <c r="AW474" t="s">
        <v>6808</v>
      </c>
    </row>
    <row r="475" spans="1:49">
      <c r="A475" s="1">
        <f>HYPERLINK("https://lsnyc.legalserver.org/matter/dynamic-profile/view/1904775","19-1904775")</f>
        <v>0</v>
      </c>
      <c r="B475" t="s">
        <v>188</v>
      </c>
      <c r="C475" t="s">
        <v>687</v>
      </c>
      <c r="D475" t="s">
        <v>1773</v>
      </c>
      <c r="E475" t="s">
        <v>3533</v>
      </c>
      <c r="F475" t="s">
        <v>5279</v>
      </c>
      <c r="G475" t="s">
        <v>5635</v>
      </c>
      <c r="H475">
        <v>10460</v>
      </c>
      <c r="I475" t="s">
        <v>5696</v>
      </c>
      <c r="J475" t="s">
        <v>5696</v>
      </c>
      <c r="K475" t="s">
        <v>5845</v>
      </c>
      <c r="L475" t="s">
        <v>6712</v>
      </c>
      <c r="M475" t="s">
        <v>6732</v>
      </c>
      <c r="O475" t="s">
        <v>6747</v>
      </c>
      <c r="R475" t="s">
        <v>6793</v>
      </c>
      <c r="U475">
        <v>378</v>
      </c>
      <c r="V475" t="s">
        <v>6833</v>
      </c>
      <c r="W475" t="s">
        <v>6840</v>
      </c>
      <c r="Y475" t="s">
        <v>7325</v>
      </c>
      <c r="AA475" t="s">
        <v>9439</v>
      </c>
      <c r="AB475">
        <v>0</v>
      </c>
      <c r="AC475" t="s">
        <v>10931</v>
      </c>
      <c r="AE475">
        <v>0</v>
      </c>
      <c r="AF475">
        <v>1</v>
      </c>
      <c r="AG475">
        <v>2</v>
      </c>
      <c r="AH475">
        <v>84.84</v>
      </c>
      <c r="AK475" t="s">
        <v>10966</v>
      </c>
      <c r="AL475">
        <v>18096</v>
      </c>
      <c r="AR475">
        <v>0.5</v>
      </c>
      <c r="AS475" t="s">
        <v>6826</v>
      </c>
      <c r="AT475" t="s">
        <v>139</v>
      </c>
      <c r="AU475" t="s">
        <v>11228</v>
      </c>
      <c r="AV475" t="s">
        <v>11231</v>
      </c>
      <c r="AW475" t="s">
        <v>6816</v>
      </c>
    </row>
    <row r="476" spans="1:49">
      <c r="A476" s="1">
        <f>HYPERLINK("https://lsnyc.legalserver.org/matter/dynamic-profile/view/1898687","19-1898687")</f>
        <v>0</v>
      </c>
      <c r="B476" t="s">
        <v>189</v>
      </c>
      <c r="C476" t="s">
        <v>688</v>
      </c>
      <c r="D476" t="s">
        <v>2007</v>
      </c>
      <c r="E476" t="s">
        <v>3534</v>
      </c>
      <c r="F476">
        <v>1</v>
      </c>
      <c r="G476" t="s">
        <v>5658</v>
      </c>
      <c r="H476">
        <v>11417</v>
      </c>
      <c r="I476" t="s">
        <v>5695</v>
      </c>
      <c r="J476" t="s">
        <v>5695</v>
      </c>
      <c r="K476" t="s">
        <v>5846</v>
      </c>
      <c r="L476" t="s">
        <v>6712</v>
      </c>
      <c r="M476" t="s">
        <v>6732</v>
      </c>
      <c r="O476" t="s">
        <v>6750</v>
      </c>
      <c r="P476" t="s">
        <v>5697</v>
      </c>
      <c r="R476" t="s">
        <v>6793</v>
      </c>
      <c r="U476">
        <v>2068</v>
      </c>
      <c r="V476" t="s">
        <v>6837</v>
      </c>
      <c r="W476" t="s">
        <v>6840</v>
      </c>
      <c r="Y476" t="s">
        <v>7326</v>
      </c>
      <c r="AA476" t="s">
        <v>9440</v>
      </c>
      <c r="AB476">
        <v>0</v>
      </c>
      <c r="AC476" t="s">
        <v>8953</v>
      </c>
      <c r="AD476" t="s">
        <v>10944</v>
      </c>
      <c r="AE476">
        <v>5</v>
      </c>
      <c r="AF476">
        <v>1</v>
      </c>
      <c r="AG476">
        <v>3</v>
      </c>
      <c r="AH476">
        <v>119.07</v>
      </c>
      <c r="AK476" t="s">
        <v>10966</v>
      </c>
      <c r="AL476">
        <v>30660</v>
      </c>
      <c r="AR476">
        <v>1.53</v>
      </c>
      <c r="AS476" t="s">
        <v>6809</v>
      </c>
      <c r="AT476" t="s">
        <v>11182</v>
      </c>
      <c r="AV476" t="s">
        <v>11231</v>
      </c>
      <c r="AW476" t="s">
        <v>11152</v>
      </c>
    </row>
    <row r="477" spans="1:49">
      <c r="A477" s="1">
        <f>HYPERLINK("https://lsnyc.legalserver.org/matter/dynamic-profile/view/1905398","19-1905398")</f>
        <v>0</v>
      </c>
      <c r="B477" t="s">
        <v>101</v>
      </c>
      <c r="C477" t="s">
        <v>306</v>
      </c>
      <c r="D477" t="s">
        <v>2008</v>
      </c>
      <c r="E477" t="s">
        <v>3535</v>
      </c>
      <c r="G477" t="s">
        <v>5636</v>
      </c>
      <c r="H477">
        <v>10310</v>
      </c>
      <c r="I477" t="s">
        <v>5695</v>
      </c>
      <c r="J477" t="s">
        <v>5696</v>
      </c>
      <c r="K477" t="s">
        <v>5847</v>
      </c>
      <c r="L477" t="s">
        <v>6712</v>
      </c>
      <c r="M477" t="s">
        <v>6732</v>
      </c>
      <c r="O477" t="s">
        <v>6762</v>
      </c>
      <c r="P477" t="s">
        <v>5697</v>
      </c>
      <c r="R477" t="s">
        <v>6793</v>
      </c>
      <c r="S477" t="s">
        <v>6801</v>
      </c>
      <c r="U477">
        <v>1790</v>
      </c>
      <c r="V477" t="s">
        <v>6834</v>
      </c>
      <c r="W477" t="s">
        <v>6843</v>
      </c>
      <c r="Y477" t="s">
        <v>7327</v>
      </c>
      <c r="AA477" t="s">
        <v>9441</v>
      </c>
      <c r="AB477">
        <v>1</v>
      </c>
      <c r="AC477" t="s">
        <v>10930</v>
      </c>
      <c r="AD477" t="s">
        <v>10944</v>
      </c>
      <c r="AE477">
        <v>21</v>
      </c>
      <c r="AF477">
        <v>3</v>
      </c>
      <c r="AG477">
        <v>0</v>
      </c>
      <c r="AH477">
        <v>408.81</v>
      </c>
      <c r="AK477" t="s">
        <v>10966</v>
      </c>
      <c r="AL477">
        <v>87200</v>
      </c>
      <c r="AR477">
        <v>0</v>
      </c>
      <c r="AT477" t="s">
        <v>11177</v>
      </c>
      <c r="AU477" t="s">
        <v>11228</v>
      </c>
      <c r="AV477" t="s">
        <v>11231</v>
      </c>
      <c r="AW477" t="s">
        <v>6819</v>
      </c>
    </row>
    <row r="478" spans="1:49">
      <c r="A478" s="1">
        <f>HYPERLINK("https://lsnyc.legalserver.org/matter/dynamic-profile/view/1905350","19-1905350")</f>
        <v>0</v>
      </c>
      <c r="B478" t="s">
        <v>186</v>
      </c>
      <c r="C478" t="s">
        <v>519</v>
      </c>
      <c r="D478" t="s">
        <v>2009</v>
      </c>
      <c r="E478" t="s">
        <v>3536</v>
      </c>
      <c r="F478" t="s">
        <v>5098</v>
      </c>
      <c r="G478" t="s">
        <v>5642</v>
      </c>
      <c r="H478">
        <v>11422</v>
      </c>
      <c r="I478" t="s">
        <v>5695</v>
      </c>
      <c r="J478" t="s">
        <v>5696</v>
      </c>
      <c r="K478" t="s">
        <v>5848</v>
      </c>
      <c r="L478" t="s">
        <v>6712</v>
      </c>
      <c r="M478" t="s">
        <v>6732</v>
      </c>
      <c r="O478" t="s">
        <v>6745</v>
      </c>
      <c r="P478" t="s">
        <v>5697</v>
      </c>
      <c r="R478" t="s">
        <v>6793</v>
      </c>
      <c r="S478" t="s">
        <v>6801</v>
      </c>
      <c r="U478">
        <v>1300</v>
      </c>
      <c r="V478" t="s">
        <v>6837</v>
      </c>
      <c r="W478" t="s">
        <v>6840</v>
      </c>
      <c r="Y478" t="s">
        <v>7328</v>
      </c>
      <c r="AA478" t="s">
        <v>9442</v>
      </c>
      <c r="AB478">
        <v>2</v>
      </c>
      <c r="AC478" t="s">
        <v>8953</v>
      </c>
      <c r="AD478" t="s">
        <v>5741</v>
      </c>
      <c r="AE478">
        <v>10</v>
      </c>
      <c r="AF478">
        <v>1</v>
      </c>
      <c r="AG478">
        <v>0</v>
      </c>
      <c r="AH478">
        <v>40.03</v>
      </c>
      <c r="AK478" t="s">
        <v>10966</v>
      </c>
      <c r="AL478">
        <v>5000</v>
      </c>
      <c r="AR478">
        <v>1.7</v>
      </c>
      <c r="AS478" t="s">
        <v>6824</v>
      </c>
      <c r="AT478" t="s">
        <v>11184</v>
      </c>
      <c r="AU478" t="s">
        <v>11228</v>
      </c>
      <c r="AV478" t="s">
        <v>11231</v>
      </c>
      <c r="AW478" t="s">
        <v>6828</v>
      </c>
    </row>
    <row r="479" spans="1:49">
      <c r="A479" s="1">
        <f>HYPERLINK("https://lsnyc.legalserver.org/matter/dynamic-profile/view/1897260","19-1897260")</f>
        <v>0</v>
      </c>
      <c r="B479" t="s">
        <v>109</v>
      </c>
      <c r="C479" t="s">
        <v>689</v>
      </c>
      <c r="D479" t="s">
        <v>2010</v>
      </c>
      <c r="E479" t="s">
        <v>3537</v>
      </c>
      <c r="F479">
        <v>40</v>
      </c>
      <c r="G479" t="s">
        <v>5635</v>
      </c>
      <c r="H479">
        <v>10458</v>
      </c>
      <c r="I479" t="s">
        <v>5695</v>
      </c>
      <c r="J479" t="s">
        <v>5695</v>
      </c>
      <c r="K479" t="s">
        <v>5849</v>
      </c>
      <c r="L479" t="s">
        <v>6712</v>
      </c>
      <c r="M479" t="s">
        <v>6732</v>
      </c>
      <c r="O479" t="s">
        <v>6747</v>
      </c>
      <c r="R479" t="s">
        <v>6793</v>
      </c>
      <c r="U479">
        <v>0</v>
      </c>
      <c r="V479" t="s">
        <v>6833</v>
      </c>
      <c r="Y479" t="s">
        <v>7329</v>
      </c>
      <c r="AA479" t="s">
        <v>9443</v>
      </c>
      <c r="AB479">
        <v>0</v>
      </c>
      <c r="AC479" t="s">
        <v>10934</v>
      </c>
      <c r="AD479" t="s">
        <v>6841</v>
      </c>
      <c r="AE479">
        <v>15</v>
      </c>
      <c r="AF479">
        <v>2</v>
      </c>
      <c r="AG479">
        <v>2</v>
      </c>
      <c r="AH479">
        <v>35.34</v>
      </c>
      <c r="AK479" t="s">
        <v>10966</v>
      </c>
      <c r="AL479">
        <v>9100</v>
      </c>
      <c r="AM479" t="s">
        <v>11030</v>
      </c>
      <c r="AR479">
        <v>0.75</v>
      </c>
      <c r="AS479" t="s">
        <v>11134</v>
      </c>
      <c r="AT479" t="s">
        <v>11179</v>
      </c>
      <c r="AU479" t="s">
        <v>11228</v>
      </c>
      <c r="AV479" t="s">
        <v>11231</v>
      </c>
      <c r="AW479" t="s">
        <v>11151</v>
      </c>
    </row>
    <row r="480" spans="1:49">
      <c r="A480" s="1">
        <f>HYPERLINK("https://lsnyc.legalserver.org/matter/dynamic-profile/view/1902388","19-1902388")</f>
        <v>0</v>
      </c>
      <c r="B480" t="s">
        <v>59</v>
      </c>
      <c r="C480" t="s">
        <v>690</v>
      </c>
      <c r="D480" t="s">
        <v>2011</v>
      </c>
      <c r="E480" t="s">
        <v>3538</v>
      </c>
      <c r="F480" t="s">
        <v>5116</v>
      </c>
      <c r="G480" t="s">
        <v>5658</v>
      </c>
      <c r="H480">
        <v>11417</v>
      </c>
      <c r="I480" t="s">
        <v>5695</v>
      </c>
      <c r="J480" t="s">
        <v>5696</v>
      </c>
      <c r="K480" t="s">
        <v>5850</v>
      </c>
      <c r="L480" t="s">
        <v>6712</v>
      </c>
      <c r="M480" t="s">
        <v>6732</v>
      </c>
      <c r="O480" t="s">
        <v>6750</v>
      </c>
      <c r="P480" t="s">
        <v>5697</v>
      </c>
      <c r="R480" t="s">
        <v>6793</v>
      </c>
      <c r="U480">
        <v>1050</v>
      </c>
      <c r="V480" t="s">
        <v>6837</v>
      </c>
      <c r="W480" t="s">
        <v>6840</v>
      </c>
      <c r="Y480" t="s">
        <v>7330</v>
      </c>
      <c r="Z480" t="s">
        <v>5741</v>
      </c>
      <c r="AA480" t="s">
        <v>9444</v>
      </c>
      <c r="AB480">
        <v>4</v>
      </c>
      <c r="AC480" t="s">
        <v>10930</v>
      </c>
      <c r="AD480" t="s">
        <v>5741</v>
      </c>
      <c r="AE480">
        <v>5</v>
      </c>
      <c r="AF480">
        <v>2</v>
      </c>
      <c r="AG480">
        <v>0</v>
      </c>
      <c r="AH480">
        <v>153.76</v>
      </c>
      <c r="AK480" t="s">
        <v>10966</v>
      </c>
      <c r="AL480">
        <v>26000</v>
      </c>
      <c r="AR480">
        <v>1.83</v>
      </c>
      <c r="AS480" t="s">
        <v>11137</v>
      </c>
      <c r="AT480" t="s">
        <v>11184</v>
      </c>
      <c r="AU480" t="s">
        <v>11228</v>
      </c>
      <c r="AV480" t="s">
        <v>11231</v>
      </c>
      <c r="AW480" t="s">
        <v>11140</v>
      </c>
    </row>
    <row r="481" spans="1:49">
      <c r="A481" s="1">
        <f>HYPERLINK("https://lsnyc.legalserver.org/matter/dynamic-profile/view/1900505","19-1900505")</f>
        <v>0</v>
      </c>
      <c r="B481" t="s">
        <v>190</v>
      </c>
      <c r="C481" t="s">
        <v>691</v>
      </c>
      <c r="D481" t="s">
        <v>1686</v>
      </c>
      <c r="E481" t="s">
        <v>3539</v>
      </c>
      <c r="F481">
        <v>1</v>
      </c>
      <c r="G481" t="s">
        <v>5635</v>
      </c>
      <c r="H481">
        <v>10460</v>
      </c>
      <c r="I481" t="s">
        <v>5695</v>
      </c>
      <c r="J481" t="s">
        <v>5696</v>
      </c>
      <c r="L481" t="s">
        <v>6712</v>
      </c>
      <c r="M481" t="s">
        <v>6732</v>
      </c>
      <c r="O481" t="s">
        <v>6747</v>
      </c>
      <c r="R481" t="s">
        <v>6793</v>
      </c>
      <c r="U481">
        <v>1635</v>
      </c>
      <c r="V481" t="s">
        <v>6833</v>
      </c>
      <c r="Y481" t="s">
        <v>7331</v>
      </c>
      <c r="AA481" t="s">
        <v>9445</v>
      </c>
      <c r="AB481">
        <v>2</v>
      </c>
      <c r="AC481" t="s">
        <v>10930</v>
      </c>
      <c r="AD481" t="s">
        <v>10944</v>
      </c>
      <c r="AE481">
        <v>10</v>
      </c>
      <c r="AF481">
        <v>1</v>
      </c>
      <c r="AG481">
        <v>0</v>
      </c>
      <c r="AH481">
        <v>3.36</v>
      </c>
      <c r="AK481" t="s">
        <v>10966</v>
      </c>
      <c r="AL481">
        <v>420</v>
      </c>
      <c r="AM481" t="s">
        <v>11031</v>
      </c>
      <c r="AR481">
        <v>0.5</v>
      </c>
      <c r="AS481" t="s">
        <v>11160</v>
      </c>
      <c r="AT481" t="s">
        <v>11179</v>
      </c>
      <c r="AU481" t="s">
        <v>11228</v>
      </c>
      <c r="AV481" t="s">
        <v>11231</v>
      </c>
      <c r="AW481" t="s">
        <v>11160</v>
      </c>
    </row>
    <row r="482" spans="1:49">
      <c r="A482" s="1">
        <f>HYPERLINK("https://lsnyc.legalserver.org/matter/dynamic-profile/view/1902781","19-1902781")</f>
        <v>0</v>
      </c>
      <c r="B482" t="s">
        <v>191</v>
      </c>
      <c r="C482" t="s">
        <v>674</v>
      </c>
      <c r="D482" t="s">
        <v>2012</v>
      </c>
      <c r="E482" t="s">
        <v>3540</v>
      </c>
      <c r="F482" t="s">
        <v>5098</v>
      </c>
      <c r="G482" t="s">
        <v>5664</v>
      </c>
      <c r="H482">
        <v>11369</v>
      </c>
      <c r="I482" t="s">
        <v>5695</v>
      </c>
      <c r="J482" t="s">
        <v>5696</v>
      </c>
      <c r="K482" t="s">
        <v>5851</v>
      </c>
      <c r="L482" t="s">
        <v>6712</v>
      </c>
      <c r="M482" t="s">
        <v>6732</v>
      </c>
      <c r="O482" t="s">
        <v>6750</v>
      </c>
      <c r="P482" t="s">
        <v>5697</v>
      </c>
      <c r="R482" t="s">
        <v>6793</v>
      </c>
      <c r="S482" t="s">
        <v>6801</v>
      </c>
      <c r="U482">
        <v>2500</v>
      </c>
      <c r="V482" t="s">
        <v>6837</v>
      </c>
      <c r="W482" t="s">
        <v>6840</v>
      </c>
      <c r="Y482" t="s">
        <v>7332</v>
      </c>
      <c r="Z482" t="s">
        <v>8938</v>
      </c>
      <c r="AA482" t="s">
        <v>9446</v>
      </c>
      <c r="AB482">
        <v>3</v>
      </c>
      <c r="AC482" t="s">
        <v>10930</v>
      </c>
      <c r="AD482" t="s">
        <v>5741</v>
      </c>
      <c r="AE482">
        <v>6</v>
      </c>
      <c r="AF482">
        <v>2</v>
      </c>
      <c r="AG482">
        <v>3</v>
      </c>
      <c r="AH482">
        <v>53.03</v>
      </c>
      <c r="AK482" t="s">
        <v>10967</v>
      </c>
      <c r="AL482">
        <v>16000</v>
      </c>
      <c r="AR482">
        <v>1.9</v>
      </c>
      <c r="AS482" t="s">
        <v>6814</v>
      </c>
      <c r="AT482" t="s">
        <v>11184</v>
      </c>
      <c r="AU482" t="s">
        <v>11228</v>
      </c>
      <c r="AV482" t="s">
        <v>11231</v>
      </c>
      <c r="AW482" t="s">
        <v>11133</v>
      </c>
    </row>
    <row r="483" spans="1:49">
      <c r="A483" s="1">
        <f>HYPERLINK("https://lsnyc.legalserver.org/matter/dynamic-profile/view/1899352","19-1899352")</f>
        <v>0</v>
      </c>
      <c r="B483" t="s">
        <v>192</v>
      </c>
      <c r="C483" t="s">
        <v>692</v>
      </c>
      <c r="D483" t="s">
        <v>2013</v>
      </c>
      <c r="E483" t="s">
        <v>3541</v>
      </c>
      <c r="F483" t="s">
        <v>5280</v>
      </c>
      <c r="G483" t="s">
        <v>5635</v>
      </c>
      <c r="H483">
        <v>10458</v>
      </c>
      <c r="I483" t="s">
        <v>5695</v>
      </c>
      <c r="J483" t="s">
        <v>5696</v>
      </c>
      <c r="K483" t="s">
        <v>5852</v>
      </c>
      <c r="L483" t="s">
        <v>6712</v>
      </c>
      <c r="M483" t="s">
        <v>6732</v>
      </c>
      <c r="O483" t="s">
        <v>6747</v>
      </c>
      <c r="P483" t="s">
        <v>5697</v>
      </c>
      <c r="R483" t="s">
        <v>6793</v>
      </c>
      <c r="T483" t="s">
        <v>6811</v>
      </c>
      <c r="U483">
        <v>1453</v>
      </c>
      <c r="V483" t="s">
        <v>6833</v>
      </c>
      <c r="Y483" t="s">
        <v>7333</v>
      </c>
      <c r="AA483" t="s">
        <v>9447</v>
      </c>
      <c r="AB483">
        <v>0</v>
      </c>
      <c r="AC483" t="s">
        <v>8953</v>
      </c>
      <c r="AE483">
        <v>10</v>
      </c>
      <c r="AF483">
        <v>1</v>
      </c>
      <c r="AG483">
        <v>0</v>
      </c>
      <c r="AH483">
        <v>72.34999999999999</v>
      </c>
      <c r="AK483" t="s">
        <v>10978</v>
      </c>
      <c r="AL483">
        <v>9036</v>
      </c>
      <c r="AR483">
        <v>1.25</v>
      </c>
      <c r="AS483" t="s">
        <v>11132</v>
      </c>
      <c r="AT483" t="s">
        <v>11187</v>
      </c>
      <c r="AU483" t="s">
        <v>11228</v>
      </c>
      <c r="AV483" t="s">
        <v>11231</v>
      </c>
      <c r="AW483" t="s">
        <v>11169</v>
      </c>
    </row>
    <row r="484" spans="1:49">
      <c r="A484" s="1">
        <f>HYPERLINK("https://lsnyc.legalserver.org/matter/dynamic-profile/view/1901938","19-1901938")</f>
        <v>0</v>
      </c>
      <c r="B484" t="s">
        <v>193</v>
      </c>
      <c r="C484" t="s">
        <v>693</v>
      </c>
      <c r="D484" t="s">
        <v>480</v>
      </c>
      <c r="E484" t="s">
        <v>3542</v>
      </c>
      <c r="F484" t="s">
        <v>5103</v>
      </c>
      <c r="G484" t="s">
        <v>5635</v>
      </c>
      <c r="H484">
        <v>10466</v>
      </c>
      <c r="I484" t="s">
        <v>5695</v>
      </c>
      <c r="J484" t="s">
        <v>5696</v>
      </c>
      <c r="K484" t="s">
        <v>5853</v>
      </c>
      <c r="L484" t="s">
        <v>6712</v>
      </c>
      <c r="M484" t="s">
        <v>6732</v>
      </c>
      <c r="O484" t="s">
        <v>6747</v>
      </c>
      <c r="R484" t="s">
        <v>6793</v>
      </c>
      <c r="U484">
        <v>1600</v>
      </c>
      <c r="V484" t="s">
        <v>6833</v>
      </c>
      <c r="Y484" t="s">
        <v>7334</v>
      </c>
      <c r="AA484" t="s">
        <v>9448</v>
      </c>
      <c r="AB484">
        <v>0</v>
      </c>
      <c r="AC484" t="s">
        <v>10930</v>
      </c>
      <c r="AD484" t="s">
        <v>10944</v>
      </c>
      <c r="AE484">
        <v>0</v>
      </c>
      <c r="AF484">
        <v>1</v>
      </c>
      <c r="AG484">
        <v>0</v>
      </c>
      <c r="AH484">
        <v>36.89</v>
      </c>
      <c r="AK484" t="s">
        <v>10966</v>
      </c>
      <c r="AL484">
        <v>4608</v>
      </c>
      <c r="AM484" t="s">
        <v>11008</v>
      </c>
      <c r="AR484">
        <v>0.5</v>
      </c>
      <c r="AS484" t="s">
        <v>6817</v>
      </c>
      <c r="AT484" t="s">
        <v>139</v>
      </c>
      <c r="AU484" t="s">
        <v>11228</v>
      </c>
      <c r="AV484" t="s">
        <v>11231</v>
      </c>
      <c r="AW484" t="s">
        <v>11150</v>
      </c>
    </row>
    <row r="485" spans="1:49">
      <c r="A485" s="1">
        <f>HYPERLINK("https://lsnyc.legalserver.org/matter/dynamic-profile/view/1896947","19-1896947")</f>
        <v>0</v>
      </c>
      <c r="B485" t="s">
        <v>194</v>
      </c>
      <c r="C485" t="s">
        <v>694</v>
      </c>
      <c r="D485" t="s">
        <v>2014</v>
      </c>
      <c r="E485" t="s">
        <v>3543</v>
      </c>
      <c r="F485" t="s">
        <v>5281</v>
      </c>
      <c r="G485" t="s">
        <v>5637</v>
      </c>
      <c r="H485">
        <v>11218</v>
      </c>
      <c r="I485" t="s">
        <v>5695</v>
      </c>
      <c r="J485" t="s">
        <v>5695</v>
      </c>
      <c r="K485" t="s">
        <v>5854</v>
      </c>
      <c r="L485" t="s">
        <v>6712</v>
      </c>
      <c r="M485" t="s">
        <v>6732</v>
      </c>
      <c r="O485" t="s">
        <v>6753</v>
      </c>
      <c r="R485" t="s">
        <v>6793</v>
      </c>
      <c r="U485">
        <v>0</v>
      </c>
      <c r="V485" t="s">
        <v>6835</v>
      </c>
      <c r="W485" t="s">
        <v>6840</v>
      </c>
      <c r="Y485" t="s">
        <v>7335</v>
      </c>
      <c r="AA485" t="s">
        <v>9449</v>
      </c>
      <c r="AB485">
        <v>0</v>
      </c>
      <c r="AE485">
        <v>0</v>
      </c>
      <c r="AF485">
        <v>1</v>
      </c>
      <c r="AG485">
        <v>0</v>
      </c>
      <c r="AH485">
        <v>374.7</v>
      </c>
      <c r="AK485" t="s">
        <v>10966</v>
      </c>
      <c r="AL485">
        <v>46800</v>
      </c>
      <c r="AR485">
        <v>0.9</v>
      </c>
      <c r="AS485" t="s">
        <v>11130</v>
      </c>
      <c r="AT485" t="s">
        <v>11178</v>
      </c>
      <c r="AV485" t="s">
        <v>11231</v>
      </c>
      <c r="AW485" t="s">
        <v>11130</v>
      </c>
    </row>
    <row r="486" spans="1:49">
      <c r="A486" s="1">
        <f>HYPERLINK("https://lsnyc.legalserver.org/matter/dynamic-profile/view/1901335","19-1901335")</f>
        <v>0</v>
      </c>
      <c r="B486" t="s">
        <v>76</v>
      </c>
      <c r="C486" t="s">
        <v>695</v>
      </c>
      <c r="D486" t="s">
        <v>2015</v>
      </c>
      <c r="E486" t="s">
        <v>3100</v>
      </c>
      <c r="F486" t="s">
        <v>5282</v>
      </c>
      <c r="G486" t="s">
        <v>5635</v>
      </c>
      <c r="H486">
        <v>10473</v>
      </c>
      <c r="I486" t="s">
        <v>5695</v>
      </c>
      <c r="J486" t="s">
        <v>5696</v>
      </c>
      <c r="L486" t="s">
        <v>6712</v>
      </c>
      <c r="M486" t="s">
        <v>6732</v>
      </c>
      <c r="O486" t="s">
        <v>6747</v>
      </c>
      <c r="R486" t="s">
        <v>6793</v>
      </c>
      <c r="U486">
        <v>0</v>
      </c>
      <c r="V486" t="s">
        <v>6833</v>
      </c>
      <c r="Y486" t="s">
        <v>7336</v>
      </c>
      <c r="AA486" t="s">
        <v>9450</v>
      </c>
      <c r="AB486">
        <v>0</v>
      </c>
      <c r="AC486" t="s">
        <v>10931</v>
      </c>
      <c r="AE486">
        <v>30</v>
      </c>
      <c r="AF486">
        <v>4</v>
      </c>
      <c r="AG486">
        <v>3</v>
      </c>
      <c r="AH486">
        <v>0</v>
      </c>
      <c r="AK486" t="s">
        <v>10966</v>
      </c>
      <c r="AL486">
        <v>0</v>
      </c>
      <c r="AM486" t="s">
        <v>11026</v>
      </c>
      <c r="AR486">
        <v>0</v>
      </c>
      <c r="AT486" t="s">
        <v>139</v>
      </c>
      <c r="AU486" t="s">
        <v>11228</v>
      </c>
      <c r="AV486" t="s">
        <v>11231</v>
      </c>
      <c r="AW486" t="s">
        <v>11148</v>
      </c>
    </row>
    <row r="487" spans="1:49">
      <c r="A487" s="1">
        <f>HYPERLINK("https://lsnyc.legalserver.org/matter/dynamic-profile/view/1905571","19-1905571")</f>
        <v>0</v>
      </c>
      <c r="B487" t="s">
        <v>53</v>
      </c>
      <c r="C487" t="s">
        <v>696</v>
      </c>
      <c r="D487" t="s">
        <v>2016</v>
      </c>
      <c r="E487" t="s">
        <v>3544</v>
      </c>
      <c r="F487" t="s">
        <v>5144</v>
      </c>
      <c r="G487" t="s">
        <v>5635</v>
      </c>
      <c r="H487">
        <v>10460</v>
      </c>
      <c r="I487" t="s">
        <v>5697</v>
      </c>
      <c r="J487" t="s">
        <v>5696</v>
      </c>
      <c r="K487" t="s">
        <v>5855</v>
      </c>
      <c r="L487" t="s">
        <v>6712</v>
      </c>
      <c r="M487" t="s">
        <v>6732</v>
      </c>
      <c r="O487" t="s">
        <v>6747</v>
      </c>
      <c r="R487" t="s">
        <v>6793</v>
      </c>
      <c r="U487">
        <v>0</v>
      </c>
      <c r="V487" t="s">
        <v>6833</v>
      </c>
      <c r="W487" t="s">
        <v>6839</v>
      </c>
      <c r="Y487" t="s">
        <v>7337</v>
      </c>
      <c r="Z487">
        <v>396724180</v>
      </c>
      <c r="AA487" t="s">
        <v>9451</v>
      </c>
      <c r="AB487">
        <v>0</v>
      </c>
      <c r="AC487" t="s">
        <v>10929</v>
      </c>
      <c r="AD487" t="s">
        <v>10944</v>
      </c>
      <c r="AE487">
        <v>0</v>
      </c>
      <c r="AF487">
        <v>1</v>
      </c>
      <c r="AG487">
        <v>0</v>
      </c>
      <c r="AH487">
        <v>74.08</v>
      </c>
      <c r="AK487" t="s">
        <v>10966</v>
      </c>
      <c r="AL487">
        <v>9252</v>
      </c>
      <c r="AM487" t="s">
        <v>11032</v>
      </c>
      <c r="AR487">
        <v>0.3</v>
      </c>
      <c r="AS487" t="s">
        <v>6827</v>
      </c>
      <c r="AT487" t="s">
        <v>139</v>
      </c>
      <c r="AU487" t="s">
        <v>11229</v>
      </c>
      <c r="AV487" t="s">
        <v>11231</v>
      </c>
      <c r="AW487" t="s">
        <v>6819</v>
      </c>
    </row>
    <row r="488" spans="1:49">
      <c r="A488" s="1">
        <f>HYPERLINK("https://lsnyc.legalserver.org/matter/dynamic-profile/view/1905332","19-1905332")</f>
        <v>0</v>
      </c>
      <c r="B488" t="s">
        <v>186</v>
      </c>
      <c r="C488" t="s">
        <v>697</v>
      </c>
      <c r="D488" t="s">
        <v>2017</v>
      </c>
      <c r="E488" t="s">
        <v>3545</v>
      </c>
      <c r="F488" t="s">
        <v>5283</v>
      </c>
      <c r="G488" t="s">
        <v>5665</v>
      </c>
      <c r="H488">
        <v>11377</v>
      </c>
      <c r="I488" t="s">
        <v>5696</v>
      </c>
      <c r="J488" t="s">
        <v>5696</v>
      </c>
      <c r="K488" t="s">
        <v>5856</v>
      </c>
      <c r="L488" t="s">
        <v>6712</v>
      </c>
      <c r="M488" t="s">
        <v>6732</v>
      </c>
      <c r="O488" t="s">
        <v>6750</v>
      </c>
      <c r="P488" t="s">
        <v>5697</v>
      </c>
      <c r="R488" t="s">
        <v>6793</v>
      </c>
      <c r="U488">
        <v>1850</v>
      </c>
      <c r="V488" t="s">
        <v>6837</v>
      </c>
      <c r="W488" t="s">
        <v>6840</v>
      </c>
      <c r="Y488" t="s">
        <v>7338</v>
      </c>
      <c r="AA488" t="s">
        <v>9452</v>
      </c>
      <c r="AB488">
        <v>2</v>
      </c>
      <c r="AC488" t="s">
        <v>10930</v>
      </c>
      <c r="AD488" t="s">
        <v>5741</v>
      </c>
      <c r="AE488">
        <v>9</v>
      </c>
      <c r="AF488">
        <v>3</v>
      </c>
      <c r="AG488">
        <v>1</v>
      </c>
      <c r="AH488">
        <v>99.63</v>
      </c>
      <c r="AK488" t="s">
        <v>10967</v>
      </c>
      <c r="AL488">
        <v>25656</v>
      </c>
      <c r="AR488">
        <v>1.87</v>
      </c>
      <c r="AS488" t="s">
        <v>6821</v>
      </c>
      <c r="AT488" t="s">
        <v>11184</v>
      </c>
      <c r="AV488" t="s">
        <v>11231</v>
      </c>
      <c r="AW488" t="s">
        <v>6828</v>
      </c>
    </row>
    <row r="489" spans="1:49">
      <c r="A489" s="1">
        <f>HYPERLINK("https://lsnyc.legalserver.org/matter/dynamic-profile/view/1901137","19-1901137")</f>
        <v>0</v>
      </c>
      <c r="B489" t="s">
        <v>186</v>
      </c>
      <c r="C489" t="s">
        <v>698</v>
      </c>
      <c r="D489" t="s">
        <v>2018</v>
      </c>
      <c r="E489" t="s">
        <v>3546</v>
      </c>
      <c r="F489" t="s">
        <v>5284</v>
      </c>
      <c r="G489" t="s">
        <v>5653</v>
      </c>
      <c r="H489">
        <v>11374</v>
      </c>
      <c r="I489" t="s">
        <v>5695</v>
      </c>
      <c r="J489" t="s">
        <v>5696</v>
      </c>
      <c r="K489" t="s">
        <v>5857</v>
      </c>
      <c r="L489" t="s">
        <v>6712</v>
      </c>
      <c r="M489" t="s">
        <v>6732</v>
      </c>
      <c r="O489" t="s">
        <v>6750</v>
      </c>
      <c r="P489" t="s">
        <v>5697</v>
      </c>
      <c r="R489" t="s">
        <v>6793</v>
      </c>
      <c r="S489" t="s">
        <v>6801</v>
      </c>
      <c r="U489">
        <v>868</v>
      </c>
      <c r="V489" t="s">
        <v>6837</v>
      </c>
      <c r="Y489" t="s">
        <v>7339</v>
      </c>
      <c r="AA489" t="s">
        <v>9453</v>
      </c>
      <c r="AB489">
        <v>50</v>
      </c>
      <c r="AC489" t="s">
        <v>10929</v>
      </c>
      <c r="AD489" t="s">
        <v>5741</v>
      </c>
      <c r="AE489">
        <v>21</v>
      </c>
      <c r="AF489">
        <v>1</v>
      </c>
      <c r="AG489">
        <v>0</v>
      </c>
      <c r="AH489">
        <v>160.13</v>
      </c>
      <c r="AK489" t="s">
        <v>10966</v>
      </c>
      <c r="AL489">
        <v>20000</v>
      </c>
      <c r="AR489">
        <v>1.2</v>
      </c>
      <c r="AS489" t="s">
        <v>6807</v>
      </c>
      <c r="AT489" t="s">
        <v>186</v>
      </c>
      <c r="AU489" t="s">
        <v>11228</v>
      </c>
      <c r="AV489" t="s">
        <v>11231</v>
      </c>
      <c r="AW489" t="s">
        <v>11143</v>
      </c>
    </row>
    <row r="490" spans="1:49">
      <c r="A490" s="1">
        <f>HYPERLINK("https://lsnyc.legalserver.org/matter/dynamic-profile/view/1906175","19-1906175")</f>
        <v>0</v>
      </c>
      <c r="B490" t="s">
        <v>63</v>
      </c>
      <c r="C490" t="s">
        <v>699</v>
      </c>
      <c r="D490" t="s">
        <v>2019</v>
      </c>
      <c r="E490" t="s">
        <v>3547</v>
      </c>
      <c r="F490" t="s">
        <v>5285</v>
      </c>
      <c r="G490" t="s">
        <v>5666</v>
      </c>
      <c r="H490">
        <v>11378</v>
      </c>
      <c r="I490" t="s">
        <v>5695</v>
      </c>
      <c r="J490" t="s">
        <v>5696</v>
      </c>
      <c r="K490" t="s">
        <v>5858</v>
      </c>
      <c r="L490" t="s">
        <v>6712</v>
      </c>
      <c r="M490" t="s">
        <v>6732</v>
      </c>
      <c r="O490" t="s">
        <v>6750</v>
      </c>
      <c r="P490" t="s">
        <v>5697</v>
      </c>
      <c r="R490" t="s">
        <v>6793</v>
      </c>
      <c r="S490" t="s">
        <v>6801</v>
      </c>
      <c r="T490" t="s">
        <v>6821</v>
      </c>
      <c r="U490">
        <v>1500</v>
      </c>
      <c r="V490" t="s">
        <v>6837</v>
      </c>
      <c r="W490" t="s">
        <v>6840</v>
      </c>
      <c r="Y490" t="s">
        <v>7340</v>
      </c>
      <c r="AA490" t="s">
        <v>9454</v>
      </c>
      <c r="AB490">
        <v>2</v>
      </c>
      <c r="AC490" t="s">
        <v>10930</v>
      </c>
      <c r="AD490" t="s">
        <v>5741</v>
      </c>
      <c r="AE490">
        <v>-1</v>
      </c>
      <c r="AF490">
        <v>2</v>
      </c>
      <c r="AG490">
        <v>1</v>
      </c>
      <c r="AH490">
        <v>0</v>
      </c>
      <c r="AK490" t="s">
        <v>10966</v>
      </c>
      <c r="AL490">
        <v>0</v>
      </c>
      <c r="AR490">
        <v>0.95</v>
      </c>
      <c r="AS490" t="s">
        <v>6821</v>
      </c>
      <c r="AT490" t="s">
        <v>11182</v>
      </c>
      <c r="AU490" t="s">
        <v>11228</v>
      </c>
      <c r="AV490" t="s">
        <v>11231</v>
      </c>
      <c r="AW490" t="s">
        <v>6821</v>
      </c>
    </row>
    <row r="491" spans="1:49">
      <c r="A491" s="1">
        <f>HYPERLINK("https://lsnyc.legalserver.org/matter/dynamic-profile/view/1903842","19-1903842")</f>
        <v>0</v>
      </c>
      <c r="B491" t="s">
        <v>147</v>
      </c>
      <c r="C491" t="s">
        <v>700</v>
      </c>
      <c r="D491" t="s">
        <v>2020</v>
      </c>
      <c r="E491" t="s">
        <v>3548</v>
      </c>
      <c r="G491" t="s">
        <v>5640</v>
      </c>
      <c r="H491">
        <v>11421</v>
      </c>
      <c r="I491" t="s">
        <v>5696</v>
      </c>
      <c r="J491" t="s">
        <v>5696</v>
      </c>
      <c r="K491" t="s">
        <v>5859</v>
      </c>
      <c r="L491" t="s">
        <v>6712</v>
      </c>
      <c r="M491" t="s">
        <v>6732</v>
      </c>
      <c r="O491" t="s">
        <v>6758</v>
      </c>
      <c r="R491" t="s">
        <v>6793</v>
      </c>
      <c r="U491">
        <v>1350</v>
      </c>
      <c r="V491" t="s">
        <v>6837</v>
      </c>
      <c r="W491" t="s">
        <v>6848</v>
      </c>
      <c r="Y491" t="s">
        <v>7341</v>
      </c>
      <c r="AA491" t="s">
        <v>9455</v>
      </c>
      <c r="AB491">
        <v>2</v>
      </c>
      <c r="AE491">
        <v>5</v>
      </c>
      <c r="AF491">
        <v>2</v>
      </c>
      <c r="AG491">
        <v>3</v>
      </c>
      <c r="AH491">
        <v>151.67</v>
      </c>
      <c r="AK491" t="s">
        <v>10966</v>
      </c>
      <c r="AL491">
        <v>45760</v>
      </c>
      <c r="AR491">
        <v>2</v>
      </c>
      <c r="AS491" t="s">
        <v>6828</v>
      </c>
      <c r="AT491" t="s">
        <v>11181</v>
      </c>
      <c r="AV491" t="s">
        <v>11231</v>
      </c>
      <c r="AW491" t="s">
        <v>6807</v>
      </c>
    </row>
    <row r="492" spans="1:49">
      <c r="A492" s="1">
        <f>HYPERLINK("https://lsnyc.legalserver.org/matter/dynamic-profile/view/1902943","19-1902943")</f>
        <v>0</v>
      </c>
      <c r="B492" t="s">
        <v>195</v>
      </c>
      <c r="C492" t="s">
        <v>701</v>
      </c>
      <c r="D492" t="s">
        <v>1457</v>
      </c>
      <c r="E492" t="s">
        <v>3549</v>
      </c>
      <c r="F492" t="s">
        <v>5286</v>
      </c>
      <c r="G492" t="s">
        <v>5635</v>
      </c>
      <c r="H492">
        <v>10453</v>
      </c>
      <c r="I492" t="s">
        <v>5695</v>
      </c>
      <c r="J492" t="s">
        <v>5696</v>
      </c>
      <c r="K492" t="s">
        <v>5860</v>
      </c>
      <c r="L492" t="s">
        <v>6712</v>
      </c>
      <c r="M492" t="s">
        <v>6732</v>
      </c>
      <c r="O492" t="s">
        <v>6747</v>
      </c>
      <c r="P492" t="s">
        <v>5697</v>
      </c>
      <c r="R492" t="s">
        <v>6793</v>
      </c>
      <c r="U492">
        <v>1701</v>
      </c>
      <c r="V492" t="s">
        <v>6833</v>
      </c>
      <c r="W492" t="s">
        <v>6840</v>
      </c>
      <c r="Y492" t="s">
        <v>7342</v>
      </c>
      <c r="Z492" t="s">
        <v>8939</v>
      </c>
      <c r="AA492" t="s">
        <v>9456</v>
      </c>
      <c r="AB492">
        <v>33</v>
      </c>
      <c r="AC492" t="s">
        <v>8953</v>
      </c>
      <c r="AD492" t="s">
        <v>5741</v>
      </c>
      <c r="AE492">
        <v>16</v>
      </c>
      <c r="AF492">
        <v>2</v>
      </c>
      <c r="AG492">
        <v>0</v>
      </c>
      <c r="AH492">
        <v>0</v>
      </c>
      <c r="AK492" t="s">
        <v>10967</v>
      </c>
      <c r="AL492">
        <v>0</v>
      </c>
      <c r="AM492" t="s">
        <v>11027</v>
      </c>
      <c r="AR492">
        <v>0.2</v>
      </c>
      <c r="AS492" t="s">
        <v>11131</v>
      </c>
      <c r="AT492" t="s">
        <v>11187</v>
      </c>
      <c r="AU492" t="s">
        <v>11229</v>
      </c>
      <c r="AV492" t="s">
        <v>11231</v>
      </c>
      <c r="AW492" t="s">
        <v>11131</v>
      </c>
    </row>
    <row r="493" spans="1:49">
      <c r="A493" s="1">
        <f>HYPERLINK("https://lsnyc.legalserver.org/matter/dynamic-profile/view/1902343","19-1902343")</f>
        <v>0</v>
      </c>
      <c r="B493" t="s">
        <v>98</v>
      </c>
      <c r="C493" t="s">
        <v>702</v>
      </c>
      <c r="D493" t="s">
        <v>2021</v>
      </c>
      <c r="E493" t="s">
        <v>3550</v>
      </c>
      <c r="F493" t="s">
        <v>5287</v>
      </c>
      <c r="G493" t="s">
        <v>5638</v>
      </c>
      <c r="H493">
        <v>10027</v>
      </c>
      <c r="I493" t="s">
        <v>5695</v>
      </c>
      <c r="J493" t="s">
        <v>5696</v>
      </c>
      <c r="L493" t="s">
        <v>6712</v>
      </c>
      <c r="M493" t="s">
        <v>6732</v>
      </c>
      <c r="O493" t="s">
        <v>6761</v>
      </c>
      <c r="P493" t="s">
        <v>5697</v>
      </c>
      <c r="R493" t="s">
        <v>6794</v>
      </c>
      <c r="U493">
        <v>226</v>
      </c>
      <c r="V493" t="s">
        <v>6836</v>
      </c>
      <c r="W493" t="s">
        <v>6843</v>
      </c>
      <c r="Y493" t="s">
        <v>7343</v>
      </c>
      <c r="AA493" t="s">
        <v>9457</v>
      </c>
      <c r="AB493">
        <v>0</v>
      </c>
      <c r="AC493" t="s">
        <v>10931</v>
      </c>
      <c r="AE493">
        <v>33</v>
      </c>
      <c r="AF493">
        <v>2</v>
      </c>
      <c r="AG493">
        <v>0</v>
      </c>
      <c r="AH493">
        <v>55</v>
      </c>
      <c r="AJ493" t="s">
        <v>10963</v>
      </c>
      <c r="AK493" t="s">
        <v>10966</v>
      </c>
      <c r="AL493">
        <v>9300</v>
      </c>
      <c r="AR493">
        <v>2</v>
      </c>
      <c r="AS493" t="s">
        <v>11140</v>
      </c>
      <c r="AT493" t="s">
        <v>229</v>
      </c>
      <c r="AU493" t="s">
        <v>11228</v>
      </c>
      <c r="AV493" t="s">
        <v>11231</v>
      </c>
      <c r="AW493" t="s">
        <v>11163</v>
      </c>
    </row>
    <row r="494" spans="1:49">
      <c r="A494" s="1">
        <f>HYPERLINK("https://lsnyc.legalserver.org/matter/dynamic-profile/view/1904050","19-1904050")</f>
        <v>0</v>
      </c>
      <c r="B494" t="s">
        <v>196</v>
      </c>
      <c r="C494" t="s">
        <v>703</v>
      </c>
      <c r="D494" t="s">
        <v>1842</v>
      </c>
      <c r="E494" t="s">
        <v>3551</v>
      </c>
      <c r="F494" t="s">
        <v>5099</v>
      </c>
      <c r="G494" t="s">
        <v>5635</v>
      </c>
      <c r="H494">
        <v>10468</v>
      </c>
      <c r="I494" t="s">
        <v>5695</v>
      </c>
      <c r="J494" t="s">
        <v>5696</v>
      </c>
      <c r="K494" t="s">
        <v>5861</v>
      </c>
      <c r="L494" t="s">
        <v>6712</v>
      </c>
      <c r="M494" t="s">
        <v>6732</v>
      </c>
      <c r="O494" t="s">
        <v>6753</v>
      </c>
      <c r="P494" t="s">
        <v>5697</v>
      </c>
      <c r="R494" t="s">
        <v>6793</v>
      </c>
      <c r="U494">
        <v>547</v>
      </c>
      <c r="V494" t="s">
        <v>6833</v>
      </c>
      <c r="Y494" t="s">
        <v>7344</v>
      </c>
      <c r="AA494" t="s">
        <v>9458</v>
      </c>
      <c r="AB494">
        <v>0</v>
      </c>
      <c r="AE494">
        <v>2</v>
      </c>
      <c r="AF494">
        <v>1</v>
      </c>
      <c r="AG494">
        <v>0</v>
      </c>
      <c r="AH494">
        <v>424.34</v>
      </c>
      <c r="AK494" t="s">
        <v>10966</v>
      </c>
      <c r="AL494">
        <v>53000</v>
      </c>
      <c r="AR494">
        <v>1.8</v>
      </c>
      <c r="AS494" t="s">
        <v>6814</v>
      </c>
      <c r="AT494" t="s">
        <v>288</v>
      </c>
      <c r="AU494" t="s">
        <v>11228</v>
      </c>
      <c r="AV494" t="s">
        <v>11231</v>
      </c>
      <c r="AW494" t="s">
        <v>6817</v>
      </c>
    </row>
    <row r="495" spans="1:49">
      <c r="A495" s="1">
        <f>HYPERLINK("https://lsnyc.legalserver.org/matter/dynamic-profile/view/1905299","19-1905299")</f>
        <v>0</v>
      </c>
      <c r="B495" t="s">
        <v>53</v>
      </c>
      <c r="C495" t="s">
        <v>704</v>
      </c>
      <c r="D495" t="s">
        <v>2022</v>
      </c>
      <c r="E495" t="s">
        <v>3552</v>
      </c>
      <c r="F495" t="s">
        <v>5098</v>
      </c>
      <c r="G495" t="s">
        <v>5635</v>
      </c>
      <c r="H495">
        <v>10460</v>
      </c>
      <c r="I495" t="s">
        <v>5695</v>
      </c>
      <c r="J495" t="s">
        <v>5696</v>
      </c>
      <c r="K495" t="s">
        <v>5862</v>
      </c>
      <c r="L495" t="s">
        <v>6712</v>
      </c>
      <c r="M495" t="s">
        <v>6732</v>
      </c>
      <c r="O495" t="s">
        <v>6747</v>
      </c>
      <c r="P495" t="s">
        <v>5697</v>
      </c>
      <c r="R495" t="s">
        <v>6793</v>
      </c>
      <c r="S495" t="s">
        <v>6801</v>
      </c>
      <c r="U495">
        <v>1600</v>
      </c>
      <c r="V495" t="s">
        <v>6833</v>
      </c>
      <c r="W495" t="s">
        <v>6839</v>
      </c>
      <c r="Y495" t="s">
        <v>7345</v>
      </c>
      <c r="AA495" t="s">
        <v>9459</v>
      </c>
      <c r="AB495">
        <v>2</v>
      </c>
      <c r="AD495" t="s">
        <v>5741</v>
      </c>
      <c r="AE495">
        <v>1</v>
      </c>
      <c r="AF495">
        <v>2</v>
      </c>
      <c r="AG495">
        <v>1</v>
      </c>
      <c r="AH495">
        <v>0</v>
      </c>
      <c r="AK495" t="s">
        <v>10966</v>
      </c>
      <c r="AL495">
        <v>0</v>
      </c>
      <c r="AR495">
        <v>0.5</v>
      </c>
      <c r="AS495" t="s">
        <v>6820</v>
      </c>
      <c r="AT495" t="s">
        <v>11187</v>
      </c>
      <c r="AU495" t="s">
        <v>5741</v>
      </c>
      <c r="AV495" t="s">
        <v>11231</v>
      </c>
      <c r="AW495" t="s">
        <v>6808</v>
      </c>
    </row>
    <row r="496" spans="1:49">
      <c r="A496" s="1">
        <f>HYPERLINK("https://lsnyc.legalserver.org/matter/dynamic-profile/view/1897309","19-1897309")</f>
        <v>0</v>
      </c>
      <c r="B496" t="s">
        <v>197</v>
      </c>
      <c r="C496" t="s">
        <v>423</v>
      </c>
      <c r="D496" t="s">
        <v>2023</v>
      </c>
      <c r="E496" t="s">
        <v>3553</v>
      </c>
      <c r="F496" t="s">
        <v>5146</v>
      </c>
      <c r="G496" t="s">
        <v>5638</v>
      </c>
      <c r="H496">
        <v>10003</v>
      </c>
      <c r="I496" t="s">
        <v>5696</v>
      </c>
      <c r="J496" t="s">
        <v>5696</v>
      </c>
      <c r="K496" t="s">
        <v>5863</v>
      </c>
      <c r="L496" t="s">
        <v>6712</v>
      </c>
      <c r="M496" t="s">
        <v>6732</v>
      </c>
      <c r="O496" t="s">
        <v>6758</v>
      </c>
      <c r="P496" t="s">
        <v>5697</v>
      </c>
      <c r="R496" t="s">
        <v>6793</v>
      </c>
      <c r="U496">
        <v>1200</v>
      </c>
      <c r="V496" t="s">
        <v>6836</v>
      </c>
      <c r="W496" t="s">
        <v>6839</v>
      </c>
      <c r="Y496" t="s">
        <v>7346</v>
      </c>
      <c r="AA496" t="s">
        <v>9460</v>
      </c>
      <c r="AB496">
        <v>140</v>
      </c>
      <c r="AC496" t="s">
        <v>10936</v>
      </c>
      <c r="AE496">
        <v>2</v>
      </c>
      <c r="AF496">
        <v>1</v>
      </c>
      <c r="AG496">
        <v>0</v>
      </c>
      <c r="AH496">
        <v>317.05</v>
      </c>
      <c r="AK496" t="s">
        <v>10966</v>
      </c>
      <c r="AL496">
        <v>39600</v>
      </c>
      <c r="AR496">
        <v>54.73</v>
      </c>
      <c r="AS496" t="s">
        <v>6808</v>
      </c>
      <c r="AT496" t="s">
        <v>11195</v>
      </c>
      <c r="AV496" t="s">
        <v>11231</v>
      </c>
      <c r="AW496" t="s">
        <v>11145</v>
      </c>
    </row>
    <row r="497" spans="1:49">
      <c r="A497" s="1">
        <f>HYPERLINK("https://lsnyc.legalserver.org/matter/dynamic-profile/view/1904969","19-1904969")</f>
        <v>0</v>
      </c>
      <c r="B497" t="s">
        <v>53</v>
      </c>
      <c r="C497" t="s">
        <v>705</v>
      </c>
      <c r="D497" t="s">
        <v>2024</v>
      </c>
      <c r="E497" t="s">
        <v>3554</v>
      </c>
      <c r="G497" t="s">
        <v>5635</v>
      </c>
      <c r="H497">
        <v>10469</v>
      </c>
      <c r="I497" t="s">
        <v>5695</v>
      </c>
      <c r="J497" t="s">
        <v>5696</v>
      </c>
      <c r="K497" t="s">
        <v>5864</v>
      </c>
      <c r="L497" t="s">
        <v>6712</v>
      </c>
      <c r="M497" t="s">
        <v>6732</v>
      </c>
      <c r="O497" t="s">
        <v>6747</v>
      </c>
      <c r="P497" t="s">
        <v>5697</v>
      </c>
      <c r="R497" t="s">
        <v>6793</v>
      </c>
      <c r="S497" t="s">
        <v>6801</v>
      </c>
      <c r="U497">
        <v>0</v>
      </c>
      <c r="V497" t="s">
        <v>6833</v>
      </c>
      <c r="W497" t="s">
        <v>6839</v>
      </c>
      <c r="Y497" t="s">
        <v>7347</v>
      </c>
      <c r="AA497" t="s">
        <v>9461</v>
      </c>
      <c r="AB497">
        <v>0</v>
      </c>
      <c r="AC497" t="s">
        <v>10930</v>
      </c>
      <c r="AE497">
        <v>12</v>
      </c>
      <c r="AF497">
        <v>2</v>
      </c>
      <c r="AG497">
        <v>0</v>
      </c>
      <c r="AH497">
        <v>85.16</v>
      </c>
      <c r="AK497" t="s">
        <v>10966</v>
      </c>
      <c r="AL497">
        <v>14400</v>
      </c>
      <c r="AR497">
        <v>0.25</v>
      </c>
      <c r="AS497" t="s">
        <v>6820</v>
      </c>
      <c r="AT497" t="s">
        <v>288</v>
      </c>
      <c r="AU497" t="s">
        <v>11228</v>
      </c>
      <c r="AV497" t="s">
        <v>11231</v>
      </c>
      <c r="AW497" t="s">
        <v>6812</v>
      </c>
    </row>
    <row r="498" spans="1:49">
      <c r="A498" s="1">
        <f>HYPERLINK("https://lsnyc.legalserver.org/matter/dynamic-profile/view/1897189","19-1897189")</f>
        <v>0</v>
      </c>
      <c r="B498" t="s">
        <v>198</v>
      </c>
      <c r="C498" t="s">
        <v>706</v>
      </c>
      <c r="D498" t="s">
        <v>2025</v>
      </c>
      <c r="E498" t="s">
        <v>3555</v>
      </c>
      <c r="F498" t="s">
        <v>5288</v>
      </c>
      <c r="G498" t="s">
        <v>5635</v>
      </c>
      <c r="H498">
        <v>10454</v>
      </c>
      <c r="I498" t="s">
        <v>5695</v>
      </c>
      <c r="J498" t="s">
        <v>5695</v>
      </c>
      <c r="K498" t="s">
        <v>5865</v>
      </c>
      <c r="L498" t="s">
        <v>6712</v>
      </c>
      <c r="M498" t="s">
        <v>6732</v>
      </c>
      <c r="O498" t="s">
        <v>6747</v>
      </c>
      <c r="P498" t="s">
        <v>5697</v>
      </c>
      <c r="R498" t="s">
        <v>6793</v>
      </c>
      <c r="U498">
        <v>151</v>
      </c>
      <c r="V498" t="s">
        <v>6833</v>
      </c>
      <c r="W498" t="s">
        <v>6838</v>
      </c>
      <c r="Y498" t="s">
        <v>7348</v>
      </c>
      <c r="AA498" t="s">
        <v>9462</v>
      </c>
      <c r="AB498">
        <v>0</v>
      </c>
      <c r="AC498" t="s">
        <v>10931</v>
      </c>
      <c r="AE498">
        <v>16</v>
      </c>
      <c r="AF498">
        <v>1</v>
      </c>
      <c r="AG498">
        <v>1</v>
      </c>
      <c r="AH498">
        <v>0</v>
      </c>
      <c r="AK498" t="s">
        <v>10966</v>
      </c>
      <c r="AL498">
        <v>0</v>
      </c>
      <c r="AM498" t="s">
        <v>10998</v>
      </c>
      <c r="AR498">
        <v>0.5</v>
      </c>
      <c r="AS498" t="s">
        <v>11151</v>
      </c>
      <c r="AT498" t="s">
        <v>11179</v>
      </c>
      <c r="AU498" t="s">
        <v>11228</v>
      </c>
      <c r="AV498" t="s">
        <v>11231</v>
      </c>
      <c r="AW498" t="s">
        <v>11151</v>
      </c>
    </row>
    <row r="499" spans="1:49">
      <c r="A499" s="1">
        <f>HYPERLINK("https://lsnyc.legalserver.org/matter/dynamic-profile/view/1905885","19-1905885")</f>
        <v>0</v>
      </c>
      <c r="B499" t="s">
        <v>199</v>
      </c>
      <c r="C499" t="s">
        <v>318</v>
      </c>
      <c r="D499" t="s">
        <v>1765</v>
      </c>
      <c r="E499" t="s">
        <v>3556</v>
      </c>
      <c r="G499" t="s">
        <v>5635</v>
      </c>
      <c r="H499">
        <v>10472</v>
      </c>
      <c r="I499" t="s">
        <v>5695</v>
      </c>
      <c r="J499" t="s">
        <v>5696</v>
      </c>
      <c r="K499" t="s">
        <v>5866</v>
      </c>
      <c r="L499" t="s">
        <v>6712</v>
      </c>
      <c r="M499" t="s">
        <v>6732</v>
      </c>
      <c r="O499" t="s">
        <v>6747</v>
      </c>
      <c r="P499" t="s">
        <v>5697</v>
      </c>
      <c r="R499" t="s">
        <v>6793</v>
      </c>
      <c r="S499" t="s">
        <v>6801</v>
      </c>
      <c r="U499">
        <v>1600</v>
      </c>
      <c r="V499" t="s">
        <v>6833</v>
      </c>
      <c r="W499" t="s">
        <v>6841</v>
      </c>
      <c r="Y499" t="s">
        <v>7349</v>
      </c>
      <c r="AA499" t="s">
        <v>9463</v>
      </c>
      <c r="AB499">
        <v>3</v>
      </c>
      <c r="AC499" t="s">
        <v>10930</v>
      </c>
      <c r="AD499" t="s">
        <v>10948</v>
      </c>
      <c r="AE499">
        <v>5</v>
      </c>
      <c r="AF499">
        <v>1</v>
      </c>
      <c r="AG499">
        <v>3</v>
      </c>
      <c r="AH499">
        <v>0</v>
      </c>
      <c r="AK499" t="s">
        <v>10966</v>
      </c>
      <c r="AL499">
        <v>0</v>
      </c>
      <c r="AR499">
        <v>0.3</v>
      </c>
      <c r="AS499" t="s">
        <v>6820</v>
      </c>
      <c r="AT499" t="s">
        <v>11196</v>
      </c>
      <c r="AV499" t="s">
        <v>11231</v>
      </c>
      <c r="AW499" t="s">
        <v>6824</v>
      </c>
    </row>
    <row r="500" spans="1:49">
      <c r="A500" s="1">
        <f>HYPERLINK("https://lsnyc.legalserver.org/matter/dynamic-profile/view/1901052","19-1901052")</f>
        <v>0</v>
      </c>
      <c r="B500" t="s">
        <v>200</v>
      </c>
      <c r="C500" t="s">
        <v>707</v>
      </c>
      <c r="D500" t="s">
        <v>2026</v>
      </c>
      <c r="E500" t="s">
        <v>3557</v>
      </c>
      <c r="F500" t="s">
        <v>5289</v>
      </c>
      <c r="G500" t="s">
        <v>5644</v>
      </c>
      <c r="H500">
        <v>11432</v>
      </c>
      <c r="I500" t="s">
        <v>5695</v>
      </c>
      <c r="J500" t="s">
        <v>5696</v>
      </c>
      <c r="K500" t="s">
        <v>5867</v>
      </c>
      <c r="L500" t="s">
        <v>6712</v>
      </c>
      <c r="M500" t="s">
        <v>6732</v>
      </c>
      <c r="O500" t="s">
        <v>6750</v>
      </c>
      <c r="P500" t="s">
        <v>5697</v>
      </c>
      <c r="R500" t="s">
        <v>6793</v>
      </c>
      <c r="S500" t="s">
        <v>6801</v>
      </c>
      <c r="U500">
        <v>1325</v>
      </c>
      <c r="V500" t="s">
        <v>6837</v>
      </c>
      <c r="W500" t="s">
        <v>6840</v>
      </c>
      <c r="Y500" t="s">
        <v>7350</v>
      </c>
      <c r="AA500" t="s">
        <v>9464</v>
      </c>
      <c r="AB500">
        <v>4</v>
      </c>
      <c r="AD500" t="s">
        <v>6841</v>
      </c>
      <c r="AE500">
        <v>5</v>
      </c>
      <c r="AF500">
        <v>2</v>
      </c>
      <c r="AG500">
        <v>2</v>
      </c>
      <c r="AH500">
        <v>251.65</v>
      </c>
      <c r="AL500">
        <v>64800</v>
      </c>
      <c r="AR500">
        <v>1.5</v>
      </c>
      <c r="AS500" t="s">
        <v>11120</v>
      </c>
      <c r="AT500" t="s">
        <v>237</v>
      </c>
      <c r="AV500" t="s">
        <v>11231</v>
      </c>
      <c r="AW500" t="s">
        <v>11120</v>
      </c>
    </row>
    <row r="501" spans="1:49">
      <c r="A501" s="1">
        <f>HYPERLINK("https://lsnyc.legalserver.org/matter/dynamic-profile/view/1894927","19-1894927")</f>
        <v>0</v>
      </c>
      <c r="B501" t="s">
        <v>201</v>
      </c>
      <c r="C501" t="s">
        <v>708</v>
      </c>
      <c r="D501" t="s">
        <v>1840</v>
      </c>
      <c r="E501" t="s">
        <v>3558</v>
      </c>
      <c r="F501" t="s">
        <v>5290</v>
      </c>
      <c r="G501" t="s">
        <v>5635</v>
      </c>
      <c r="H501">
        <v>10457</v>
      </c>
      <c r="I501" t="s">
        <v>5695</v>
      </c>
      <c r="J501" t="s">
        <v>5695</v>
      </c>
      <c r="K501" t="s">
        <v>5868</v>
      </c>
      <c r="L501" t="s">
        <v>6712</v>
      </c>
      <c r="M501" t="s">
        <v>6732</v>
      </c>
      <c r="O501" t="s">
        <v>6763</v>
      </c>
      <c r="P501" t="s">
        <v>5697</v>
      </c>
      <c r="R501" t="s">
        <v>6793</v>
      </c>
      <c r="S501" t="s">
        <v>6801</v>
      </c>
      <c r="U501">
        <v>198</v>
      </c>
      <c r="V501" t="s">
        <v>6833</v>
      </c>
      <c r="W501" t="s">
        <v>6839</v>
      </c>
      <c r="Y501" t="s">
        <v>7351</v>
      </c>
      <c r="AA501" t="s">
        <v>9465</v>
      </c>
      <c r="AB501">
        <v>0</v>
      </c>
      <c r="AC501" t="s">
        <v>10929</v>
      </c>
      <c r="AE501">
        <v>1</v>
      </c>
      <c r="AF501">
        <v>1</v>
      </c>
      <c r="AG501">
        <v>0</v>
      </c>
      <c r="AH501">
        <v>82.43000000000001</v>
      </c>
      <c r="AK501" t="s">
        <v>10967</v>
      </c>
      <c r="AL501">
        <v>10296</v>
      </c>
      <c r="AR501">
        <v>3.25</v>
      </c>
      <c r="AS501" t="s">
        <v>11151</v>
      </c>
      <c r="AT501" t="s">
        <v>11196</v>
      </c>
      <c r="AV501" t="s">
        <v>11231</v>
      </c>
      <c r="AW501" t="s">
        <v>10960</v>
      </c>
    </row>
    <row r="502" spans="1:49">
      <c r="A502" s="1">
        <f>HYPERLINK("https://lsnyc.legalserver.org/matter/dynamic-profile/view/1899069","19-1899069")</f>
        <v>0</v>
      </c>
      <c r="B502" t="s">
        <v>64</v>
      </c>
      <c r="C502" t="s">
        <v>709</v>
      </c>
      <c r="D502" t="s">
        <v>1697</v>
      </c>
      <c r="E502" t="s">
        <v>3559</v>
      </c>
      <c r="F502" t="s">
        <v>5176</v>
      </c>
      <c r="G502" t="s">
        <v>5635</v>
      </c>
      <c r="H502">
        <v>10460</v>
      </c>
      <c r="I502" t="s">
        <v>5697</v>
      </c>
      <c r="J502" t="s">
        <v>5696</v>
      </c>
      <c r="L502" t="s">
        <v>6712</v>
      </c>
      <c r="M502" t="s">
        <v>6732</v>
      </c>
      <c r="O502" t="s">
        <v>6753</v>
      </c>
      <c r="P502" t="s">
        <v>5697</v>
      </c>
      <c r="R502" t="s">
        <v>6793</v>
      </c>
      <c r="U502">
        <v>1248</v>
      </c>
      <c r="V502" t="s">
        <v>6833</v>
      </c>
      <c r="W502" t="s">
        <v>6838</v>
      </c>
      <c r="Y502" t="s">
        <v>7352</v>
      </c>
      <c r="AA502" t="s">
        <v>9466</v>
      </c>
      <c r="AB502">
        <v>16</v>
      </c>
      <c r="AC502" t="s">
        <v>10930</v>
      </c>
      <c r="AD502" t="s">
        <v>5741</v>
      </c>
      <c r="AE502">
        <v>7</v>
      </c>
      <c r="AF502">
        <v>1</v>
      </c>
      <c r="AG502">
        <v>1</v>
      </c>
      <c r="AH502">
        <v>215.26</v>
      </c>
      <c r="AK502" t="s">
        <v>10966</v>
      </c>
      <c r="AL502">
        <v>36400</v>
      </c>
      <c r="AM502" t="s">
        <v>11033</v>
      </c>
      <c r="AR502">
        <v>0</v>
      </c>
      <c r="AT502" t="s">
        <v>11176</v>
      </c>
      <c r="AU502" t="s">
        <v>11228</v>
      </c>
      <c r="AV502" t="s">
        <v>11231</v>
      </c>
      <c r="AW502" t="s">
        <v>11134</v>
      </c>
    </row>
    <row r="503" spans="1:49">
      <c r="A503" s="1">
        <f>HYPERLINK("https://lsnyc.legalserver.org/matter/dynamic-profile/view/1902948","19-1902948")</f>
        <v>0</v>
      </c>
      <c r="B503" t="s">
        <v>74</v>
      </c>
      <c r="C503" t="s">
        <v>710</v>
      </c>
      <c r="D503" t="s">
        <v>1762</v>
      </c>
      <c r="E503" t="s">
        <v>3560</v>
      </c>
      <c r="F503">
        <v>1</v>
      </c>
      <c r="G503" t="s">
        <v>5635</v>
      </c>
      <c r="H503">
        <v>10460</v>
      </c>
      <c r="I503" t="s">
        <v>5695</v>
      </c>
      <c r="J503" t="s">
        <v>5696</v>
      </c>
      <c r="K503" t="s">
        <v>5869</v>
      </c>
      <c r="L503" t="s">
        <v>6712</v>
      </c>
      <c r="M503" t="s">
        <v>6732</v>
      </c>
      <c r="O503" t="s">
        <v>6747</v>
      </c>
      <c r="P503" t="s">
        <v>5697</v>
      </c>
      <c r="R503" t="s">
        <v>6793</v>
      </c>
      <c r="S503" t="s">
        <v>6801</v>
      </c>
      <c r="T503" t="s">
        <v>6807</v>
      </c>
      <c r="U503">
        <v>1200</v>
      </c>
      <c r="V503" t="s">
        <v>6833</v>
      </c>
      <c r="W503" t="s">
        <v>6839</v>
      </c>
      <c r="Y503" t="s">
        <v>7353</v>
      </c>
      <c r="AA503" t="s">
        <v>9467</v>
      </c>
      <c r="AB503">
        <v>3</v>
      </c>
      <c r="AC503" t="s">
        <v>8953</v>
      </c>
      <c r="AD503" t="s">
        <v>10950</v>
      </c>
      <c r="AE503">
        <v>0</v>
      </c>
      <c r="AF503">
        <v>1</v>
      </c>
      <c r="AG503">
        <v>0</v>
      </c>
      <c r="AH503">
        <v>74.08</v>
      </c>
      <c r="AK503" t="s">
        <v>10966</v>
      </c>
      <c r="AL503">
        <v>9252</v>
      </c>
      <c r="AM503" t="s">
        <v>11027</v>
      </c>
      <c r="AR503">
        <v>2.55</v>
      </c>
      <c r="AS503" t="s">
        <v>6828</v>
      </c>
      <c r="AT503" t="s">
        <v>11187</v>
      </c>
      <c r="AU503" t="s">
        <v>11228</v>
      </c>
      <c r="AV503" t="s">
        <v>11231</v>
      </c>
      <c r="AW503" t="s">
        <v>11131</v>
      </c>
    </row>
    <row r="504" spans="1:49">
      <c r="A504" s="1">
        <f>HYPERLINK("https://lsnyc.legalserver.org/matter/dynamic-profile/view/1903921","19-1903921")</f>
        <v>0</v>
      </c>
      <c r="B504" t="s">
        <v>186</v>
      </c>
      <c r="C504" t="s">
        <v>711</v>
      </c>
      <c r="D504" t="s">
        <v>2027</v>
      </c>
      <c r="E504" t="s">
        <v>3561</v>
      </c>
      <c r="F504" t="s">
        <v>5098</v>
      </c>
      <c r="G504" t="s">
        <v>5658</v>
      </c>
      <c r="H504">
        <v>11416</v>
      </c>
      <c r="I504" t="s">
        <v>5695</v>
      </c>
      <c r="J504" t="s">
        <v>5696</v>
      </c>
      <c r="K504" t="s">
        <v>5870</v>
      </c>
      <c r="L504" t="s">
        <v>6712</v>
      </c>
      <c r="M504" t="s">
        <v>6732</v>
      </c>
      <c r="O504" t="s">
        <v>6750</v>
      </c>
      <c r="P504" t="s">
        <v>5697</v>
      </c>
      <c r="R504" t="s">
        <v>6793</v>
      </c>
      <c r="S504" t="s">
        <v>6801</v>
      </c>
      <c r="U504">
        <v>2110</v>
      </c>
      <c r="V504" t="s">
        <v>6837</v>
      </c>
      <c r="Y504" t="s">
        <v>7354</v>
      </c>
      <c r="AA504" t="s">
        <v>9468</v>
      </c>
      <c r="AB504">
        <v>3</v>
      </c>
      <c r="AC504" t="s">
        <v>10930</v>
      </c>
      <c r="AD504" t="s">
        <v>10944</v>
      </c>
      <c r="AE504">
        <v>2</v>
      </c>
      <c r="AF504">
        <v>1</v>
      </c>
      <c r="AG504">
        <v>3</v>
      </c>
      <c r="AH504">
        <v>84.01000000000001</v>
      </c>
      <c r="AK504" t="s">
        <v>10966</v>
      </c>
      <c r="AL504">
        <v>21632</v>
      </c>
      <c r="AR504">
        <v>0.9</v>
      </c>
      <c r="AS504" t="s">
        <v>6815</v>
      </c>
      <c r="AT504" t="s">
        <v>186</v>
      </c>
      <c r="AV504" t="s">
        <v>11231</v>
      </c>
      <c r="AW504" t="s">
        <v>6807</v>
      </c>
    </row>
    <row r="505" spans="1:49">
      <c r="A505" s="1">
        <f>HYPERLINK("https://lsnyc.legalserver.org/matter/dynamic-profile/view/1896736","19-1896736")</f>
        <v>0</v>
      </c>
      <c r="B505" t="s">
        <v>202</v>
      </c>
      <c r="C505" t="s">
        <v>686</v>
      </c>
      <c r="D505" t="s">
        <v>2028</v>
      </c>
      <c r="E505" t="s">
        <v>3562</v>
      </c>
      <c r="F505" t="s">
        <v>5162</v>
      </c>
      <c r="G505" t="s">
        <v>5635</v>
      </c>
      <c r="H505">
        <v>10470</v>
      </c>
      <c r="I505" t="s">
        <v>5695</v>
      </c>
      <c r="J505" t="s">
        <v>5695</v>
      </c>
      <c r="K505" t="s">
        <v>5871</v>
      </c>
      <c r="L505" t="s">
        <v>6712</v>
      </c>
      <c r="M505" t="s">
        <v>6732</v>
      </c>
      <c r="O505" t="s">
        <v>6747</v>
      </c>
      <c r="R505" t="s">
        <v>6793</v>
      </c>
      <c r="S505" t="s">
        <v>6801</v>
      </c>
      <c r="U505">
        <v>925</v>
      </c>
      <c r="V505" t="s">
        <v>6833</v>
      </c>
      <c r="W505" t="s">
        <v>6839</v>
      </c>
      <c r="Y505" t="s">
        <v>7355</v>
      </c>
      <c r="AA505" t="s">
        <v>9469</v>
      </c>
      <c r="AB505">
        <v>0</v>
      </c>
      <c r="AC505" t="s">
        <v>10929</v>
      </c>
      <c r="AD505" t="s">
        <v>5741</v>
      </c>
      <c r="AE505">
        <v>3</v>
      </c>
      <c r="AF505">
        <v>1</v>
      </c>
      <c r="AG505">
        <v>0</v>
      </c>
      <c r="AH505">
        <v>640.51</v>
      </c>
      <c r="AK505" t="s">
        <v>10966</v>
      </c>
      <c r="AL505">
        <v>80000</v>
      </c>
      <c r="AM505" t="s">
        <v>11034</v>
      </c>
      <c r="AR505">
        <v>12</v>
      </c>
      <c r="AS505" t="s">
        <v>10954</v>
      </c>
      <c r="AT505" t="s">
        <v>11216</v>
      </c>
      <c r="AV505" t="s">
        <v>11231</v>
      </c>
      <c r="AW505" t="s">
        <v>11232</v>
      </c>
    </row>
    <row r="506" spans="1:49">
      <c r="A506" s="1">
        <f>HYPERLINK("https://lsnyc.legalserver.org/matter/dynamic-profile/view/1901159","19-1901159")</f>
        <v>0</v>
      </c>
      <c r="B506" t="s">
        <v>103</v>
      </c>
      <c r="C506" t="s">
        <v>493</v>
      </c>
      <c r="D506" t="s">
        <v>1635</v>
      </c>
      <c r="E506" t="s">
        <v>3563</v>
      </c>
      <c r="F506">
        <v>1206</v>
      </c>
      <c r="G506" t="s">
        <v>5635</v>
      </c>
      <c r="H506">
        <v>10456</v>
      </c>
      <c r="I506" t="s">
        <v>5695</v>
      </c>
      <c r="J506" t="s">
        <v>5696</v>
      </c>
      <c r="K506" t="s">
        <v>5872</v>
      </c>
      <c r="L506" t="s">
        <v>6712</v>
      </c>
      <c r="M506" t="s">
        <v>6732</v>
      </c>
      <c r="O506" t="s">
        <v>6747</v>
      </c>
      <c r="P506" t="s">
        <v>5697</v>
      </c>
      <c r="R506" t="s">
        <v>6793</v>
      </c>
      <c r="S506" t="s">
        <v>6801</v>
      </c>
      <c r="U506">
        <v>1682</v>
      </c>
      <c r="V506" t="s">
        <v>6833</v>
      </c>
      <c r="W506" t="s">
        <v>6839</v>
      </c>
      <c r="Y506" t="s">
        <v>7356</v>
      </c>
      <c r="AB506">
        <v>120</v>
      </c>
      <c r="AC506" t="s">
        <v>10934</v>
      </c>
      <c r="AD506" t="s">
        <v>10944</v>
      </c>
      <c r="AE506">
        <v>1</v>
      </c>
      <c r="AF506">
        <v>1</v>
      </c>
      <c r="AG506">
        <v>0</v>
      </c>
      <c r="AH506">
        <v>74.75</v>
      </c>
      <c r="AK506" t="s">
        <v>10966</v>
      </c>
      <c r="AL506">
        <v>9336</v>
      </c>
      <c r="AM506" t="s">
        <v>11035</v>
      </c>
      <c r="AR506">
        <v>1.3</v>
      </c>
      <c r="AS506" t="s">
        <v>6823</v>
      </c>
      <c r="AT506" t="s">
        <v>11179</v>
      </c>
      <c r="AU506" t="s">
        <v>11228</v>
      </c>
      <c r="AV506" t="s">
        <v>11231</v>
      </c>
      <c r="AW506" t="s">
        <v>11143</v>
      </c>
    </row>
    <row r="507" spans="1:49">
      <c r="A507" s="1">
        <f>HYPERLINK("https://lsnyc.legalserver.org/matter/dynamic-profile/view/1905521","19-1905521")</f>
        <v>0</v>
      </c>
      <c r="B507" t="s">
        <v>192</v>
      </c>
      <c r="C507" t="s">
        <v>712</v>
      </c>
      <c r="D507" t="s">
        <v>2029</v>
      </c>
      <c r="E507" t="s">
        <v>3564</v>
      </c>
      <c r="F507" t="s">
        <v>5291</v>
      </c>
      <c r="G507" t="s">
        <v>5635</v>
      </c>
      <c r="H507">
        <v>10451</v>
      </c>
      <c r="I507" t="s">
        <v>5695</v>
      </c>
      <c r="J507" t="s">
        <v>5696</v>
      </c>
      <c r="K507" t="s">
        <v>5873</v>
      </c>
      <c r="L507" t="s">
        <v>6712</v>
      </c>
      <c r="M507" t="s">
        <v>6732</v>
      </c>
      <c r="O507" t="s">
        <v>6747</v>
      </c>
      <c r="P507" t="s">
        <v>5697</v>
      </c>
      <c r="R507" t="s">
        <v>6793</v>
      </c>
      <c r="S507" t="s">
        <v>6801</v>
      </c>
      <c r="U507">
        <v>1200</v>
      </c>
      <c r="V507" t="s">
        <v>6833</v>
      </c>
      <c r="W507" t="s">
        <v>6839</v>
      </c>
      <c r="Y507" t="s">
        <v>7357</v>
      </c>
      <c r="AB507">
        <v>0</v>
      </c>
      <c r="AC507" t="s">
        <v>10929</v>
      </c>
      <c r="AE507">
        <v>1</v>
      </c>
      <c r="AF507">
        <v>1</v>
      </c>
      <c r="AG507">
        <v>1</v>
      </c>
      <c r="AH507">
        <v>0</v>
      </c>
      <c r="AK507" t="s">
        <v>10966</v>
      </c>
      <c r="AL507">
        <v>0</v>
      </c>
      <c r="AR507">
        <v>0.4</v>
      </c>
      <c r="AS507" t="s">
        <v>6827</v>
      </c>
      <c r="AT507" t="s">
        <v>139</v>
      </c>
      <c r="AU507" t="s">
        <v>11228</v>
      </c>
      <c r="AV507" t="s">
        <v>11231</v>
      </c>
      <c r="AW507" t="s">
        <v>6819</v>
      </c>
    </row>
    <row r="508" spans="1:49">
      <c r="A508" s="1">
        <f>HYPERLINK("https://lsnyc.legalserver.org/matter/dynamic-profile/view/1900550","19-1900550")</f>
        <v>0</v>
      </c>
      <c r="B508" t="s">
        <v>202</v>
      </c>
      <c r="C508" t="s">
        <v>713</v>
      </c>
      <c r="D508" t="s">
        <v>2030</v>
      </c>
      <c r="E508" t="s">
        <v>3239</v>
      </c>
      <c r="F508" t="s">
        <v>5292</v>
      </c>
      <c r="G508" t="s">
        <v>5635</v>
      </c>
      <c r="H508">
        <v>10473</v>
      </c>
      <c r="I508" t="s">
        <v>5695</v>
      </c>
      <c r="J508" t="s">
        <v>5696</v>
      </c>
      <c r="K508" t="s">
        <v>5874</v>
      </c>
      <c r="L508" t="s">
        <v>6712</v>
      </c>
      <c r="M508" t="s">
        <v>6732</v>
      </c>
      <c r="O508" t="s">
        <v>6747</v>
      </c>
      <c r="P508" t="s">
        <v>5697</v>
      </c>
      <c r="R508" t="s">
        <v>6793</v>
      </c>
      <c r="U508">
        <v>59</v>
      </c>
      <c r="V508" t="s">
        <v>6833</v>
      </c>
      <c r="W508" t="s">
        <v>6839</v>
      </c>
      <c r="Y508" t="s">
        <v>7358</v>
      </c>
      <c r="AB508">
        <v>900</v>
      </c>
      <c r="AC508" t="s">
        <v>10929</v>
      </c>
      <c r="AD508" t="s">
        <v>5741</v>
      </c>
      <c r="AE508">
        <v>25</v>
      </c>
      <c r="AF508">
        <v>2</v>
      </c>
      <c r="AG508">
        <v>0</v>
      </c>
      <c r="AH508">
        <v>350.56</v>
      </c>
      <c r="AK508" t="s">
        <v>10966</v>
      </c>
      <c r="AL508">
        <v>59280</v>
      </c>
      <c r="AM508" t="s">
        <v>11036</v>
      </c>
      <c r="AR508">
        <v>5.1</v>
      </c>
      <c r="AS508" t="s">
        <v>6807</v>
      </c>
      <c r="AT508" t="s">
        <v>11179</v>
      </c>
      <c r="AU508" t="s">
        <v>11228</v>
      </c>
      <c r="AV508" t="s">
        <v>11231</v>
      </c>
      <c r="AW508" t="s">
        <v>11157</v>
      </c>
    </row>
    <row r="509" spans="1:49">
      <c r="A509" s="1">
        <f>HYPERLINK("https://lsnyc.legalserver.org/matter/dynamic-profile/view/1901362","19-1901362")</f>
        <v>0</v>
      </c>
      <c r="B509" t="s">
        <v>68</v>
      </c>
      <c r="C509" t="s">
        <v>714</v>
      </c>
      <c r="D509" t="s">
        <v>2031</v>
      </c>
      <c r="E509" t="s">
        <v>3565</v>
      </c>
      <c r="F509" t="s">
        <v>5143</v>
      </c>
      <c r="G509" t="s">
        <v>5637</v>
      </c>
      <c r="H509">
        <v>11213</v>
      </c>
      <c r="I509" t="s">
        <v>5696</v>
      </c>
      <c r="J509" t="s">
        <v>5696</v>
      </c>
      <c r="L509" t="s">
        <v>6712</v>
      </c>
      <c r="M509" t="s">
        <v>6732</v>
      </c>
      <c r="O509" t="s">
        <v>6754</v>
      </c>
      <c r="R509" t="s">
        <v>6793</v>
      </c>
      <c r="U509">
        <v>0</v>
      </c>
      <c r="V509" t="s">
        <v>6835</v>
      </c>
      <c r="Y509" t="s">
        <v>7359</v>
      </c>
      <c r="AB509">
        <v>0</v>
      </c>
      <c r="AC509" t="s">
        <v>10929</v>
      </c>
      <c r="AE509">
        <v>0</v>
      </c>
      <c r="AF509">
        <v>1</v>
      </c>
      <c r="AG509">
        <v>0</v>
      </c>
      <c r="AH509">
        <v>104.24</v>
      </c>
      <c r="AK509" t="s">
        <v>10966</v>
      </c>
      <c r="AL509">
        <v>13020</v>
      </c>
      <c r="AR509">
        <v>5</v>
      </c>
      <c r="AS509" t="s">
        <v>6808</v>
      </c>
      <c r="AT509" t="s">
        <v>85</v>
      </c>
      <c r="AV509" t="s">
        <v>11231</v>
      </c>
      <c r="AW509" t="s">
        <v>11148</v>
      </c>
    </row>
    <row r="510" spans="1:49">
      <c r="A510" s="1">
        <f>HYPERLINK("https://lsnyc.legalserver.org/matter/dynamic-profile/view/1900003","19-1900003")</f>
        <v>0</v>
      </c>
      <c r="B510" t="s">
        <v>203</v>
      </c>
      <c r="C510" t="s">
        <v>438</v>
      </c>
      <c r="D510" t="s">
        <v>710</v>
      </c>
      <c r="E510" t="s">
        <v>3566</v>
      </c>
      <c r="F510" t="s">
        <v>5293</v>
      </c>
      <c r="G510" t="s">
        <v>5635</v>
      </c>
      <c r="H510">
        <v>10460</v>
      </c>
      <c r="I510" t="s">
        <v>5696</v>
      </c>
      <c r="J510" t="s">
        <v>5696</v>
      </c>
      <c r="K510" t="s">
        <v>5869</v>
      </c>
      <c r="L510" t="s">
        <v>6712</v>
      </c>
      <c r="M510" t="s">
        <v>6732</v>
      </c>
      <c r="O510" t="s">
        <v>6747</v>
      </c>
      <c r="R510" t="s">
        <v>6793</v>
      </c>
      <c r="U510">
        <v>0</v>
      </c>
      <c r="V510" t="s">
        <v>6833</v>
      </c>
      <c r="W510" t="s">
        <v>6839</v>
      </c>
      <c r="Y510" t="s">
        <v>7353</v>
      </c>
      <c r="AB510">
        <v>0</v>
      </c>
      <c r="AE510">
        <v>0</v>
      </c>
      <c r="AF510">
        <v>1</v>
      </c>
      <c r="AG510">
        <v>0</v>
      </c>
      <c r="AH510">
        <v>75.42</v>
      </c>
      <c r="AK510" t="s">
        <v>10966</v>
      </c>
      <c r="AL510">
        <v>9420</v>
      </c>
      <c r="AR510">
        <v>0</v>
      </c>
      <c r="AT510" t="s">
        <v>11217</v>
      </c>
      <c r="AV510" t="s">
        <v>11231</v>
      </c>
      <c r="AW510" t="s">
        <v>10957</v>
      </c>
    </row>
    <row r="511" spans="1:49">
      <c r="A511" s="1">
        <f>HYPERLINK("https://lsnyc.legalserver.org/matter/dynamic-profile/view/1902944","19-1902944")</f>
        <v>0</v>
      </c>
      <c r="B511" t="s">
        <v>185</v>
      </c>
      <c r="C511" t="s">
        <v>407</v>
      </c>
      <c r="D511" t="s">
        <v>2032</v>
      </c>
      <c r="E511" t="s">
        <v>3567</v>
      </c>
      <c r="F511">
        <v>4</v>
      </c>
      <c r="G511" t="s">
        <v>5635</v>
      </c>
      <c r="H511">
        <v>10455</v>
      </c>
      <c r="I511" t="s">
        <v>5697</v>
      </c>
      <c r="J511" t="s">
        <v>5696</v>
      </c>
      <c r="K511" t="s">
        <v>5875</v>
      </c>
      <c r="L511" t="s">
        <v>6712</v>
      </c>
      <c r="M511" t="s">
        <v>6732</v>
      </c>
      <c r="O511" t="s">
        <v>6747</v>
      </c>
      <c r="R511" t="s">
        <v>6793</v>
      </c>
      <c r="U511">
        <v>0</v>
      </c>
      <c r="V511" t="s">
        <v>6833</v>
      </c>
      <c r="W511" t="s">
        <v>6839</v>
      </c>
      <c r="AB511">
        <v>0</v>
      </c>
      <c r="AE511">
        <v>0</v>
      </c>
      <c r="AF511">
        <v>2</v>
      </c>
      <c r="AG511">
        <v>0</v>
      </c>
      <c r="AH511">
        <v>0</v>
      </c>
      <c r="AK511" t="s">
        <v>10966</v>
      </c>
      <c r="AL511">
        <v>0</v>
      </c>
      <c r="AM511" t="s">
        <v>11027</v>
      </c>
      <c r="AR511">
        <v>0.5</v>
      </c>
      <c r="AS511" t="s">
        <v>11131</v>
      </c>
      <c r="AT511" t="s">
        <v>11179</v>
      </c>
      <c r="AV511" t="s">
        <v>11231</v>
      </c>
      <c r="AW511" t="s">
        <v>11131</v>
      </c>
    </row>
    <row r="512" spans="1:49">
      <c r="A512" s="1">
        <f>HYPERLINK("https://lsnyc.legalserver.org/matter/dynamic-profile/view/1904141","19-1904141")</f>
        <v>0</v>
      </c>
      <c r="B512" t="s">
        <v>85</v>
      </c>
      <c r="C512" t="s">
        <v>715</v>
      </c>
      <c r="D512" t="s">
        <v>2033</v>
      </c>
      <c r="E512" t="s">
        <v>3568</v>
      </c>
      <c r="F512" t="s">
        <v>5294</v>
      </c>
      <c r="G512" t="s">
        <v>5637</v>
      </c>
      <c r="H512">
        <v>11214</v>
      </c>
      <c r="I512" t="s">
        <v>5696</v>
      </c>
      <c r="J512" t="s">
        <v>5696</v>
      </c>
      <c r="L512" t="s">
        <v>6712</v>
      </c>
      <c r="M512" t="s">
        <v>6732</v>
      </c>
      <c r="O512" t="s">
        <v>6770</v>
      </c>
      <c r="P512" t="s">
        <v>5697</v>
      </c>
      <c r="R512" t="s">
        <v>6793</v>
      </c>
      <c r="U512">
        <v>0</v>
      </c>
      <c r="V512" t="s">
        <v>6835</v>
      </c>
      <c r="Y512" t="s">
        <v>7360</v>
      </c>
      <c r="AB512">
        <v>0</v>
      </c>
      <c r="AC512" t="s">
        <v>10930</v>
      </c>
      <c r="AD512" t="s">
        <v>5741</v>
      </c>
      <c r="AE512">
        <v>0</v>
      </c>
      <c r="AF512">
        <v>1</v>
      </c>
      <c r="AG512">
        <v>0</v>
      </c>
      <c r="AH512">
        <v>52.04</v>
      </c>
      <c r="AK512" t="s">
        <v>10969</v>
      </c>
      <c r="AL512">
        <v>6500</v>
      </c>
      <c r="AR512">
        <v>1.75</v>
      </c>
      <c r="AS512" t="s">
        <v>6817</v>
      </c>
      <c r="AT512" t="s">
        <v>85</v>
      </c>
      <c r="AV512" t="s">
        <v>11231</v>
      </c>
      <c r="AW512" t="s">
        <v>6817</v>
      </c>
    </row>
    <row r="513" spans="1:49">
      <c r="A513" s="1">
        <f>HYPERLINK("https://lsnyc.legalserver.org/matter/dynamic-profile/view/1904180","19-1904180")</f>
        <v>0</v>
      </c>
      <c r="B513" t="s">
        <v>68</v>
      </c>
      <c r="C513" t="s">
        <v>487</v>
      </c>
      <c r="D513" t="s">
        <v>2034</v>
      </c>
      <c r="E513" t="s">
        <v>3569</v>
      </c>
      <c r="F513">
        <v>2</v>
      </c>
      <c r="G513" t="s">
        <v>5637</v>
      </c>
      <c r="H513">
        <v>11208</v>
      </c>
      <c r="I513" t="s">
        <v>5695</v>
      </c>
      <c r="J513" t="s">
        <v>5696</v>
      </c>
      <c r="K513" t="s">
        <v>5876</v>
      </c>
      <c r="L513" t="s">
        <v>6712</v>
      </c>
      <c r="M513" t="s">
        <v>6732</v>
      </c>
      <c r="O513" t="s">
        <v>6754</v>
      </c>
      <c r="R513" t="s">
        <v>6796</v>
      </c>
      <c r="T513" t="s">
        <v>6818</v>
      </c>
      <c r="U513">
        <v>145</v>
      </c>
      <c r="V513" t="s">
        <v>6835</v>
      </c>
      <c r="W513" t="s">
        <v>6840</v>
      </c>
      <c r="Y513" t="s">
        <v>7361</v>
      </c>
      <c r="AB513">
        <v>2</v>
      </c>
      <c r="AC513" t="s">
        <v>10934</v>
      </c>
      <c r="AE513">
        <v>11</v>
      </c>
      <c r="AF513">
        <v>1</v>
      </c>
      <c r="AG513">
        <v>0</v>
      </c>
      <c r="AH513">
        <v>74.08</v>
      </c>
      <c r="AK513" t="s">
        <v>10967</v>
      </c>
      <c r="AL513">
        <v>9252</v>
      </c>
      <c r="AR513">
        <v>2</v>
      </c>
      <c r="AS513" t="s">
        <v>6808</v>
      </c>
      <c r="AT513" t="s">
        <v>11198</v>
      </c>
      <c r="AU513" t="s">
        <v>11228</v>
      </c>
      <c r="AV513" t="s">
        <v>11231</v>
      </c>
      <c r="AW513" t="s">
        <v>6818</v>
      </c>
    </row>
    <row r="514" spans="1:49">
      <c r="A514" s="1">
        <f>HYPERLINK("https://lsnyc.legalserver.org/matter/dynamic-profile/view/1901339","19-1901339")</f>
        <v>0</v>
      </c>
      <c r="B514" t="s">
        <v>204</v>
      </c>
      <c r="C514" t="s">
        <v>716</v>
      </c>
      <c r="D514" t="s">
        <v>2035</v>
      </c>
      <c r="E514" t="s">
        <v>3570</v>
      </c>
      <c r="G514" t="s">
        <v>5660</v>
      </c>
      <c r="H514">
        <v>11423</v>
      </c>
      <c r="I514" t="s">
        <v>5695</v>
      </c>
      <c r="J514" t="s">
        <v>5696</v>
      </c>
      <c r="K514" t="s">
        <v>5877</v>
      </c>
      <c r="L514" t="s">
        <v>6713</v>
      </c>
      <c r="M514" t="s">
        <v>6732</v>
      </c>
      <c r="O514" t="s">
        <v>6745</v>
      </c>
      <c r="P514" t="s">
        <v>5697</v>
      </c>
      <c r="R514" t="s">
        <v>6793</v>
      </c>
      <c r="T514" t="s">
        <v>6822</v>
      </c>
      <c r="U514">
        <v>700</v>
      </c>
      <c r="V514" t="s">
        <v>6837</v>
      </c>
      <c r="W514" t="s">
        <v>6840</v>
      </c>
      <c r="Y514" t="s">
        <v>7362</v>
      </c>
      <c r="Z514" t="s">
        <v>8940</v>
      </c>
      <c r="AA514" t="s">
        <v>9470</v>
      </c>
      <c r="AB514">
        <v>2</v>
      </c>
      <c r="AC514" t="s">
        <v>10930</v>
      </c>
      <c r="AD514" t="s">
        <v>5741</v>
      </c>
      <c r="AE514">
        <v>53</v>
      </c>
      <c r="AF514">
        <v>2</v>
      </c>
      <c r="AG514">
        <v>0</v>
      </c>
      <c r="AH514">
        <v>59.61</v>
      </c>
      <c r="AK514" t="s">
        <v>10966</v>
      </c>
      <c r="AL514">
        <v>10080</v>
      </c>
      <c r="AP514" t="s">
        <v>11098</v>
      </c>
      <c r="AQ514" t="s">
        <v>11099</v>
      </c>
      <c r="AR514">
        <v>0.6</v>
      </c>
      <c r="AS514" t="s">
        <v>11171</v>
      </c>
      <c r="AT514" t="s">
        <v>204</v>
      </c>
      <c r="AV514" t="s">
        <v>11231</v>
      </c>
      <c r="AW514" t="s">
        <v>11148</v>
      </c>
    </row>
    <row r="515" spans="1:49">
      <c r="A515" s="1">
        <f>HYPERLINK("https://lsnyc.legalserver.org/matter/dynamic-profile/view/1902243","19-1902243")</f>
        <v>0</v>
      </c>
      <c r="B515" t="s">
        <v>205</v>
      </c>
      <c r="C515" t="s">
        <v>717</v>
      </c>
      <c r="D515" t="s">
        <v>2036</v>
      </c>
      <c r="E515" t="s">
        <v>3571</v>
      </c>
      <c r="F515" t="s">
        <v>5295</v>
      </c>
      <c r="G515" t="s">
        <v>5637</v>
      </c>
      <c r="H515">
        <v>11234</v>
      </c>
      <c r="I515" t="s">
        <v>5695</v>
      </c>
      <c r="J515" t="s">
        <v>5696</v>
      </c>
      <c r="K515" t="s">
        <v>5878</v>
      </c>
      <c r="L515" t="s">
        <v>6713</v>
      </c>
      <c r="M515" t="s">
        <v>6732</v>
      </c>
      <c r="O515" t="s">
        <v>6746</v>
      </c>
      <c r="R515" t="s">
        <v>6795</v>
      </c>
      <c r="T515" t="s">
        <v>6811</v>
      </c>
      <c r="U515">
        <v>0</v>
      </c>
      <c r="V515" t="s">
        <v>6835</v>
      </c>
      <c r="W515" t="s">
        <v>6840</v>
      </c>
      <c r="Y515" t="s">
        <v>7363</v>
      </c>
      <c r="AA515" t="s">
        <v>9471</v>
      </c>
      <c r="AB515">
        <v>710</v>
      </c>
      <c r="AE515">
        <v>0</v>
      </c>
      <c r="AF515">
        <v>1</v>
      </c>
      <c r="AG515">
        <v>1</v>
      </c>
      <c r="AH515">
        <v>162.67</v>
      </c>
      <c r="AK515" t="s">
        <v>10966</v>
      </c>
      <c r="AL515">
        <v>27508</v>
      </c>
      <c r="AR515">
        <v>0.1</v>
      </c>
      <c r="AS515" t="s">
        <v>11137</v>
      </c>
      <c r="AT515" t="s">
        <v>11190</v>
      </c>
      <c r="AU515" t="s">
        <v>11228</v>
      </c>
      <c r="AV515" t="s">
        <v>11231</v>
      </c>
      <c r="AW515" t="s">
        <v>11163</v>
      </c>
    </row>
    <row r="516" spans="1:49">
      <c r="A516" s="1">
        <f>HYPERLINK("https://lsnyc.legalserver.org/matter/dynamic-profile/view/1897373","19-1897373")</f>
        <v>0</v>
      </c>
      <c r="B516" t="s">
        <v>187</v>
      </c>
      <c r="C516" t="s">
        <v>345</v>
      </c>
      <c r="D516" t="s">
        <v>2037</v>
      </c>
      <c r="E516" t="s">
        <v>3572</v>
      </c>
      <c r="F516" t="s">
        <v>5296</v>
      </c>
      <c r="G516" t="s">
        <v>5635</v>
      </c>
      <c r="H516">
        <v>10451</v>
      </c>
      <c r="I516" t="s">
        <v>5695</v>
      </c>
      <c r="J516" t="s">
        <v>5695</v>
      </c>
      <c r="K516" t="s">
        <v>5879</v>
      </c>
      <c r="L516" t="s">
        <v>6713</v>
      </c>
      <c r="M516" t="s">
        <v>6732</v>
      </c>
      <c r="O516" t="s">
        <v>6747</v>
      </c>
      <c r="P516" t="s">
        <v>5697</v>
      </c>
      <c r="R516" t="s">
        <v>6793</v>
      </c>
      <c r="U516">
        <v>891.87</v>
      </c>
      <c r="V516" t="s">
        <v>6833</v>
      </c>
      <c r="W516" t="s">
        <v>6843</v>
      </c>
      <c r="Y516" t="s">
        <v>7364</v>
      </c>
      <c r="AA516" t="s">
        <v>9472</v>
      </c>
      <c r="AB516">
        <v>84</v>
      </c>
      <c r="AC516" t="s">
        <v>10929</v>
      </c>
      <c r="AD516" t="s">
        <v>10949</v>
      </c>
      <c r="AE516">
        <v>25</v>
      </c>
      <c r="AF516">
        <v>1</v>
      </c>
      <c r="AG516">
        <v>2</v>
      </c>
      <c r="AH516">
        <v>19.58</v>
      </c>
      <c r="AK516" t="s">
        <v>10967</v>
      </c>
      <c r="AL516">
        <v>4176</v>
      </c>
      <c r="AM516" t="s">
        <v>11037</v>
      </c>
      <c r="AR516">
        <v>0</v>
      </c>
      <c r="AT516" t="s">
        <v>11176</v>
      </c>
      <c r="AU516" t="s">
        <v>11228</v>
      </c>
      <c r="AV516" t="s">
        <v>11231</v>
      </c>
      <c r="AW516" t="s">
        <v>11145</v>
      </c>
    </row>
    <row r="517" spans="1:49">
      <c r="A517" s="1">
        <f>HYPERLINK("https://lsnyc.legalserver.org/matter/dynamic-profile/view/1900831","19-1900831")</f>
        <v>0</v>
      </c>
      <c r="B517" t="s">
        <v>206</v>
      </c>
      <c r="C517" t="s">
        <v>718</v>
      </c>
      <c r="D517" t="s">
        <v>2038</v>
      </c>
      <c r="E517" t="s">
        <v>3573</v>
      </c>
      <c r="G517" t="s">
        <v>5638</v>
      </c>
      <c r="H517">
        <v>10025</v>
      </c>
      <c r="I517" t="s">
        <v>5695</v>
      </c>
      <c r="J517" t="s">
        <v>5696</v>
      </c>
      <c r="L517" t="s">
        <v>6723</v>
      </c>
      <c r="M517" t="s">
        <v>6732</v>
      </c>
      <c r="O517" t="s">
        <v>6761</v>
      </c>
      <c r="P517" t="s">
        <v>5697</v>
      </c>
      <c r="R517" t="s">
        <v>6795</v>
      </c>
      <c r="U517">
        <v>1100</v>
      </c>
      <c r="V517" t="s">
        <v>6836</v>
      </c>
      <c r="W517" t="s">
        <v>6845</v>
      </c>
      <c r="Y517" t="s">
        <v>7365</v>
      </c>
      <c r="AA517" t="s">
        <v>9473</v>
      </c>
      <c r="AB517">
        <v>0</v>
      </c>
      <c r="AC517" t="s">
        <v>10931</v>
      </c>
      <c r="AE517">
        <v>14</v>
      </c>
      <c r="AF517">
        <v>3</v>
      </c>
      <c r="AG517">
        <v>0</v>
      </c>
      <c r="AH517">
        <v>256.92</v>
      </c>
      <c r="AK517" t="s">
        <v>10978</v>
      </c>
      <c r="AL517">
        <v>54800</v>
      </c>
      <c r="AR517">
        <v>0</v>
      </c>
      <c r="AT517" t="s">
        <v>229</v>
      </c>
      <c r="AU517" t="s">
        <v>11228</v>
      </c>
      <c r="AV517" t="s">
        <v>11231</v>
      </c>
      <c r="AW517" t="s">
        <v>11160</v>
      </c>
    </row>
    <row r="518" spans="1:49">
      <c r="A518" s="1">
        <f>HYPERLINK("https://lsnyc.legalserver.org/matter/dynamic-profile/view/1904064","19-1904064")</f>
        <v>0</v>
      </c>
      <c r="B518" t="s">
        <v>59</v>
      </c>
      <c r="C518" t="s">
        <v>719</v>
      </c>
      <c r="D518" t="s">
        <v>2039</v>
      </c>
      <c r="E518" t="s">
        <v>3574</v>
      </c>
      <c r="G518" t="s">
        <v>5667</v>
      </c>
      <c r="H518">
        <v>11419</v>
      </c>
      <c r="I518" t="s">
        <v>5695</v>
      </c>
      <c r="J518" t="s">
        <v>5696</v>
      </c>
      <c r="K518" t="s">
        <v>5880</v>
      </c>
      <c r="L518" t="s">
        <v>6724</v>
      </c>
      <c r="M518" t="s">
        <v>6732</v>
      </c>
      <c r="O518" t="s">
        <v>6750</v>
      </c>
      <c r="P518" t="s">
        <v>5697</v>
      </c>
      <c r="R518" t="s">
        <v>6793</v>
      </c>
      <c r="S518" t="s">
        <v>6801</v>
      </c>
      <c r="T518" t="s">
        <v>6817</v>
      </c>
      <c r="U518">
        <v>0</v>
      </c>
      <c r="V518" t="s">
        <v>6837</v>
      </c>
      <c r="W518" t="s">
        <v>6840</v>
      </c>
      <c r="Y518" t="s">
        <v>7366</v>
      </c>
      <c r="AA518" t="s">
        <v>9474</v>
      </c>
      <c r="AB518">
        <v>1</v>
      </c>
      <c r="AC518" t="s">
        <v>10930</v>
      </c>
      <c r="AD518" t="s">
        <v>5741</v>
      </c>
      <c r="AE518">
        <v>19</v>
      </c>
      <c r="AF518">
        <v>1</v>
      </c>
      <c r="AG518">
        <v>0</v>
      </c>
      <c r="AH518">
        <v>70.14</v>
      </c>
      <c r="AK518" t="s">
        <v>10966</v>
      </c>
      <c r="AL518">
        <v>8760</v>
      </c>
      <c r="AR518">
        <v>0.6</v>
      </c>
      <c r="AS518" t="s">
        <v>6813</v>
      </c>
      <c r="AT518" t="s">
        <v>11182</v>
      </c>
      <c r="AU518" t="s">
        <v>11228</v>
      </c>
      <c r="AV518" t="s">
        <v>11231</v>
      </c>
      <c r="AW518" t="s">
        <v>6817</v>
      </c>
    </row>
    <row r="519" spans="1:49">
      <c r="A519" s="1">
        <f>HYPERLINK("https://lsnyc.legalserver.org/matter/dynamic-profile/view/1905250","19-1905250")</f>
        <v>0</v>
      </c>
      <c r="B519" t="s">
        <v>200</v>
      </c>
      <c r="C519" t="s">
        <v>330</v>
      </c>
      <c r="D519" t="s">
        <v>2040</v>
      </c>
      <c r="E519" t="s">
        <v>3575</v>
      </c>
      <c r="F519" t="s">
        <v>5161</v>
      </c>
      <c r="G519" t="s">
        <v>5646</v>
      </c>
      <c r="H519">
        <v>11367</v>
      </c>
      <c r="I519" t="s">
        <v>5695</v>
      </c>
      <c r="J519" t="s">
        <v>5696</v>
      </c>
      <c r="K519" t="s">
        <v>5881</v>
      </c>
      <c r="L519" t="s">
        <v>6724</v>
      </c>
      <c r="M519" t="s">
        <v>6732</v>
      </c>
      <c r="O519" t="s">
        <v>6750</v>
      </c>
      <c r="P519" t="s">
        <v>5695</v>
      </c>
      <c r="R519" t="s">
        <v>6793</v>
      </c>
      <c r="S519" t="s">
        <v>6801</v>
      </c>
      <c r="T519" t="s">
        <v>6808</v>
      </c>
      <c r="U519">
        <v>1100</v>
      </c>
      <c r="V519" t="s">
        <v>6837</v>
      </c>
      <c r="W519" t="s">
        <v>6841</v>
      </c>
      <c r="Y519" t="s">
        <v>7367</v>
      </c>
      <c r="AA519" t="s">
        <v>9475</v>
      </c>
      <c r="AB519">
        <v>4</v>
      </c>
      <c r="AC519" t="s">
        <v>8953</v>
      </c>
      <c r="AD519" t="s">
        <v>10949</v>
      </c>
      <c r="AE519">
        <v>1</v>
      </c>
      <c r="AF519">
        <v>1</v>
      </c>
      <c r="AG519">
        <v>0</v>
      </c>
      <c r="AH519">
        <v>83.97</v>
      </c>
      <c r="AK519" t="s">
        <v>10966</v>
      </c>
      <c r="AL519">
        <v>10488</v>
      </c>
      <c r="AR519">
        <v>1.75</v>
      </c>
      <c r="AS519" t="s">
        <v>6826</v>
      </c>
      <c r="AT519" t="s">
        <v>11184</v>
      </c>
      <c r="AU519" t="s">
        <v>11228</v>
      </c>
      <c r="AV519" t="s">
        <v>11231</v>
      </c>
      <c r="AW519" t="s">
        <v>6808</v>
      </c>
    </row>
    <row r="520" spans="1:49">
      <c r="A520" s="1">
        <f>HYPERLINK("https://lsnyc.legalserver.org/matter/dynamic-profile/view/1901009","19-1901009")</f>
        <v>0</v>
      </c>
      <c r="B520" t="s">
        <v>56</v>
      </c>
      <c r="C520" t="s">
        <v>350</v>
      </c>
      <c r="D520" t="s">
        <v>2041</v>
      </c>
      <c r="E520" t="s">
        <v>3576</v>
      </c>
      <c r="G520" t="s">
        <v>5636</v>
      </c>
      <c r="H520">
        <v>10308</v>
      </c>
      <c r="I520" t="s">
        <v>5696</v>
      </c>
      <c r="J520" t="s">
        <v>5696</v>
      </c>
      <c r="L520" t="s">
        <v>5740</v>
      </c>
      <c r="M520" t="s">
        <v>6732</v>
      </c>
      <c r="O520" t="s">
        <v>6753</v>
      </c>
      <c r="R520" t="s">
        <v>6793</v>
      </c>
      <c r="U520">
        <v>977</v>
      </c>
      <c r="V520" t="s">
        <v>6835</v>
      </c>
      <c r="Y520" t="s">
        <v>7368</v>
      </c>
      <c r="AA520" t="s">
        <v>9476</v>
      </c>
      <c r="AB520">
        <v>0</v>
      </c>
      <c r="AC520" t="s">
        <v>10932</v>
      </c>
      <c r="AD520" t="s">
        <v>5741</v>
      </c>
      <c r="AE520">
        <v>1</v>
      </c>
      <c r="AF520">
        <v>1</v>
      </c>
      <c r="AG520">
        <v>0</v>
      </c>
      <c r="AH520">
        <v>232.51</v>
      </c>
      <c r="AK520" t="s">
        <v>10966</v>
      </c>
      <c r="AL520">
        <v>29040</v>
      </c>
      <c r="AR520">
        <v>1.8</v>
      </c>
      <c r="AS520" t="s">
        <v>6818</v>
      </c>
      <c r="AT520" t="s">
        <v>11186</v>
      </c>
      <c r="AV520" t="s">
        <v>11231</v>
      </c>
      <c r="AW520" t="s">
        <v>11120</v>
      </c>
    </row>
    <row r="521" spans="1:49">
      <c r="A521" s="1">
        <f>HYPERLINK("https://lsnyc.legalserver.org/matter/dynamic-profile/view/1906347","19-1906347")</f>
        <v>0</v>
      </c>
      <c r="B521" t="s">
        <v>85</v>
      </c>
      <c r="C521" t="s">
        <v>720</v>
      </c>
      <c r="D521" t="s">
        <v>2042</v>
      </c>
      <c r="E521" t="s">
        <v>3577</v>
      </c>
      <c r="F521" t="s">
        <v>5240</v>
      </c>
      <c r="G521" t="s">
        <v>5637</v>
      </c>
      <c r="H521">
        <v>11233</v>
      </c>
      <c r="I521" t="s">
        <v>5696</v>
      </c>
      <c r="J521" t="s">
        <v>5696</v>
      </c>
      <c r="L521" t="s">
        <v>5740</v>
      </c>
      <c r="M521" t="s">
        <v>6732</v>
      </c>
      <c r="O521" t="s">
        <v>6754</v>
      </c>
      <c r="R521" t="s">
        <v>6795</v>
      </c>
      <c r="U521">
        <v>0</v>
      </c>
      <c r="V521" t="s">
        <v>6835</v>
      </c>
      <c r="Y521" t="s">
        <v>7369</v>
      </c>
      <c r="AA521" t="s">
        <v>9477</v>
      </c>
      <c r="AB521">
        <v>0</v>
      </c>
      <c r="AC521" t="s">
        <v>10929</v>
      </c>
      <c r="AE521">
        <v>0</v>
      </c>
      <c r="AF521">
        <v>1</v>
      </c>
      <c r="AG521">
        <v>0</v>
      </c>
      <c r="AH521">
        <v>144.12</v>
      </c>
      <c r="AK521" t="s">
        <v>10966</v>
      </c>
      <c r="AL521">
        <v>18000</v>
      </c>
      <c r="AR521">
        <v>0</v>
      </c>
      <c r="AT521" t="s">
        <v>85</v>
      </c>
      <c r="AV521" t="s">
        <v>11231</v>
      </c>
      <c r="AW521" t="s">
        <v>6827</v>
      </c>
    </row>
    <row r="522" spans="1:49">
      <c r="A522" s="1">
        <f>HYPERLINK("https://lsnyc.legalserver.org/matter/dynamic-profile/view/1903342","19-1903342")</f>
        <v>0</v>
      </c>
      <c r="B522" t="s">
        <v>92</v>
      </c>
      <c r="C522" t="s">
        <v>721</v>
      </c>
      <c r="D522" t="s">
        <v>2043</v>
      </c>
      <c r="E522" t="s">
        <v>3578</v>
      </c>
      <c r="F522" t="s">
        <v>5297</v>
      </c>
      <c r="G522" t="s">
        <v>5637</v>
      </c>
      <c r="H522">
        <v>11216</v>
      </c>
      <c r="I522" t="s">
        <v>5695</v>
      </c>
      <c r="J522" t="s">
        <v>5696</v>
      </c>
      <c r="L522" t="s">
        <v>5740</v>
      </c>
      <c r="M522" t="s">
        <v>6732</v>
      </c>
      <c r="O522" t="s">
        <v>6756</v>
      </c>
      <c r="R522" t="s">
        <v>6795</v>
      </c>
      <c r="U522">
        <v>700</v>
      </c>
      <c r="V522" t="s">
        <v>6835</v>
      </c>
      <c r="W522" t="s">
        <v>6838</v>
      </c>
      <c r="Y522" t="s">
        <v>7370</v>
      </c>
      <c r="AA522" t="s">
        <v>9478</v>
      </c>
      <c r="AB522">
        <v>0</v>
      </c>
      <c r="AE522">
        <v>27</v>
      </c>
      <c r="AF522">
        <v>1</v>
      </c>
      <c r="AG522">
        <v>0</v>
      </c>
      <c r="AH522">
        <v>0</v>
      </c>
      <c r="AK522" t="s">
        <v>10966</v>
      </c>
      <c r="AL522">
        <v>0</v>
      </c>
      <c r="AR522">
        <v>0.7</v>
      </c>
      <c r="AS522" t="s">
        <v>6821</v>
      </c>
      <c r="AT522" t="s">
        <v>11190</v>
      </c>
      <c r="AU522" t="s">
        <v>11228</v>
      </c>
      <c r="AV522" t="s">
        <v>11231</v>
      </c>
      <c r="AW522" t="s">
        <v>11139</v>
      </c>
    </row>
    <row r="523" spans="1:49">
      <c r="A523" s="1">
        <f>HYPERLINK("https://lsnyc.legalserver.org/matter/dynamic-profile/view/1898428","19-1898428")</f>
        <v>0</v>
      </c>
      <c r="B523" t="s">
        <v>75</v>
      </c>
      <c r="C523" t="s">
        <v>722</v>
      </c>
      <c r="D523" t="s">
        <v>2044</v>
      </c>
      <c r="E523" t="s">
        <v>3579</v>
      </c>
      <c r="F523" t="s">
        <v>5298</v>
      </c>
      <c r="G523" t="s">
        <v>5638</v>
      </c>
      <c r="H523">
        <v>10026</v>
      </c>
      <c r="I523" t="s">
        <v>5696</v>
      </c>
      <c r="J523" t="s">
        <v>5696</v>
      </c>
      <c r="L523" t="s">
        <v>5740</v>
      </c>
      <c r="M523" t="s">
        <v>6732</v>
      </c>
      <c r="O523" t="s">
        <v>6748</v>
      </c>
      <c r="P523" t="s">
        <v>5697</v>
      </c>
      <c r="R523" t="s">
        <v>6793</v>
      </c>
      <c r="U523">
        <v>665</v>
      </c>
      <c r="V523" t="s">
        <v>6836</v>
      </c>
      <c r="X523" t="s">
        <v>6857</v>
      </c>
      <c r="Y523" t="s">
        <v>7371</v>
      </c>
      <c r="AA523" t="s">
        <v>9479</v>
      </c>
      <c r="AB523">
        <v>60</v>
      </c>
      <c r="AC523" t="s">
        <v>10929</v>
      </c>
      <c r="AD523" t="s">
        <v>10945</v>
      </c>
      <c r="AE523">
        <v>27</v>
      </c>
      <c r="AF523">
        <v>1</v>
      </c>
      <c r="AG523">
        <v>0</v>
      </c>
      <c r="AH523">
        <v>144.12</v>
      </c>
      <c r="AK523" t="s">
        <v>10966</v>
      </c>
      <c r="AL523">
        <v>18000</v>
      </c>
      <c r="AR523">
        <v>4.86</v>
      </c>
      <c r="AS523" t="s">
        <v>11163</v>
      </c>
      <c r="AT523" t="s">
        <v>11189</v>
      </c>
      <c r="AV523" t="s">
        <v>11231</v>
      </c>
      <c r="AW523" t="s">
        <v>11141</v>
      </c>
    </row>
    <row r="524" spans="1:49">
      <c r="A524" s="1">
        <f>HYPERLINK("https://lsnyc.legalserver.org/matter/dynamic-profile/view/1904518","19-1904518")</f>
        <v>0</v>
      </c>
      <c r="B524" t="s">
        <v>136</v>
      </c>
      <c r="C524" t="s">
        <v>342</v>
      </c>
      <c r="D524" t="s">
        <v>2045</v>
      </c>
      <c r="E524" t="s">
        <v>3580</v>
      </c>
      <c r="F524">
        <v>19</v>
      </c>
      <c r="G524" t="s">
        <v>5637</v>
      </c>
      <c r="H524">
        <v>11208</v>
      </c>
      <c r="I524" t="s">
        <v>5696</v>
      </c>
      <c r="J524" t="s">
        <v>5696</v>
      </c>
      <c r="L524" t="s">
        <v>5740</v>
      </c>
      <c r="M524" t="s">
        <v>6732</v>
      </c>
      <c r="O524" t="s">
        <v>6771</v>
      </c>
      <c r="P524" t="s">
        <v>5695</v>
      </c>
      <c r="R524" t="s">
        <v>6793</v>
      </c>
      <c r="U524">
        <v>1558</v>
      </c>
      <c r="V524" t="s">
        <v>6835</v>
      </c>
      <c r="W524" t="s">
        <v>6841</v>
      </c>
      <c r="Y524" t="s">
        <v>7372</v>
      </c>
      <c r="AA524" t="s">
        <v>9480</v>
      </c>
      <c r="AB524">
        <v>25</v>
      </c>
      <c r="AC524" t="s">
        <v>8953</v>
      </c>
      <c r="AD524" t="s">
        <v>10948</v>
      </c>
      <c r="AE524">
        <v>0</v>
      </c>
      <c r="AF524">
        <v>1</v>
      </c>
      <c r="AG524">
        <v>0</v>
      </c>
      <c r="AH524">
        <v>39.14</v>
      </c>
      <c r="AK524" t="s">
        <v>10967</v>
      </c>
      <c r="AL524">
        <v>4888</v>
      </c>
      <c r="AR524">
        <v>5.65</v>
      </c>
      <c r="AS524" t="s">
        <v>6826</v>
      </c>
      <c r="AT524" t="s">
        <v>11189</v>
      </c>
      <c r="AV524" t="s">
        <v>11231</v>
      </c>
      <c r="AW524" t="s">
        <v>6810</v>
      </c>
    </row>
    <row r="525" spans="1:49">
      <c r="A525" s="1">
        <f>HYPERLINK("https://lsnyc.legalserver.org/matter/dynamic-profile/view/1895939","19-1895939")</f>
        <v>0</v>
      </c>
      <c r="B525" t="s">
        <v>197</v>
      </c>
      <c r="C525" t="s">
        <v>723</v>
      </c>
      <c r="D525" t="s">
        <v>2046</v>
      </c>
      <c r="E525" t="s">
        <v>3581</v>
      </c>
      <c r="F525">
        <v>26</v>
      </c>
      <c r="G525" t="s">
        <v>5638</v>
      </c>
      <c r="H525">
        <v>10027</v>
      </c>
      <c r="I525" t="s">
        <v>5696</v>
      </c>
      <c r="J525" t="s">
        <v>5696</v>
      </c>
      <c r="L525" t="s">
        <v>5740</v>
      </c>
      <c r="M525" t="s">
        <v>6732</v>
      </c>
      <c r="O525" t="s">
        <v>6748</v>
      </c>
      <c r="P525" t="s">
        <v>5697</v>
      </c>
      <c r="R525" t="s">
        <v>6793</v>
      </c>
      <c r="U525">
        <v>700</v>
      </c>
      <c r="V525" t="s">
        <v>6836</v>
      </c>
      <c r="W525" t="s">
        <v>6841</v>
      </c>
      <c r="Y525" t="s">
        <v>7373</v>
      </c>
      <c r="AA525" t="s">
        <v>9481</v>
      </c>
      <c r="AB525">
        <v>0</v>
      </c>
      <c r="AC525" t="s">
        <v>10933</v>
      </c>
      <c r="AD525" t="s">
        <v>5741</v>
      </c>
      <c r="AE525">
        <v>14</v>
      </c>
      <c r="AF525">
        <v>1</v>
      </c>
      <c r="AG525">
        <v>4</v>
      </c>
      <c r="AH525">
        <v>17.9</v>
      </c>
      <c r="AK525" t="s">
        <v>10966</v>
      </c>
      <c r="AL525">
        <v>5400</v>
      </c>
      <c r="AR525">
        <v>0.6</v>
      </c>
      <c r="AS525" t="s">
        <v>11165</v>
      </c>
      <c r="AT525" t="s">
        <v>11195</v>
      </c>
      <c r="AV525" t="s">
        <v>11231</v>
      </c>
      <c r="AW525" t="s">
        <v>11170</v>
      </c>
    </row>
    <row r="526" spans="1:49">
      <c r="A526" s="1">
        <f>HYPERLINK("https://lsnyc.legalserver.org/matter/dynamic-profile/view/1906283","19-1906283")</f>
        <v>0</v>
      </c>
      <c r="B526" t="s">
        <v>79</v>
      </c>
      <c r="C526" t="s">
        <v>479</v>
      </c>
      <c r="D526" t="s">
        <v>2047</v>
      </c>
      <c r="E526" t="s">
        <v>3582</v>
      </c>
      <c r="F526" t="s">
        <v>5128</v>
      </c>
      <c r="G526" t="s">
        <v>5646</v>
      </c>
      <c r="H526">
        <v>11354</v>
      </c>
      <c r="I526" t="s">
        <v>5696</v>
      </c>
      <c r="J526" t="s">
        <v>5696</v>
      </c>
      <c r="L526" t="s">
        <v>5740</v>
      </c>
      <c r="M526" t="s">
        <v>6732</v>
      </c>
      <c r="O526" t="s">
        <v>6748</v>
      </c>
      <c r="P526" t="s">
        <v>5697</v>
      </c>
      <c r="R526" t="s">
        <v>6793</v>
      </c>
      <c r="U526">
        <v>1060</v>
      </c>
      <c r="V526" t="s">
        <v>6837</v>
      </c>
      <c r="W526" t="s">
        <v>6844</v>
      </c>
      <c r="Y526" t="s">
        <v>7374</v>
      </c>
      <c r="AA526" t="s">
        <v>9482</v>
      </c>
      <c r="AB526">
        <v>82</v>
      </c>
      <c r="AC526" t="s">
        <v>10929</v>
      </c>
      <c r="AD526" t="s">
        <v>6841</v>
      </c>
      <c r="AE526">
        <v>48</v>
      </c>
      <c r="AF526">
        <v>1</v>
      </c>
      <c r="AG526">
        <v>0</v>
      </c>
      <c r="AH526">
        <v>77.63</v>
      </c>
      <c r="AK526" t="s">
        <v>10966</v>
      </c>
      <c r="AL526">
        <v>9696</v>
      </c>
      <c r="AR526">
        <v>0.5</v>
      </c>
      <c r="AS526" t="s">
        <v>6827</v>
      </c>
      <c r="AT526" t="s">
        <v>11189</v>
      </c>
      <c r="AV526" t="s">
        <v>11231</v>
      </c>
      <c r="AW526" t="s">
        <v>6827</v>
      </c>
    </row>
    <row r="527" spans="1:49">
      <c r="A527" s="1">
        <f>HYPERLINK("https://lsnyc.legalserver.org/matter/dynamic-profile/view/1905986","19-1905986")</f>
        <v>0</v>
      </c>
      <c r="B527" t="s">
        <v>54</v>
      </c>
      <c r="C527" t="s">
        <v>495</v>
      </c>
      <c r="D527" t="s">
        <v>1753</v>
      </c>
      <c r="E527" t="s">
        <v>3583</v>
      </c>
      <c r="F527">
        <v>3</v>
      </c>
      <c r="G527" t="s">
        <v>5636</v>
      </c>
      <c r="H527">
        <v>10301</v>
      </c>
      <c r="I527" t="s">
        <v>5696</v>
      </c>
      <c r="J527" t="s">
        <v>5696</v>
      </c>
      <c r="L527" t="s">
        <v>5740</v>
      </c>
      <c r="M527" t="s">
        <v>6732</v>
      </c>
      <c r="O527" t="s">
        <v>6748</v>
      </c>
      <c r="P527" t="s">
        <v>5697</v>
      </c>
      <c r="R527" t="s">
        <v>6793</v>
      </c>
      <c r="U527">
        <v>750</v>
      </c>
      <c r="V527" t="s">
        <v>6834</v>
      </c>
      <c r="W527" t="s">
        <v>6842</v>
      </c>
      <c r="Y527" t="s">
        <v>7375</v>
      </c>
      <c r="AA527" t="s">
        <v>9483</v>
      </c>
      <c r="AB527">
        <v>3</v>
      </c>
      <c r="AC527" t="s">
        <v>8953</v>
      </c>
      <c r="AD527" t="s">
        <v>5741</v>
      </c>
      <c r="AE527">
        <v>9</v>
      </c>
      <c r="AF527">
        <v>1</v>
      </c>
      <c r="AG527">
        <v>0</v>
      </c>
      <c r="AH527">
        <v>166.53</v>
      </c>
      <c r="AK527" t="s">
        <v>10967</v>
      </c>
      <c r="AL527">
        <v>20800</v>
      </c>
      <c r="AR527">
        <v>0.65</v>
      </c>
      <c r="AS527" t="s">
        <v>6827</v>
      </c>
      <c r="AT527" t="s">
        <v>11189</v>
      </c>
      <c r="AV527" t="s">
        <v>11231</v>
      </c>
      <c r="AW527" t="s">
        <v>6826</v>
      </c>
    </row>
    <row r="528" spans="1:49">
      <c r="A528" s="1">
        <f>HYPERLINK("https://lsnyc.legalserver.org/matter/dynamic-profile/view/1904449","19-1904449")</f>
        <v>0</v>
      </c>
      <c r="B528" t="s">
        <v>207</v>
      </c>
      <c r="C528" t="s">
        <v>724</v>
      </c>
      <c r="D528" t="s">
        <v>2048</v>
      </c>
      <c r="E528" t="s">
        <v>3584</v>
      </c>
      <c r="F528" t="s">
        <v>5139</v>
      </c>
      <c r="G528" t="s">
        <v>5635</v>
      </c>
      <c r="H528">
        <v>10452</v>
      </c>
      <c r="I528" t="s">
        <v>5695</v>
      </c>
      <c r="J528" t="s">
        <v>5696</v>
      </c>
      <c r="L528" t="s">
        <v>5740</v>
      </c>
      <c r="M528" t="s">
        <v>6732</v>
      </c>
      <c r="O528" t="s">
        <v>6745</v>
      </c>
      <c r="P528" t="s">
        <v>5697</v>
      </c>
      <c r="R528" t="s">
        <v>6793</v>
      </c>
      <c r="U528">
        <v>702.21</v>
      </c>
      <c r="V528" t="s">
        <v>6833</v>
      </c>
      <c r="Y528" t="s">
        <v>7376</v>
      </c>
      <c r="AA528" t="s">
        <v>9484</v>
      </c>
      <c r="AB528">
        <v>42</v>
      </c>
      <c r="AC528" t="s">
        <v>10930</v>
      </c>
      <c r="AD528" t="s">
        <v>5741</v>
      </c>
      <c r="AE528">
        <v>4</v>
      </c>
      <c r="AF528">
        <v>1</v>
      </c>
      <c r="AG528">
        <v>2</v>
      </c>
      <c r="AH528">
        <v>49.4</v>
      </c>
      <c r="AK528" t="s">
        <v>10967</v>
      </c>
      <c r="AL528">
        <v>10536</v>
      </c>
      <c r="AR528">
        <v>1.5</v>
      </c>
      <c r="AS528" t="s">
        <v>6827</v>
      </c>
      <c r="AT528" t="s">
        <v>11189</v>
      </c>
      <c r="AU528" t="s">
        <v>11228</v>
      </c>
      <c r="AV528" t="s">
        <v>11231</v>
      </c>
      <c r="AW528" t="s">
        <v>6815</v>
      </c>
    </row>
    <row r="529" spans="1:49">
      <c r="A529" s="1">
        <f>HYPERLINK("https://lsnyc.legalserver.org/matter/dynamic-profile/view/1904466","19-1904466")</f>
        <v>0</v>
      </c>
      <c r="B529" t="s">
        <v>205</v>
      </c>
      <c r="C529" t="s">
        <v>725</v>
      </c>
      <c r="D529" t="s">
        <v>2049</v>
      </c>
      <c r="E529" t="s">
        <v>3585</v>
      </c>
      <c r="F529" t="s">
        <v>5299</v>
      </c>
      <c r="G529" t="s">
        <v>5637</v>
      </c>
      <c r="H529">
        <v>11233</v>
      </c>
      <c r="I529" t="s">
        <v>5696</v>
      </c>
      <c r="J529" t="s">
        <v>5696</v>
      </c>
      <c r="L529" t="s">
        <v>5740</v>
      </c>
      <c r="M529" t="s">
        <v>6732</v>
      </c>
      <c r="O529" t="s">
        <v>6746</v>
      </c>
      <c r="R529" t="s">
        <v>6793</v>
      </c>
      <c r="U529">
        <v>0</v>
      </c>
      <c r="V529" t="s">
        <v>6835</v>
      </c>
      <c r="W529" t="s">
        <v>6843</v>
      </c>
      <c r="Y529" t="s">
        <v>7377</v>
      </c>
      <c r="AA529" t="s">
        <v>9485</v>
      </c>
      <c r="AB529">
        <v>0</v>
      </c>
      <c r="AD529" t="s">
        <v>10944</v>
      </c>
      <c r="AE529">
        <v>30</v>
      </c>
      <c r="AF529">
        <v>1</v>
      </c>
      <c r="AG529">
        <v>2</v>
      </c>
      <c r="AH529">
        <v>12.49</v>
      </c>
      <c r="AK529" t="s">
        <v>10966</v>
      </c>
      <c r="AL529">
        <v>2664</v>
      </c>
      <c r="AR529">
        <v>0.1</v>
      </c>
      <c r="AS529" t="s">
        <v>6814</v>
      </c>
      <c r="AT529" t="s">
        <v>11190</v>
      </c>
      <c r="AV529" t="s">
        <v>11231</v>
      </c>
      <c r="AW529" t="s">
        <v>6810</v>
      </c>
    </row>
    <row r="530" spans="1:49">
      <c r="A530" s="1">
        <f>HYPERLINK("https://lsnyc.legalserver.org/matter/dynamic-profile/view/1905677","19-1905677")</f>
        <v>0</v>
      </c>
      <c r="B530" t="s">
        <v>69</v>
      </c>
      <c r="C530" t="s">
        <v>726</v>
      </c>
      <c r="D530" t="s">
        <v>1680</v>
      </c>
      <c r="E530" t="s">
        <v>3586</v>
      </c>
      <c r="F530" t="s">
        <v>5116</v>
      </c>
      <c r="G530" t="s">
        <v>5637</v>
      </c>
      <c r="H530">
        <v>11212</v>
      </c>
      <c r="I530" t="s">
        <v>5696</v>
      </c>
      <c r="J530" t="s">
        <v>5696</v>
      </c>
      <c r="L530" t="s">
        <v>5740</v>
      </c>
      <c r="M530" t="s">
        <v>6732</v>
      </c>
      <c r="O530" t="s">
        <v>6753</v>
      </c>
      <c r="P530" t="s">
        <v>5697</v>
      </c>
      <c r="R530" t="s">
        <v>6793</v>
      </c>
      <c r="U530">
        <v>1100</v>
      </c>
      <c r="V530" t="s">
        <v>6835</v>
      </c>
      <c r="W530" t="s">
        <v>6844</v>
      </c>
      <c r="Y530" t="s">
        <v>7378</v>
      </c>
      <c r="AA530" t="s">
        <v>9486</v>
      </c>
      <c r="AB530">
        <v>4</v>
      </c>
      <c r="AC530" t="s">
        <v>8953</v>
      </c>
      <c r="AD530" t="s">
        <v>5741</v>
      </c>
      <c r="AE530">
        <v>13</v>
      </c>
      <c r="AF530">
        <v>2</v>
      </c>
      <c r="AG530">
        <v>1</v>
      </c>
      <c r="AH530">
        <v>227.61</v>
      </c>
      <c r="AK530" t="s">
        <v>10966</v>
      </c>
      <c r="AL530">
        <v>48550</v>
      </c>
      <c r="AR530">
        <v>0.75</v>
      </c>
      <c r="AS530" t="s">
        <v>6823</v>
      </c>
      <c r="AT530" t="s">
        <v>11195</v>
      </c>
      <c r="AV530" t="s">
        <v>11231</v>
      </c>
      <c r="AW530" t="s">
        <v>6823</v>
      </c>
    </row>
    <row r="531" spans="1:49">
      <c r="A531" s="1">
        <f>HYPERLINK("https://lsnyc.legalserver.org/matter/dynamic-profile/view/1903408","19-1903408")</f>
        <v>0</v>
      </c>
      <c r="B531" t="s">
        <v>158</v>
      </c>
      <c r="C531" t="s">
        <v>356</v>
      </c>
      <c r="D531" t="s">
        <v>2050</v>
      </c>
      <c r="E531" t="s">
        <v>3587</v>
      </c>
      <c r="F531" t="s">
        <v>5105</v>
      </c>
      <c r="G531" t="s">
        <v>5637</v>
      </c>
      <c r="H531">
        <v>11239</v>
      </c>
      <c r="I531" t="s">
        <v>5696</v>
      </c>
      <c r="J531" t="s">
        <v>5696</v>
      </c>
      <c r="L531" t="s">
        <v>5740</v>
      </c>
      <c r="M531" t="s">
        <v>6732</v>
      </c>
      <c r="O531" t="s">
        <v>6773</v>
      </c>
      <c r="P531" t="s">
        <v>5697</v>
      </c>
      <c r="R531" t="s">
        <v>6793</v>
      </c>
      <c r="U531">
        <v>400</v>
      </c>
      <c r="V531" t="s">
        <v>6835</v>
      </c>
      <c r="Y531" t="s">
        <v>7379</v>
      </c>
      <c r="AA531" t="s">
        <v>9487</v>
      </c>
      <c r="AB531">
        <v>136</v>
      </c>
      <c r="AC531" t="s">
        <v>10929</v>
      </c>
      <c r="AE531">
        <v>1</v>
      </c>
      <c r="AF531">
        <v>1</v>
      </c>
      <c r="AG531">
        <v>0</v>
      </c>
      <c r="AH531">
        <v>115.29</v>
      </c>
      <c r="AK531" t="s">
        <v>10966</v>
      </c>
      <c r="AL531">
        <v>14400</v>
      </c>
      <c r="AR531">
        <v>1.55</v>
      </c>
      <c r="AS531" t="s">
        <v>6810</v>
      </c>
      <c r="AT531" t="s">
        <v>11189</v>
      </c>
      <c r="AV531" t="s">
        <v>11231</v>
      </c>
      <c r="AW531" t="s">
        <v>11136</v>
      </c>
    </row>
    <row r="532" spans="1:49">
      <c r="A532" s="1">
        <f>HYPERLINK("https://lsnyc.legalserver.org/matter/dynamic-profile/view/1903317","19-1903317")</f>
        <v>0</v>
      </c>
      <c r="B532" t="s">
        <v>92</v>
      </c>
      <c r="C532" t="s">
        <v>321</v>
      </c>
      <c r="D532" t="s">
        <v>1251</v>
      </c>
      <c r="E532" t="s">
        <v>3588</v>
      </c>
      <c r="F532" t="s">
        <v>5300</v>
      </c>
      <c r="G532" t="s">
        <v>5637</v>
      </c>
      <c r="H532">
        <v>11207</v>
      </c>
      <c r="I532" t="s">
        <v>5696</v>
      </c>
      <c r="J532" t="s">
        <v>5696</v>
      </c>
      <c r="L532" t="s">
        <v>5740</v>
      </c>
      <c r="M532" t="s">
        <v>6732</v>
      </c>
      <c r="O532" t="s">
        <v>6756</v>
      </c>
      <c r="R532" t="s">
        <v>6795</v>
      </c>
      <c r="U532">
        <v>1500</v>
      </c>
      <c r="V532" t="s">
        <v>6835</v>
      </c>
      <c r="W532" t="s">
        <v>6838</v>
      </c>
      <c r="Y532" t="s">
        <v>7380</v>
      </c>
      <c r="AA532" t="s">
        <v>9488</v>
      </c>
      <c r="AB532">
        <v>0</v>
      </c>
      <c r="AE532">
        <v>4</v>
      </c>
      <c r="AF532">
        <v>1</v>
      </c>
      <c r="AG532">
        <v>2</v>
      </c>
      <c r="AH532">
        <v>68.13</v>
      </c>
      <c r="AK532" t="s">
        <v>10966</v>
      </c>
      <c r="AL532">
        <v>14532</v>
      </c>
      <c r="AR532">
        <v>1</v>
      </c>
      <c r="AS532" t="s">
        <v>11139</v>
      </c>
      <c r="AT532" t="s">
        <v>11190</v>
      </c>
      <c r="AV532" t="s">
        <v>11231</v>
      </c>
      <c r="AW532" t="s">
        <v>11139</v>
      </c>
    </row>
    <row r="533" spans="1:49">
      <c r="A533" s="1">
        <f>HYPERLINK("https://lsnyc.legalserver.org/matter/dynamic-profile/view/1905646","19-1905646")</f>
        <v>0</v>
      </c>
      <c r="B533" t="s">
        <v>208</v>
      </c>
      <c r="C533" t="s">
        <v>335</v>
      </c>
      <c r="D533" t="s">
        <v>1652</v>
      </c>
      <c r="E533" t="s">
        <v>3589</v>
      </c>
      <c r="F533" t="s">
        <v>5118</v>
      </c>
      <c r="G533" t="s">
        <v>5637</v>
      </c>
      <c r="H533">
        <v>11210</v>
      </c>
      <c r="I533" t="s">
        <v>5696</v>
      </c>
      <c r="J533" t="s">
        <v>5696</v>
      </c>
      <c r="L533" t="s">
        <v>5740</v>
      </c>
      <c r="M533" t="s">
        <v>6732</v>
      </c>
      <c r="O533" t="s">
        <v>6748</v>
      </c>
      <c r="P533" t="s">
        <v>5695</v>
      </c>
      <c r="R533" t="s">
        <v>6793</v>
      </c>
      <c r="U533">
        <v>0</v>
      </c>
      <c r="V533" t="s">
        <v>6835</v>
      </c>
      <c r="W533" t="s">
        <v>6844</v>
      </c>
      <c r="Y533" t="s">
        <v>7381</v>
      </c>
      <c r="AA533" t="s">
        <v>9489</v>
      </c>
      <c r="AB533">
        <v>36</v>
      </c>
      <c r="AC533" t="s">
        <v>8953</v>
      </c>
      <c r="AD533" t="s">
        <v>5741</v>
      </c>
      <c r="AE533">
        <v>4</v>
      </c>
      <c r="AF533">
        <v>1</v>
      </c>
      <c r="AG533">
        <v>0</v>
      </c>
      <c r="AH533">
        <v>0</v>
      </c>
      <c r="AK533" t="s">
        <v>10967</v>
      </c>
      <c r="AL533">
        <v>0</v>
      </c>
      <c r="AR533">
        <v>0.7</v>
      </c>
      <c r="AS533" t="s">
        <v>6820</v>
      </c>
      <c r="AT533" t="s">
        <v>11189</v>
      </c>
      <c r="AV533" t="s">
        <v>11231</v>
      </c>
      <c r="AW533" t="s">
        <v>6823</v>
      </c>
    </row>
    <row r="534" spans="1:49">
      <c r="A534" s="1">
        <f>HYPERLINK("https://lsnyc.legalserver.org/matter/dynamic-profile/view/1904815","19-1904815")</f>
        <v>0</v>
      </c>
      <c r="B534" t="s">
        <v>209</v>
      </c>
      <c r="C534" t="s">
        <v>727</v>
      </c>
      <c r="D534" t="s">
        <v>1676</v>
      </c>
      <c r="E534" t="s">
        <v>3590</v>
      </c>
      <c r="F534">
        <v>225</v>
      </c>
      <c r="G534" t="s">
        <v>5635</v>
      </c>
      <c r="H534">
        <v>10457</v>
      </c>
      <c r="I534" t="s">
        <v>5696</v>
      </c>
      <c r="J534" t="s">
        <v>5696</v>
      </c>
      <c r="L534" t="s">
        <v>5740</v>
      </c>
      <c r="M534" t="s">
        <v>6732</v>
      </c>
      <c r="O534" t="s">
        <v>6745</v>
      </c>
      <c r="P534" t="s">
        <v>5697</v>
      </c>
      <c r="R534" t="s">
        <v>6793</v>
      </c>
      <c r="U534">
        <v>222</v>
      </c>
      <c r="V534" t="s">
        <v>6833</v>
      </c>
      <c r="Y534" t="s">
        <v>7382</v>
      </c>
      <c r="AA534" t="s">
        <v>9490</v>
      </c>
      <c r="AB534">
        <v>75</v>
      </c>
      <c r="AC534" t="s">
        <v>10934</v>
      </c>
      <c r="AD534" t="s">
        <v>10944</v>
      </c>
      <c r="AE534">
        <v>40</v>
      </c>
      <c r="AF534">
        <v>2</v>
      </c>
      <c r="AG534">
        <v>0</v>
      </c>
      <c r="AH534">
        <v>51.8</v>
      </c>
      <c r="AK534" t="s">
        <v>10967</v>
      </c>
      <c r="AL534">
        <v>8760</v>
      </c>
      <c r="AR534">
        <v>1.75</v>
      </c>
      <c r="AS534" t="s">
        <v>6824</v>
      </c>
      <c r="AT534" t="s">
        <v>11189</v>
      </c>
      <c r="AV534" t="s">
        <v>11231</v>
      </c>
      <c r="AW534" t="s">
        <v>6816</v>
      </c>
    </row>
    <row r="535" spans="1:49">
      <c r="A535" s="1">
        <f>HYPERLINK("https://lsnyc.legalserver.org/matter/dynamic-profile/view/1905143","19-1905143")</f>
        <v>0</v>
      </c>
      <c r="B535" t="s">
        <v>95</v>
      </c>
      <c r="C535" t="s">
        <v>728</v>
      </c>
      <c r="D535" t="s">
        <v>2051</v>
      </c>
      <c r="E535" t="s">
        <v>3591</v>
      </c>
      <c r="F535" t="s">
        <v>5154</v>
      </c>
      <c r="G535" t="s">
        <v>5637</v>
      </c>
      <c r="H535">
        <v>11220</v>
      </c>
      <c r="I535" t="s">
        <v>5696</v>
      </c>
      <c r="J535" t="s">
        <v>5696</v>
      </c>
      <c r="L535" t="s">
        <v>5740</v>
      </c>
      <c r="M535" t="s">
        <v>6732</v>
      </c>
      <c r="O535" t="s">
        <v>6756</v>
      </c>
      <c r="R535" t="s">
        <v>6796</v>
      </c>
      <c r="U535">
        <v>193</v>
      </c>
      <c r="V535" t="s">
        <v>6835</v>
      </c>
      <c r="Y535" t="s">
        <v>7383</v>
      </c>
      <c r="AA535" t="s">
        <v>9491</v>
      </c>
      <c r="AB535">
        <v>36</v>
      </c>
      <c r="AC535" t="s">
        <v>10934</v>
      </c>
      <c r="AD535" t="s">
        <v>10944</v>
      </c>
      <c r="AE535">
        <v>20</v>
      </c>
      <c r="AF535">
        <v>2</v>
      </c>
      <c r="AG535">
        <v>0</v>
      </c>
      <c r="AH535">
        <v>59.82</v>
      </c>
      <c r="AK535" t="s">
        <v>10967</v>
      </c>
      <c r="AL535">
        <v>10116</v>
      </c>
      <c r="AR535">
        <v>1</v>
      </c>
      <c r="AS535" t="s">
        <v>6828</v>
      </c>
      <c r="AT535" t="s">
        <v>135</v>
      </c>
      <c r="AV535" t="s">
        <v>11231</v>
      </c>
      <c r="AW535" t="s">
        <v>6814</v>
      </c>
    </row>
    <row r="536" spans="1:49">
      <c r="A536" s="1">
        <f>HYPERLINK("https://lsnyc.legalserver.org/matter/dynamic-profile/view/1904557","19-1904557")</f>
        <v>0</v>
      </c>
      <c r="B536" t="s">
        <v>210</v>
      </c>
      <c r="C536" t="s">
        <v>729</v>
      </c>
      <c r="D536" t="s">
        <v>2052</v>
      </c>
      <c r="E536" t="s">
        <v>3592</v>
      </c>
      <c r="F536" t="s">
        <v>5233</v>
      </c>
      <c r="G536" t="s">
        <v>5636</v>
      </c>
      <c r="H536">
        <v>10301</v>
      </c>
      <c r="I536" t="s">
        <v>5696</v>
      </c>
      <c r="J536" t="s">
        <v>5696</v>
      </c>
      <c r="L536" t="s">
        <v>5740</v>
      </c>
      <c r="M536" t="s">
        <v>6732</v>
      </c>
      <c r="O536" t="s">
        <v>6748</v>
      </c>
      <c r="P536" t="s">
        <v>5695</v>
      </c>
      <c r="R536" t="s">
        <v>6793</v>
      </c>
      <c r="U536">
        <v>900</v>
      </c>
      <c r="V536" t="s">
        <v>6834</v>
      </c>
      <c r="Y536" t="s">
        <v>7384</v>
      </c>
      <c r="AA536" t="s">
        <v>9492</v>
      </c>
      <c r="AB536">
        <v>6</v>
      </c>
      <c r="AC536" t="s">
        <v>8953</v>
      </c>
      <c r="AD536" t="s">
        <v>5741</v>
      </c>
      <c r="AE536">
        <v>7</v>
      </c>
      <c r="AF536">
        <v>1</v>
      </c>
      <c r="AG536">
        <v>0</v>
      </c>
      <c r="AH536">
        <v>0</v>
      </c>
      <c r="AK536" t="s">
        <v>10966</v>
      </c>
      <c r="AL536">
        <v>0</v>
      </c>
      <c r="AR536">
        <v>0.75</v>
      </c>
      <c r="AS536" t="s">
        <v>6810</v>
      </c>
      <c r="AT536" t="s">
        <v>11189</v>
      </c>
      <c r="AV536" t="s">
        <v>11231</v>
      </c>
      <c r="AW536" t="s">
        <v>6810</v>
      </c>
    </row>
    <row r="537" spans="1:49">
      <c r="A537" s="1">
        <f>HYPERLINK("https://lsnyc.legalserver.org/matter/dynamic-profile/view/1905963","19-1905963")</f>
        <v>0</v>
      </c>
      <c r="B537" t="s">
        <v>211</v>
      </c>
      <c r="C537" t="s">
        <v>730</v>
      </c>
      <c r="D537" t="s">
        <v>1641</v>
      </c>
      <c r="E537" t="s">
        <v>3337</v>
      </c>
      <c r="F537" t="s">
        <v>5301</v>
      </c>
      <c r="G537" t="s">
        <v>5635</v>
      </c>
      <c r="H537">
        <v>10460</v>
      </c>
      <c r="I537" t="s">
        <v>5696</v>
      </c>
      <c r="J537" t="s">
        <v>5696</v>
      </c>
      <c r="L537" t="s">
        <v>5740</v>
      </c>
      <c r="M537" t="s">
        <v>6732</v>
      </c>
      <c r="O537" t="s">
        <v>6745</v>
      </c>
      <c r="P537" t="s">
        <v>5697</v>
      </c>
      <c r="R537" t="s">
        <v>6793</v>
      </c>
      <c r="U537">
        <v>1300</v>
      </c>
      <c r="V537" t="s">
        <v>6833</v>
      </c>
      <c r="W537" t="s">
        <v>6843</v>
      </c>
      <c r="Y537" t="s">
        <v>7385</v>
      </c>
      <c r="AA537" t="s">
        <v>9493</v>
      </c>
      <c r="AB537">
        <v>136</v>
      </c>
      <c r="AC537" t="s">
        <v>10941</v>
      </c>
      <c r="AD537" t="s">
        <v>10946</v>
      </c>
      <c r="AE537">
        <v>1</v>
      </c>
      <c r="AF537">
        <v>1</v>
      </c>
      <c r="AG537">
        <v>0</v>
      </c>
      <c r="AH537">
        <v>83.3</v>
      </c>
      <c r="AK537" t="s">
        <v>10966</v>
      </c>
      <c r="AL537">
        <v>10404</v>
      </c>
      <c r="AR537">
        <v>0.66</v>
      </c>
      <c r="AS537" t="s">
        <v>6826</v>
      </c>
      <c r="AT537" t="s">
        <v>11195</v>
      </c>
      <c r="AV537" t="s">
        <v>11231</v>
      </c>
      <c r="AW537" t="s">
        <v>6826</v>
      </c>
    </row>
    <row r="538" spans="1:49">
      <c r="A538" s="1">
        <f>HYPERLINK("https://lsnyc.legalserver.org/matter/dynamic-profile/view/1903832","19-1903832")</f>
        <v>0</v>
      </c>
      <c r="B538" t="s">
        <v>69</v>
      </c>
      <c r="C538" t="s">
        <v>660</v>
      </c>
      <c r="D538" t="s">
        <v>1655</v>
      </c>
      <c r="E538" t="s">
        <v>3593</v>
      </c>
      <c r="F538" t="s">
        <v>5109</v>
      </c>
      <c r="G538" t="s">
        <v>5637</v>
      </c>
      <c r="H538">
        <v>11208</v>
      </c>
      <c r="I538" t="s">
        <v>5697</v>
      </c>
      <c r="J538" t="s">
        <v>5696</v>
      </c>
      <c r="K538" t="s">
        <v>5741</v>
      </c>
      <c r="L538" t="s">
        <v>5740</v>
      </c>
      <c r="M538" t="s">
        <v>6732</v>
      </c>
      <c r="O538" t="s">
        <v>6745</v>
      </c>
      <c r="P538" t="s">
        <v>5697</v>
      </c>
      <c r="R538" t="s">
        <v>6793</v>
      </c>
      <c r="S538" t="s">
        <v>6801</v>
      </c>
      <c r="U538">
        <v>1820</v>
      </c>
      <c r="V538" t="s">
        <v>6835</v>
      </c>
      <c r="Y538" t="s">
        <v>7386</v>
      </c>
      <c r="Z538" t="s">
        <v>8941</v>
      </c>
      <c r="AA538" t="s">
        <v>9494</v>
      </c>
      <c r="AB538">
        <v>4</v>
      </c>
      <c r="AC538" t="s">
        <v>8953</v>
      </c>
      <c r="AD538" t="s">
        <v>5741</v>
      </c>
      <c r="AE538">
        <v>1</v>
      </c>
      <c r="AF538">
        <v>1</v>
      </c>
      <c r="AG538">
        <v>1</v>
      </c>
      <c r="AH538">
        <v>122.27</v>
      </c>
      <c r="AK538" t="s">
        <v>10966</v>
      </c>
      <c r="AL538">
        <v>20676</v>
      </c>
      <c r="AR538">
        <v>3</v>
      </c>
      <c r="AS538" t="s">
        <v>6828</v>
      </c>
      <c r="AT538" t="s">
        <v>11186</v>
      </c>
      <c r="AU538" t="s">
        <v>5741</v>
      </c>
      <c r="AV538" t="s">
        <v>11231</v>
      </c>
      <c r="AW538" t="s">
        <v>6807</v>
      </c>
    </row>
    <row r="539" spans="1:49">
      <c r="A539" s="1">
        <f>HYPERLINK("https://lsnyc.legalserver.org/matter/dynamic-profile/view/1900849","19-1900849")</f>
        <v>0</v>
      </c>
      <c r="B539" t="s">
        <v>142</v>
      </c>
      <c r="C539" t="s">
        <v>731</v>
      </c>
      <c r="D539" t="s">
        <v>1717</v>
      </c>
      <c r="E539" t="s">
        <v>3594</v>
      </c>
      <c r="F539" t="s">
        <v>5302</v>
      </c>
      <c r="G539" t="s">
        <v>5635</v>
      </c>
      <c r="H539">
        <v>10457</v>
      </c>
      <c r="I539" t="s">
        <v>5696</v>
      </c>
      <c r="J539" t="s">
        <v>5696</v>
      </c>
      <c r="L539" t="s">
        <v>5740</v>
      </c>
      <c r="M539" t="s">
        <v>6732</v>
      </c>
      <c r="O539" t="s">
        <v>6748</v>
      </c>
      <c r="P539" t="s">
        <v>5695</v>
      </c>
      <c r="R539" t="s">
        <v>6793</v>
      </c>
      <c r="U539">
        <v>1752</v>
      </c>
      <c r="V539" t="s">
        <v>6833</v>
      </c>
      <c r="W539" t="s">
        <v>6841</v>
      </c>
      <c r="Y539" t="s">
        <v>7387</v>
      </c>
      <c r="AA539" t="s">
        <v>9495</v>
      </c>
      <c r="AB539">
        <v>0</v>
      </c>
      <c r="AC539" t="s">
        <v>8953</v>
      </c>
      <c r="AD539" t="s">
        <v>6841</v>
      </c>
      <c r="AE539">
        <v>22</v>
      </c>
      <c r="AF539">
        <v>2</v>
      </c>
      <c r="AG539">
        <v>0</v>
      </c>
      <c r="AH539">
        <v>35.48</v>
      </c>
      <c r="AK539" t="s">
        <v>10967</v>
      </c>
      <c r="AL539">
        <v>6000</v>
      </c>
      <c r="AR539">
        <v>0.66</v>
      </c>
      <c r="AS539" t="s">
        <v>11157</v>
      </c>
      <c r="AT539" t="s">
        <v>11195</v>
      </c>
      <c r="AV539" t="s">
        <v>11231</v>
      </c>
      <c r="AW539" t="s">
        <v>11157</v>
      </c>
    </row>
    <row r="540" spans="1:49">
      <c r="A540" s="1">
        <f>HYPERLINK("https://lsnyc.legalserver.org/matter/dynamic-profile/view/1904553","19-1904553")</f>
        <v>0</v>
      </c>
      <c r="B540" t="s">
        <v>84</v>
      </c>
      <c r="C540" t="s">
        <v>732</v>
      </c>
      <c r="D540" t="s">
        <v>2053</v>
      </c>
      <c r="E540" t="s">
        <v>3595</v>
      </c>
      <c r="F540">
        <v>1</v>
      </c>
      <c r="G540" t="s">
        <v>5637</v>
      </c>
      <c r="H540">
        <v>11207</v>
      </c>
      <c r="I540" t="s">
        <v>5695</v>
      </c>
      <c r="J540" t="s">
        <v>5696</v>
      </c>
      <c r="K540" t="s">
        <v>5773</v>
      </c>
      <c r="L540" t="s">
        <v>5740</v>
      </c>
      <c r="M540" t="s">
        <v>6732</v>
      </c>
      <c r="O540" t="s">
        <v>6756</v>
      </c>
      <c r="P540" t="s">
        <v>5697</v>
      </c>
      <c r="R540" t="s">
        <v>6793</v>
      </c>
      <c r="S540" t="s">
        <v>6801</v>
      </c>
      <c r="T540" t="s">
        <v>6813</v>
      </c>
      <c r="U540">
        <v>1500</v>
      </c>
      <c r="V540" t="s">
        <v>6835</v>
      </c>
      <c r="W540" t="s">
        <v>6838</v>
      </c>
      <c r="Y540" t="s">
        <v>7388</v>
      </c>
      <c r="AA540" t="s">
        <v>9496</v>
      </c>
      <c r="AB540">
        <v>3</v>
      </c>
      <c r="AC540" t="s">
        <v>10939</v>
      </c>
      <c r="AE540">
        <v>12</v>
      </c>
      <c r="AF540">
        <v>2</v>
      </c>
      <c r="AG540">
        <v>0</v>
      </c>
      <c r="AH540">
        <v>405.91</v>
      </c>
      <c r="AK540" t="s">
        <v>10966</v>
      </c>
      <c r="AL540">
        <v>68640</v>
      </c>
      <c r="AR540">
        <v>0.75</v>
      </c>
      <c r="AS540" t="s">
        <v>6813</v>
      </c>
      <c r="AT540" t="s">
        <v>84</v>
      </c>
      <c r="AV540" t="s">
        <v>11231</v>
      </c>
      <c r="AW540" t="s">
        <v>6810</v>
      </c>
    </row>
    <row r="541" spans="1:49">
      <c r="A541" s="1">
        <f>HYPERLINK("https://lsnyc.legalserver.org/matter/dynamic-profile/view/1902227","19-1902227")</f>
        <v>0</v>
      </c>
      <c r="B541" t="s">
        <v>85</v>
      </c>
      <c r="C541" t="s">
        <v>733</v>
      </c>
      <c r="D541" t="s">
        <v>2054</v>
      </c>
      <c r="E541" t="s">
        <v>3596</v>
      </c>
      <c r="F541" t="s">
        <v>5303</v>
      </c>
      <c r="G541" t="s">
        <v>5637</v>
      </c>
      <c r="H541">
        <v>11219</v>
      </c>
      <c r="I541" t="s">
        <v>5696</v>
      </c>
      <c r="J541" t="s">
        <v>5696</v>
      </c>
      <c r="L541" t="s">
        <v>5740</v>
      </c>
      <c r="M541" t="s">
        <v>6732</v>
      </c>
      <c r="O541" t="s">
        <v>6754</v>
      </c>
      <c r="R541" t="s">
        <v>6795</v>
      </c>
      <c r="U541">
        <v>0</v>
      </c>
      <c r="V541" t="s">
        <v>6835</v>
      </c>
      <c r="Y541" t="s">
        <v>7389</v>
      </c>
      <c r="AA541" t="s">
        <v>9497</v>
      </c>
      <c r="AB541">
        <v>0</v>
      </c>
      <c r="AE541">
        <v>0</v>
      </c>
      <c r="AF541">
        <v>3</v>
      </c>
      <c r="AG541">
        <v>3</v>
      </c>
      <c r="AH541">
        <v>31.4</v>
      </c>
      <c r="AK541" t="s">
        <v>10972</v>
      </c>
      <c r="AL541">
        <v>10860</v>
      </c>
      <c r="AR541">
        <v>1.5</v>
      </c>
      <c r="AS541" t="s">
        <v>11163</v>
      </c>
      <c r="AT541" t="s">
        <v>85</v>
      </c>
      <c r="AV541" t="s">
        <v>11231</v>
      </c>
      <c r="AW541" t="s">
        <v>11163</v>
      </c>
    </row>
    <row r="542" spans="1:49">
      <c r="A542" s="1">
        <f>HYPERLINK("https://lsnyc.legalserver.org/matter/dynamic-profile/view/1901065","19-1901065")</f>
        <v>0</v>
      </c>
      <c r="B542" t="s">
        <v>85</v>
      </c>
      <c r="C542" t="s">
        <v>734</v>
      </c>
      <c r="D542" t="s">
        <v>2055</v>
      </c>
      <c r="E542" t="s">
        <v>3597</v>
      </c>
      <c r="F542" t="s">
        <v>5304</v>
      </c>
      <c r="G542" t="s">
        <v>5637</v>
      </c>
      <c r="H542">
        <v>11235</v>
      </c>
      <c r="I542" t="s">
        <v>5696</v>
      </c>
      <c r="J542" t="s">
        <v>5696</v>
      </c>
      <c r="L542" t="s">
        <v>5740</v>
      </c>
      <c r="M542" t="s">
        <v>6732</v>
      </c>
      <c r="O542" t="s">
        <v>6754</v>
      </c>
      <c r="R542" t="s">
        <v>6795</v>
      </c>
      <c r="U542">
        <v>0</v>
      </c>
      <c r="V542" t="s">
        <v>6835</v>
      </c>
      <c r="Y542" t="s">
        <v>7390</v>
      </c>
      <c r="AA542" t="s">
        <v>9498</v>
      </c>
      <c r="AB542">
        <v>0</v>
      </c>
      <c r="AE542">
        <v>0</v>
      </c>
      <c r="AF542">
        <v>2</v>
      </c>
      <c r="AG542">
        <v>0</v>
      </c>
      <c r="AH542">
        <v>121.77</v>
      </c>
      <c r="AK542" t="s">
        <v>10969</v>
      </c>
      <c r="AL542">
        <v>20592</v>
      </c>
      <c r="AR542">
        <v>5</v>
      </c>
      <c r="AS542" t="s">
        <v>11144</v>
      </c>
      <c r="AT542" t="s">
        <v>85</v>
      </c>
      <c r="AV542" t="s">
        <v>11231</v>
      </c>
      <c r="AW542" t="s">
        <v>11127</v>
      </c>
    </row>
    <row r="543" spans="1:49">
      <c r="A543" s="1">
        <f>HYPERLINK("https://lsnyc.legalserver.org/matter/dynamic-profile/view/1901665","19-1901665")</f>
        <v>0</v>
      </c>
      <c r="B543" t="s">
        <v>85</v>
      </c>
      <c r="C543" t="s">
        <v>735</v>
      </c>
      <c r="D543" t="s">
        <v>2056</v>
      </c>
      <c r="E543" t="s">
        <v>3598</v>
      </c>
      <c r="F543" t="s">
        <v>5305</v>
      </c>
      <c r="G543" t="s">
        <v>5637</v>
      </c>
      <c r="H543">
        <v>11235</v>
      </c>
      <c r="I543" t="s">
        <v>5696</v>
      </c>
      <c r="J543" t="s">
        <v>5696</v>
      </c>
      <c r="L543" t="s">
        <v>5740</v>
      </c>
      <c r="M543" t="s">
        <v>6732</v>
      </c>
      <c r="O543" t="s">
        <v>6754</v>
      </c>
      <c r="R543" t="s">
        <v>6795</v>
      </c>
      <c r="U543">
        <v>0</v>
      </c>
      <c r="V543" t="s">
        <v>6835</v>
      </c>
      <c r="Y543" t="s">
        <v>7391</v>
      </c>
      <c r="AA543" t="s">
        <v>9499</v>
      </c>
      <c r="AB543">
        <v>0</v>
      </c>
      <c r="AC543" t="s">
        <v>10929</v>
      </c>
      <c r="AE543">
        <v>0</v>
      </c>
      <c r="AF543">
        <v>1</v>
      </c>
      <c r="AG543">
        <v>0</v>
      </c>
      <c r="AH543">
        <v>82.43000000000001</v>
      </c>
      <c r="AK543" t="s">
        <v>10969</v>
      </c>
      <c r="AL543">
        <v>10296</v>
      </c>
      <c r="AR543">
        <v>2.75</v>
      </c>
      <c r="AS543" t="s">
        <v>10953</v>
      </c>
      <c r="AT543" t="s">
        <v>85</v>
      </c>
      <c r="AV543" t="s">
        <v>11231</v>
      </c>
      <c r="AW543" t="s">
        <v>11124</v>
      </c>
    </row>
    <row r="544" spans="1:49">
      <c r="A544" s="1">
        <f>HYPERLINK("https://lsnyc.legalserver.org/matter/dynamic-profile/view/1904836","19-1904836")</f>
        <v>0</v>
      </c>
      <c r="B544" t="s">
        <v>132</v>
      </c>
      <c r="C544" t="s">
        <v>736</v>
      </c>
      <c r="D544" t="s">
        <v>2057</v>
      </c>
      <c r="E544" t="s">
        <v>3599</v>
      </c>
      <c r="F544" t="s">
        <v>5306</v>
      </c>
      <c r="G544" t="s">
        <v>5637</v>
      </c>
      <c r="H544">
        <v>11208</v>
      </c>
      <c r="I544" t="s">
        <v>5696</v>
      </c>
      <c r="J544" t="s">
        <v>5696</v>
      </c>
      <c r="L544" t="s">
        <v>5740</v>
      </c>
      <c r="M544" t="s">
        <v>6732</v>
      </c>
      <c r="O544" t="s">
        <v>6773</v>
      </c>
      <c r="R544" t="s">
        <v>6793</v>
      </c>
      <c r="U544">
        <v>0</v>
      </c>
      <c r="V544" t="s">
        <v>6835</v>
      </c>
      <c r="W544" t="s">
        <v>6844</v>
      </c>
      <c r="Y544" t="s">
        <v>7392</v>
      </c>
      <c r="AA544" t="s">
        <v>9500</v>
      </c>
      <c r="AB544">
        <v>26</v>
      </c>
      <c r="AC544" t="s">
        <v>10929</v>
      </c>
      <c r="AD544" t="s">
        <v>10948</v>
      </c>
      <c r="AE544">
        <v>6</v>
      </c>
      <c r="AF544">
        <v>2</v>
      </c>
      <c r="AG544">
        <v>0</v>
      </c>
      <c r="AH544">
        <v>28.91</v>
      </c>
      <c r="AK544" t="s">
        <v>10967</v>
      </c>
      <c r="AL544">
        <v>4888</v>
      </c>
      <c r="AR544">
        <v>3.75</v>
      </c>
      <c r="AS544" t="s">
        <v>6824</v>
      </c>
      <c r="AT544" t="s">
        <v>11189</v>
      </c>
      <c r="AV544" t="s">
        <v>11231</v>
      </c>
      <c r="AW544" t="s">
        <v>6816</v>
      </c>
    </row>
    <row r="545" spans="1:49">
      <c r="A545" s="1">
        <f>HYPERLINK("https://lsnyc.legalserver.org/matter/dynamic-profile/view/1904671","19-1904671")</f>
        <v>0</v>
      </c>
      <c r="B545" t="s">
        <v>212</v>
      </c>
      <c r="C545" t="s">
        <v>737</v>
      </c>
      <c r="D545" t="s">
        <v>1762</v>
      </c>
      <c r="E545" t="s">
        <v>3600</v>
      </c>
      <c r="F545" t="s">
        <v>5307</v>
      </c>
      <c r="G545" t="s">
        <v>5638</v>
      </c>
      <c r="H545">
        <v>10016</v>
      </c>
      <c r="I545" t="s">
        <v>5695</v>
      </c>
      <c r="J545" t="s">
        <v>5696</v>
      </c>
      <c r="L545" t="s">
        <v>5740</v>
      </c>
      <c r="M545" t="s">
        <v>6732</v>
      </c>
      <c r="O545" t="s">
        <v>6759</v>
      </c>
      <c r="R545" t="s">
        <v>6794</v>
      </c>
      <c r="T545" t="s">
        <v>6809</v>
      </c>
      <c r="U545">
        <v>215</v>
      </c>
      <c r="V545" t="s">
        <v>6836</v>
      </c>
      <c r="W545" t="s">
        <v>6841</v>
      </c>
      <c r="Y545" t="s">
        <v>7393</v>
      </c>
      <c r="Z545" t="s">
        <v>8942</v>
      </c>
      <c r="AA545" t="s">
        <v>9501</v>
      </c>
      <c r="AB545">
        <v>0</v>
      </c>
      <c r="AC545" t="s">
        <v>10931</v>
      </c>
      <c r="AD545" t="s">
        <v>5741</v>
      </c>
      <c r="AE545">
        <v>29</v>
      </c>
      <c r="AF545">
        <v>1</v>
      </c>
      <c r="AG545">
        <v>0</v>
      </c>
      <c r="AH545">
        <v>20.4</v>
      </c>
      <c r="AK545" t="s">
        <v>10966</v>
      </c>
      <c r="AL545">
        <v>2548</v>
      </c>
      <c r="AR545">
        <v>0.5</v>
      </c>
      <c r="AS545" t="s">
        <v>6809</v>
      </c>
      <c r="AT545" t="s">
        <v>11218</v>
      </c>
      <c r="AU545" t="s">
        <v>11229</v>
      </c>
      <c r="AV545" t="s">
        <v>11231</v>
      </c>
      <c r="AW545" t="s">
        <v>6809</v>
      </c>
    </row>
    <row r="546" spans="1:49">
      <c r="A546" s="1">
        <f>HYPERLINK("https://lsnyc.legalserver.org/matter/dynamic-profile/view/1902337","19-1902337")</f>
        <v>0</v>
      </c>
      <c r="B546" t="s">
        <v>98</v>
      </c>
      <c r="C546" t="s">
        <v>419</v>
      </c>
      <c r="D546" t="s">
        <v>2058</v>
      </c>
      <c r="E546" t="s">
        <v>3601</v>
      </c>
      <c r="F546" t="s">
        <v>5308</v>
      </c>
      <c r="G546" t="s">
        <v>5638</v>
      </c>
      <c r="H546">
        <v>10027</v>
      </c>
      <c r="I546" t="s">
        <v>5696</v>
      </c>
      <c r="J546" t="s">
        <v>5696</v>
      </c>
      <c r="L546" t="s">
        <v>5740</v>
      </c>
      <c r="M546" t="s">
        <v>6732</v>
      </c>
      <c r="O546" t="s">
        <v>6761</v>
      </c>
      <c r="R546" t="s">
        <v>6793</v>
      </c>
      <c r="U546">
        <v>478.68</v>
      </c>
      <c r="V546" t="s">
        <v>6836</v>
      </c>
      <c r="Y546" t="s">
        <v>7394</v>
      </c>
      <c r="AA546" t="s">
        <v>9502</v>
      </c>
      <c r="AB546">
        <v>0</v>
      </c>
      <c r="AE546">
        <v>25</v>
      </c>
      <c r="AF546">
        <v>1</v>
      </c>
      <c r="AG546">
        <v>0</v>
      </c>
      <c r="AH546">
        <v>83.68000000000001</v>
      </c>
      <c r="AK546" t="s">
        <v>10966</v>
      </c>
      <c r="AL546">
        <v>10452</v>
      </c>
      <c r="AR546">
        <v>0.5</v>
      </c>
      <c r="AS546" t="s">
        <v>11139</v>
      </c>
      <c r="AT546" t="s">
        <v>11194</v>
      </c>
      <c r="AV546" t="s">
        <v>11231</v>
      </c>
      <c r="AW546" t="s">
        <v>11163</v>
      </c>
    </row>
    <row r="547" spans="1:49">
      <c r="A547" s="1">
        <f>HYPERLINK("https://lsnyc.legalserver.org/matter/dynamic-profile/view/1905766","19-1905766")</f>
        <v>0</v>
      </c>
      <c r="B547" t="s">
        <v>50</v>
      </c>
      <c r="C547" t="s">
        <v>738</v>
      </c>
      <c r="D547" t="s">
        <v>1757</v>
      </c>
      <c r="E547" t="s">
        <v>3497</v>
      </c>
      <c r="F547" t="s">
        <v>5309</v>
      </c>
      <c r="G547" t="s">
        <v>5635</v>
      </c>
      <c r="H547">
        <v>10457</v>
      </c>
      <c r="I547" t="s">
        <v>5696</v>
      </c>
      <c r="J547" t="s">
        <v>5696</v>
      </c>
      <c r="L547" t="s">
        <v>5740</v>
      </c>
      <c r="M547" t="s">
        <v>6732</v>
      </c>
      <c r="O547" t="s">
        <v>6745</v>
      </c>
      <c r="P547" t="s">
        <v>5697</v>
      </c>
      <c r="R547" t="s">
        <v>6793</v>
      </c>
      <c r="U547">
        <v>905</v>
      </c>
      <c r="V547" t="s">
        <v>6833</v>
      </c>
      <c r="W547" t="s">
        <v>6843</v>
      </c>
      <c r="Y547" t="s">
        <v>7395</v>
      </c>
      <c r="AA547" t="s">
        <v>9503</v>
      </c>
      <c r="AB547">
        <v>150</v>
      </c>
      <c r="AC547" t="s">
        <v>8953</v>
      </c>
      <c r="AD547" t="s">
        <v>10944</v>
      </c>
      <c r="AE547">
        <v>10</v>
      </c>
      <c r="AF547">
        <v>2</v>
      </c>
      <c r="AG547">
        <v>1</v>
      </c>
      <c r="AH547">
        <v>169.98</v>
      </c>
      <c r="AK547" t="s">
        <v>10966</v>
      </c>
      <c r="AL547">
        <v>36256</v>
      </c>
      <c r="AR547">
        <v>0.75</v>
      </c>
      <c r="AS547" t="s">
        <v>6823</v>
      </c>
      <c r="AT547" t="s">
        <v>11195</v>
      </c>
      <c r="AV547" t="s">
        <v>11231</v>
      </c>
      <c r="AW547" t="s">
        <v>6823</v>
      </c>
    </row>
    <row r="548" spans="1:49">
      <c r="A548" s="1">
        <f>HYPERLINK("https://lsnyc.legalserver.org/matter/dynamic-profile/view/1905596","19-1905596")</f>
        <v>0</v>
      </c>
      <c r="B548" t="s">
        <v>82</v>
      </c>
      <c r="C548" t="s">
        <v>739</v>
      </c>
      <c r="D548" t="s">
        <v>2059</v>
      </c>
      <c r="E548" t="s">
        <v>3602</v>
      </c>
      <c r="F548" t="s">
        <v>5310</v>
      </c>
      <c r="G548" t="s">
        <v>5637</v>
      </c>
      <c r="H548">
        <v>11233</v>
      </c>
      <c r="I548" t="s">
        <v>5695</v>
      </c>
      <c r="J548" t="s">
        <v>5696</v>
      </c>
      <c r="L548" t="s">
        <v>5740</v>
      </c>
      <c r="M548" t="s">
        <v>6732</v>
      </c>
      <c r="O548" t="s">
        <v>6756</v>
      </c>
      <c r="R548" t="s">
        <v>6794</v>
      </c>
      <c r="U548">
        <v>366</v>
      </c>
      <c r="V548" t="s">
        <v>6835</v>
      </c>
      <c r="Y548" t="s">
        <v>7396</v>
      </c>
      <c r="AA548" t="s">
        <v>9504</v>
      </c>
      <c r="AB548">
        <v>0</v>
      </c>
      <c r="AE548">
        <v>-1</v>
      </c>
      <c r="AF548">
        <v>2</v>
      </c>
      <c r="AG548">
        <v>0</v>
      </c>
      <c r="AH548">
        <v>109.92</v>
      </c>
      <c r="AK548" t="s">
        <v>10966</v>
      </c>
      <c r="AL548">
        <v>18588</v>
      </c>
      <c r="AR548">
        <v>1</v>
      </c>
      <c r="AS548" t="s">
        <v>6819</v>
      </c>
      <c r="AT548" t="s">
        <v>11190</v>
      </c>
      <c r="AU548" t="s">
        <v>11228</v>
      </c>
      <c r="AV548" t="s">
        <v>11231</v>
      </c>
      <c r="AW548" t="s">
        <v>6819</v>
      </c>
    </row>
    <row r="549" spans="1:49">
      <c r="A549" s="1">
        <f>HYPERLINK("https://lsnyc.legalserver.org/matter/dynamic-profile/view/1899462","19-1899462")</f>
        <v>0</v>
      </c>
      <c r="B549" t="s">
        <v>85</v>
      </c>
      <c r="C549" t="s">
        <v>740</v>
      </c>
      <c r="D549" t="s">
        <v>2060</v>
      </c>
      <c r="E549" t="s">
        <v>3603</v>
      </c>
      <c r="F549">
        <v>328</v>
      </c>
      <c r="G549" t="s">
        <v>5637</v>
      </c>
      <c r="H549">
        <v>11224</v>
      </c>
      <c r="I549" t="s">
        <v>5696</v>
      </c>
      <c r="J549" t="s">
        <v>5696</v>
      </c>
      <c r="L549" t="s">
        <v>5740</v>
      </c>
      <c r="M549" t="s">
        <v>6732</v>
      </c>
      <c r="O549" t="s">
        <v>6754</v>
      </c>
      <c r="R549" t="s">
        <v>6796</v>
      </c>
      <c r="U549">
        <v>0</v>
      </c>
      <c r="V549" t="s">
        <v>6835</v>
      </c>
      <c r="Y549" t="s">
        <v>7397</v>
      </c>
      <c r="AA549" t="s">
        <v>9505</v>
      </c>
      <c r="AB549">
        <v>0</v>
      </c>
      <c r="AE549">
        <v>0</v>
      </c>
      <c r="AF549">
        <v>1</v>
      </c>
      <c r="AG549">
        <v>0</v>
      </c>
      <c r="AH549">
        <v>37.95</v>
      </c>
      <c r="AK549" t="s">
        <v>10969</v>
      </c>
      <c r="AL549">
        <v>4740</v>
      </c>
      <c r="AR549">
        <v>19.5</v>
      </c>
      <c r="AS549" t="s">
        <v>6828</v>
      </c>
      <c r="AT549" t="s">
        <v>85</v>
      </c>
      <c r="AV549" t="s">
        <v>11231</v>
      </c>
      <c r="AW549" t="s">
        <v>11158</v>
      </c>
    </row>
    <row r="550" spans="1:49">
      <c r="A550" s="1">
        <f>HYPERLINK("https://lsnyc.legalserver.org/matter/dynamic-profile/view/1902565","19-1902565")</f>
        <v>0</v>
      </c>
      <c r="B550" t="s">
        <v>157</v>
      </c>
      <c r="C550" t="s">
        <v>741</v>
      </c>
      <c r="D550" t="s">
        <v>2061</v>
      </c>
      <c r="E550" t="s">
        <v>3604</v>
      </c>
      <c r="F550" t="s">
        <v>5148</v>
      </c>
      <c r="G550" t="s">
        <v>5638</v>
      </c>
      <c r="H550">
        <v>10034</v>
      </c>
      <c r="I550" t="s">
        <v>5696</v>
      </c>
      <c r="J550" t="s">
        <v>5696</v>
      </c>
      <c r="L550" t="s">
        <v>5740</v>
      </c>
      <c r="M550" t="s">
        <v>6732</v>
      </c>
      <c r="O550" t="s">
        <v>6748</v>
      </c>
      <c r="P550" t="s">
        <v>5697</v>
      </c>
      <c r="R550" t="s">
        <v>6793</v>
      </c>
      <c r="U550">
        <v>1042</v>
      </c>
      <c r="V550" t="s">
        <v>6836</v>
      </c>
      <c r="Y550" t="s">
        <v>7398</v>
      </c>
      <c r="AA550" t="s">
        <v>9506</v>
      </c>
      <c r="AB550">
        <v>30</v>
      </c>
      <c r="AC550" t="s">
        <v>8953</v>
      </c>
      <c r="AD550" t="s">
        <v>5741</v>
      </c>
      <c r="AE550">
        <v>4</v>
      </c>
      <c r="AF550">
        <v>2</v>
      </c>
      <c r="AG550">
        <v>0</v>
      </c>
      <c r="AH550">
        <v>0</v>
      </c>
      <c r="AK550" t="s">
        <v>10967</v>
      </c>
      <c r="AL550">
        <v>0</v>
      </c>
      <c r="AR550">
        <v>0.75</v>
      </c>
      <c r="AS550" t="s">
        <v>6822</v>
      </c>
      <c r="AT550" t="s">
        <v>11189</v>
      </c>
      <c r="AV550" t="s">
        <v>11231</v>
      </c>
      <c r="AW550" t="s">
        <v>11116</v>
      </c>
    </row>
    <row r="551" spans="1:49">
      <c r="A551" s="1">
        <f>HYPERLINK("https://lsnyc.legalserver.org/matter/dynamic-profile/view/1905305","19-1905305")</f>
        <v>0</v>
      </c>
      <c r="B551" t="s">
        <v>213</v>
      </c>
      <c r="C551" t="s">
        <v>512</v>
      </c>
      <c r="D551" t="s">
        <v>2062</v>
      </c>
      <c r="E551" t="s">
        <v>3605</v>
      </c>
      <c r="G551" t="s">
        <v>5635</v>
      </c>
      <c r="H551">
        <v>10459</v>
      </c>
      <c r="I551" t="s">
        <v>5695</v>
      </c>
      <c r="J551" t="s">
        <v>5696</v>
      </c>
      <c r="L551" t="s">
        <v>5740</v>
      </c>
      <c r="M551" t="s">
        <v>6732</v>
      </c>
      <c r="O551" t="s">
        <v>6745</v>
      </c>
      <c r="P551" t="s">
        <v>5697</v>
      </c>
      <c r="R551" t="s">
        <v>6793</v>
      </c>
      <c r="U551">
        <v>743.21</v>
      </c>
      <c r="V551" t="s">
        <v>6833</v>
      </c>
      <c r="W551" t="s">
        <v>6838</v>
      </c>
      <c r="Y551" t="s">
        <v>7399</v>
      </c>
      <c r="Z551" t="s">
        <v>8943</v>
      </c>
      <c r="AB551">
        <v>11</v>
      </c>
      <c r="AC551" t="s">
        <v>10929</v>
      </c>
      <c r="AD551" t="s">
        <v>5741</v>
      </c>
      <c r="AE551">
        <v>3</v>
      </c>
      <c r="AF551">
        <v>1</v>
      </c>
      <c r="AG551">
        <v>0</v>
      </c>
      <c r="AH551">
        <v>49.96</v>
      </c>
      <c r="AK551" t="s">
        <v>10966</v>
      </c>
      <c r="AL551">
        <v>6240</v>
      </c>
      <c r="AR551">
        <v>1.5</v>
      </c>
      <c r="AS551" t="s">
        <v>6808</v>
      </c>
      <c r="AT551" t="s">
        <v>213</v>
      </c>
      <c r="AU551" t="s">
        <v>11229</v>
      </c>
      <c r="AV551" t="s">
        <v>11231</v>
      </c>
      <c r="AW551" t="s">
        <v>6808</v>
      </c>
    </row>
    <row r="552" spans="1:49">
      <c r="A552" s="1">
        <f>HYPERLINK("https://lsnyc.legalserver.org/matter/dynamic-profile/view/1905617","19-1905617")</f>
        <v>0</v>
      </c>
      <c r="B552" t="s">
        <v>214</v>
      </c>
      <c r="C552" t="s">
        <v>742</v>
      </c>
      <c r="D552" t="s">
        <v>2063</v>
      </c>
      <c r="E552" t="s">
        <v>3606</v>
      </c>
      <c r="F552">
        <v>2</v>
      </c>
      <c r="G552" t="s">
        <v>5637</v>
      </c>
      <c r="H552">
        <v>11208</v>
      </c>
      <c r="I552" t="s">
        <v>5695</v>
      </c>
      <c r="J552" t="s">
        <v>5696</v>
      </c>
      <c r="K552" t="s">
        <v>5738</v>
      </c>
      <c r="L552" t="s">
        <v>5740</v>
      </c>
      <c r="M552" t="s">
        <v>6732</v>
      </c>
      <c r="O552" t="s">
        <v>6756</v>
      </c>
      <c r="P552" t="s">
        <v>5697</v>
      </c>
      <c r="R552" t="s">
        <v>6793</v>
      </c>
      <c r="S552" t="s">
        <v>6801</v>
      </c>
      <c r="T552" t="s">
        <v>6823</v>
      </c>
      <c r="U552">
        <v>1900</v>
      </c>
      <c r="V552" t="s">
        <v>6835</v>
      </c>
      <c r="W552" t="s">
        <v>6838</v>
      </c>
      <c r="Y552" t="s">
        <v>7400</v>
      </c>
      <c r="AB552">
        <v>2</v>
      </c>
      <c r="AC552" t="s">
        <v>10930</v>
      </c>
      <c r="AD552" t="s">
        <v>10944</v>
      </c>
      <c r="AE552">
        <v>4</v>
      </c>
      <c r="AF552">
        <v>2</v>
      </c>
      <c r="AG552">
        <v>2</v>
      </c>
      <c r="AH552">
        <v>9.710000000000001</v>
      </c>
      <c r="AK552" t="s">
        <v>10966</v>
      </c>
      <c r="AL552">
        <v>2500</v>
      </c>
      <c r="AR552">
        <v>2.5</v>
      </c>
      <c r="AS552" t="s">
        <v>6824</v>
      </c>
      <c r="AT552" t="s">
        <v>214</v>
      </c>
      <c r="AU552" t="s">
        <v>11228</v>
      </c>
      <c r="AV552" t="s">
        <v>11231</v>
      </c>
      <c r="AW552" t="s">
        <v>6823</v>
      </c>
    </row>
    <row r="553" spans="1:49">
      <c r="A553" s="1">
        <f>HYPERLINK("https://lsnyc.legalserver.org/matter/dynamic-profile/view/1904514","19-1904514")</f>
        <v>0</v>
      </c>
      <c r="B553" t="s">
        <v>67</v>
      </c>
      <c r="C553" t="s">
        <v>743</v>
      </c>
      <c r="D553" t="s">
        <v>2064</v>
      </c>
      <c r="E553" t="s">
        <v>3607</v>
      </c>
      <c r="F553">
        <v>2</v>
      </c>
      <c r="G553" t="s">
        <v>5637</v>
      </c>
      <c r="H553">
        <v>11208</v>
      </c>
      <c r="I553" t="s">
        <v>5696</v>
      </c>
      <c r="J553" t="s">
        <v>5696</v>
      </c>
      <c r="K553" t="s">
        <v>5740</v>
      </c>
      <c r="L553" t="s">
        <v>5740</v>
      </c>
      <c r="M553" t="s">
        <v>6732</v>
      </c>
      <c r="O553" t="s">
        <v>6745</v>
      </c>
      <c r="P553" t="s">
        <v>5697</v>
      </c>
      <c r="R553" t="s">
        <v>6793</v>
      </c>
      <c r="U553">
        <v>1500</v>
      </c>
      <c r="V553" t="s">
        <v>6835</v>
      </c>
      <c r="Y553" t="s">
        <v>7401</v>
      </c>
      <c r="AB553">
        <v>2</v>
      </c>
      <c r="AE553">
        <v>4</v>
      </c>
      <c r="AF553">
        <v>1</v>
      </c>
      <c r="AG553">
        <v>0</v>
      </c>
      <c r="AH553">
        <v>168.13</v>
      </c>
      <c r="AK553" t="s">
        <v>10966</v>
      </c>
      <c r="AL553">
        <v>21000</v>
      </c>
      <c r="AR553">
        <v>1</v>
      </c>
      <c r="AS553" t="s">
        <v>6810</v>
      </c>
      <c r="AT553" t="s">
        <v>11192</v>
      </c>
      <c r="AV553" t="s">
        <v>11231</v>
      </c>
      <c r="AW553" t="s">
        <v>6810</v>
      </c>
    </row>
    <row r="554" spans="1:49">
      <c r="A554" s="1">
        <f>HYPERLINK("https://lsnyc.legalserver.org/matter/dynamic-profile/view/1898110","19-1898110")</f>
        <v>0</v>
      </c>
      <c r="B554" t="s">
        <v>152</v>
      </c>
      <c r="C554" t="s">
        <v>329</v>
      </c>
      <c r="D554" t="s">
        <v>2065</v>
      </c>
      <c r="E554" t="s">
        <v>3608</v>
      </c>
      <c r="G554" t="s">
        <v>5635</v>
      </c>
      <c r="H554">
        <v>10462</v>
      </c>
      <c r="I554" t="s">
        <v>5696</v>
      </c>
      <c r="J554" t="s">
        <v>5696</v>
      </c>
      <c r="L554" t="s">
        <v>5740</v>
      </c>
      <c r="M554" t="s">
        <v>6732</v>
      </c>
      <c r="O554" t="s">
        <v>6783</v>
      </c>
      <c r="P554" t="s">
        <v>5697</v>
      </c>
      <c r="Q554" t="s">
        <v>6783</v>
      </c>
      <c r="R554" t="s">
        <v>6797</v>
      </c>
      <c r="U554">
        <v>0</v>
      </c>
      <c r="V554" t="s">
        <v>6833</v>
      </c>
      <c r="Y554" t="s">
        <v>7402</v>
      </c>
      <c r="AB554">
        <v>3</v>
      </c>
      <c r="AE554">
        <v>13</v>
      </c>
      <c r="AF554">
        <v>2</v>
      </c>
      <c r="AG554">
        <v>0</v>
      </c>
      <c r="AH554">
        <v>318.56</v>
      </c>
      <c r="AK554" t="s">
        <v>10966</v>
      </c>
      <c r="AL554">
        <v>53868</v>
      </c>
      <c r="AR554">
        <v>2.75</v>
      </c>
      <c r="AS554" t="s">
        <v>6814</v>
      </c>
      <c r="AT554" t="s">
        <v>11189</v>
      </c>
      <c r="AV554" t="s">
        <v>11231</v>
      </c>
      <c r="AW554" t="s">
        <v>10961</v>
      </c>
    </row>
    <row r="555" spans="1:49">
      <c r="A555" s="1">
        <f>HYPERLINK("https://lsnyc.legalserver.org/matter/dynamic-profile/view/1899327","19-1899327")</f>
        <v>0</v>
      </c>
      <c r="B555" t="s">
        <v>205</v>
      </c>
      <c r="C555" t="s">
        <v>687</v>
      </c>
      <c r="D555" t="s">
        <v>2066</v>
      </c>
      <c r="E555" t="s">
        <v>3609</v>
      </c>
      <c r="F555" t="s">
        <v>5145</v>
      </c>
      <c r="G555" t="s">
        <v>5637</v>
      </c>
      <c r="H555">
        <v>11224</v>
      </c>
      <c r="I555" t="s">
        <v>5696</v>
      </c>
      <c r="J555" t="s">
        <v>5696</v>
      </c>
      <c r="L555" t="s">
        <v>5740</v>
      </c>
      <c r="M555" t="s">
        <v>6732</v>
      </c>
      <c r="O555" t="s">
        <v>6748</v>
      </c>
      <c r="P555" t="s">
        <v>5697</v>
      </c>
      <c r="R555" t="s">
        <v>6793</v>
      </c>
      <c r="U555">
        <v>1248</v>
      </c>
      <c r="V555" t="s">
        <v>6835</v>
      </c>
      <c r="Y555" t="s">
        <v>7403</v>
      </c>
      <c r="AB555">
        <v>6</v>
      </c>
      <c r="AC555" t="s">
        <v>8953</v>
      </c>
      <c r="AD555" t="s">
        <v>10946</v>
      </c>
      <c r="AE555">
        <v>15</v>
      </c>
      <c r="AF555">
        <v>1</v>
      </c>
      <c r="AG555">
        <v>0</v>
      </c>
      <c r="AH555">
        <v>85.97</v>
      </c>
      <c r="AK555" t="s">
        <v>10966</v>
      </c>
      <c r="AL555">
        <v>10738</v>
      </c>
      <c r="AR555">
        <v>0.8</v>
      </c>
      <c r="AS555" t="s">
        <v>11148</v>
      </c>
      <c r="AT555" t="s">
        <v>11189</v>
      </c>
      <c r="AV555" t="s">
        <v>11231</v>
      </c>
      <c r="AW555" t="s">
        <v>11169</v>
      </c>
    </row>
    <row r="556" spans="1:49">
      <c r="A556" s="1">
        <f>HYPERLINK("https://lsnyc.legalserver.org/matter/dynamic-profile/view/1905267","19-1905267")</f>
        <v>0</v>
      </c>
      <c r="B556" t="s">
        <v>213</v>
      </c>
      <c r="C556" t="s">
        <v>744</v>
      </c>
      <c r="D556" t="s">
        <v>1481</v>
      </c>
      <c r="E556" t="s">
        <v>3610</v>
      </c>
      <c r="F556" t="s">
        <v>5311</v>
      </c>
      <c r="G556" t="s">
        <v>5635</v>
      </c>
      <c r="H556">
        <v>10451</v>
      </c>
      <c r="I556" t="s">
        <v>5695</v>
      </c>
      <c r="J556" t="s">
        <v>5696</v>
      </c>
      <c r="L556" t="s">
        <v>5740</v>
      </c>
      <c r="M556" t="s">
        <v>6732</v>
      </c>
      <c r="O556" t="s">
        <v>6745</v>
      </c>
      <c r="P556" t="s">
        <v>5697</v>
      </c>
      <c r="R556" t="s">
        <v>6793</v>
      </c>
      <c r="U556">
        <v>1630</v>
      </c>
      <c r="V556" t="s">
        <v>6833</v>
      </c>
      <c r="W556" t="s">
        <v>6838</v>
      </c>
      <c r="Y556" t="s">
        <v>7404</v>
      </c>
      <c r="AB556">
        <v>0</v>
      </c>
      <c r="AC556" t="s">
        <v>10933</v>
      </c>
      <c r="AD556" t="s">
        <v>5741</v>
      </c>
      <c r="AE556">
        <v>16</v>
      </c>
      <c r="AF556">
        <v>1</v>
      </c>
      <c r="AG556">
        <v>0</v>
      </c>
      <c r="AH556">
        <v>156.61</v>
      </c>
      <c r="AK556" t="s">
        <v>10966</v>
      </c>
      <c r="AL556">
        <v>19560</v>
      </c>
      <c r="AR556">
        <v>1</v>
      </c>
      <c r="AS556" t="s">
        <v>6808</v>
      </c>
      <c r="AT556" t="s">
        <v>213</v>
      </c>
      <c r="AU556" t="s">
        <v>11228</v>
      </c>
      <c r="AV556" t="s">
        <v>11231</v>
      </c>
      <c r="AW556" t="s">
        <v>6808</v>
      </c>
    </row>
    <row r="557" spans="1:49">
      <c r="A557" s="1">
        <f>HYPERLINK("https://lsnyc.legalserver.org/matter/dynamic-profile/view/1904646","19-1904646")</f>
        <v>0</v>
      </c>
      <c r="B557" t="s">
        <v>197</v>
      </c>
      <c r="C557" t="s">
        <v>479</v>
      </c>
      <c r="D557" t="s">
        <v>2067</v>
      </c>
      <c r="E557" t="s">
        <v>3611</v>
      </c>
      <c r="G557" t="s">
        <v>5668</v>
      </c>
      <c r="H557">
        <v>10065</v>
      </c>
      <c r="I557" t="s">
        <v>5696</v>
      </c>
      <c r="J557" t="s">
        <v>5696</v>
      </c>
      <c r="L557" t="s">
        <v>5740</v>
      </c>
      <c r="M557" t="s">
        <v>6732</v>
      </c>
      <c r="O557" t="s">
        <v>6753</v>
      </c>
      <c r="R557" t="s">
        <v>6793</v>
      </c>
      <c r="U557">
        <v>1500</v>
      </c>
      <c r="V557" t="s">
        <v>6836</v>
      </c>
      <c r="W557" t="s">
        <v>6848</v>
      </c>
      <c r="Y557" t="s">
        <v>7405</v>
      </c>
      <c r="AB557">
        <v>260</v>
      </c>
      <c r="AC557" t="s">
        <v>10930</v>
      </c>
      <c r="AD557" t="s">
        <v>5741</v>
      </c>
      <c r="AE557">
        <v>22</v>
      </c>
      <c r="AF557">
        <v>1</v>
      </c>
      <c r="AG557">
        <v>0</v>
      </c>
      <c r="AH557">
        <v>294.64</v>
      </c>
      <c r="AK557" t="s">
        <v>10966</v>
      </c>
      <c r="AL557">
        <v>36800</v>
      </c>
      <c r="AR557">
        <v>1.15</v>
      </c>
      <c r="AS557" t="s">
        <v>6827</v>
      </c>
      <c r="AT557" t="s">
        <v>11189</v>
      </c>
      <c r="AV557" t="s">
        <v>11231</v>
      </c>
      <c r="AW557" t="s">
        <v>6809</v>
      </c>
    </row>
    <row r="558" spans="1:49">
      <c r="A558" s="1">
        <f>HYPERLINK("https://lsnyc.legalserver.org/matter/dynamic-profile/view/1900784","19-1900784")</f>
        <v>0</v>
      </c>
      <c r="B558" t="s">
        <v>79</v>
      </c>
      <c r="C558" t="s">
        <v>745</v>
      </c>
      <c r="D558" t="s">
        <v>2068</v>
      </c>
      <c r="E558" t="s">
        <v>3612</v>
      </c>
      <c r="F558" t="s">
        <v>5158</v>
      </c>
      <c r="G558" t="s">
        <v>5646</v>
      </c>
      <c r="H558">
        <v>11354</v>
      </c>
      <c r="I558" t="s">
        <v>5696</v>
      </c>
      <c r="J558" t="s">
        <v>5696</v>
      </c>
      <c r="K558" t="s">
        <v>5741</v>
      </c>
      <c r="L558" t="s">
        <v>5740</v>
      </c>
      <c r="M558" t="s">
        <v>6732</v>
      </c>
      <c r="O558" t="s">
        <v>6748</v>
      </c>
      <c r="P558" t="s">
        <v>5697</v>
      </c>
      <c r="R558" t="s">
        <v>6793</v>
      </c>
      <c r="S558" t="s">
        <v>6801</v>
      </c>
      <c r="U558">
        <v>1000</v>
      </c>
      <c r="V558" t="s">
        <v>6837</v>
      </c>
      <c r="W558" t="s">
        <v>6853</v>
      </c>
      <c r="Y558" t="s">
        <v>7406</v>
      </c>
      <c r="AB558">
        <v>70</v>
      </c>
      <c r="AC558" t="s">
        <v>10929</v>
      </c>
      <c r="AD558" t="s">
        <v>5741</v>
      </c>
      <c r="AE558">
        <v>40</v>
      </c>
      <c r="AF558">
        <v>1</v>
      </c>
      <c r="AG558">
        <v>0</v>
      </c>
      <c r="AH558">
        <v>197.76</v>
      </c>
      <c r="AK558" t="s">
        <v>10966</v>
      </c>
      <c r="AL558">
        <v>24700</v>
      </c>
      <c r="AR558">
        <v>1.65</v>
      </c>
      <c r="AS558" t="s">
        <v>11148</v>
      </c>
      <c r="AT558" t="s">
        <v>11192</v>
      </c>
      <c r="AV558" t="s">
        <v>11231</v>
      </c>
      <c r="AW558" t="s">
        <v>11157</v>
      </c>
    </row>
    <row r="559" spans="1:49">
      <c r="A559" s="1">
        <f>HYPERLINK("https://lsnyc.legalserver.org/matter/dynamic-profile/view/1904370","19-1904370")</f>
        <v>0</v>
      </c>
      <c r="B559" t="s">
        <v>84</v>
      </c>
      <c r="C559" t="s">
        <v>353</v>
      </c>
      <c r="D559" t="s">
        <v>1657</v>
      </c>
      <c r="E559" t="s">
        <v>3613</v>
      </c>
      <c r="F559" t="s">
        <v>5154</v>
      </c>
      <c r="G559" t="s">
        <v>5637</v>
      </c>
      <c r="H559">
        <v>11233</v>
      </c>
      <c r="I559" t="s">
        <v>5695</v>
      </c>
      <c r="J559" t="s">
        <v>5696</v>
      </c>
      <c r="K559" t="s">
        <v>5773</v>
      </c>
      <c r="L559" t="s">
        <v>5740</v>
      </c>
      <c r="M559" t="s">
        <v>6732</v>
      </c>
      <c r="O559" t="s">
        <v>6756</v>
      </c>
      <c r="P559" t="s">
        <v>5697</v>
      </c>
      <c r="R559" t="s">
        <v>6794</v>
      </c>
      <c r="T559" t="s">
        <v>6813</v>
      </c>
      <c r="U559">
        <v>1800</v>
      </c>
      <c r="V559" t="s">
        <v>6835</v>
      </c>
      <c r="W559" t="s">
        <v>6838</v>
      </c>
      <c r="Y559" t="s">
        <v>7407</v>
      </c>
      <c r="AB559">
        <v>0</v>
      </c>
      <c r="AC559" t="s">
        <v>10931</v>
      </c>
      <c r="AD559" t="s">
        <v>5741</v>
      </c>
      <c r="AE559">
        <v>0</v>
      </c>
      <c r="AF559">
        <v>3</v>
      </c>
      <c r="AG559">
        <v>1</v>
      </c>
      <c r="AH559">
        <v>462.14</v>
      </c>
      <c r="AK559" t="s">
        <v>10966</v>
      </c>
      <c r="AL559">
        <v>119000</v>
      </c>
      <c r="AR559">
        <v>1.5</v>
      </c>
      <c r="AS559" t="s">
        <v>6820</v>
      </c>
      <c r="AT559" t="s">
        <v>84</v>
      </c>
      <c r="AU559" t="s">
        <v>11228</v>
      </c>
      <c r="AV559" t="s">
        <v>11231</v>
      </c>
      <c r="AW559" t="s">
        <v>6813</v>
      </c>
    </row>
    <row r="560" spans="1:49">
      <c r="A560" s="1">
        <f>HYPERLINK("https://lsnyc.legalserver.org/matter/dynamic-profile/view/1902166","19-1902166")</f>
        <v>0</v>
      </c>
      <c r="B560" t="s">
        <v>85</v>
      </c>
      <c r="C560" t="s">
        <v>746</v>
      </c>
      <c r="D560" t="s">
        <v>2069</v>
      </c>
      <c r="E560" t="s">
        <v>3614</v>
      </c>
      <c r="F560" t="s">
        <v>5265</v>
      </c>
      <c r="G560" t="s">
        <v>5637</v>
      </c>
      <c r="H560">
        <v>11230</v>
      </c>
      <c r="I560" t="s">
        <v>5696</v>
      </c>
      <c r="J560" t="s">
        <v>5696</v>
      </c>
      <c r="L560" t="s">
        <v>5740</v>
      </c>
      <c r="M560" t="s">
        <v>6732</v>
      </c>
      <c r="O560" t="s">
        <v>6754</v>
      </c>
      <c r="R560" t="s">
        <v>6795</v>
      </c>
      <c r="U560">
        <v>0</v>
      </c>
      <c r="V560" t="s">
        <v>6835</v>
      </c>
      <c r="Y560" t="s">
        <v>7408</v>
      </c>
      <c r="AB560">
        <v>0</v>
      </c>
      <c r="AC560" t="s">
        <v>10936</v>
      </c>
      <c r="AE560">
        <v>0</v>
      </c>
      <c r="AF560">
        <v>1</v>
      </c>
      <c r="AG560">
        <v>0</v>
      </c>
      <c r="AH560">
        <v>105.68</v>
      </c>
      <c r="AK560" t="s">
        <v>10966</v>
      </c>
      <c r="AL560">
        <v>13200</v>
      </c>
      <c r="AR560">
        <v>2</v>
      </c>
      <c r="AS560" t="s">
        <v>11138</v>
      </c>
      <c r="AT560" t="s">
        <v>85</v>
      </c>
      <c r="AV560" t="s">
        <v>11231</v>
      </c>
      <c r="AW560" t="s">
        <v>11150</v>
      </c>
    </row>
    <row r="561" spans="1:49">
      <c r="A561" s="1">
        <f>HYPERLINK("https://lsnyc.legalserver.org/matter/dynamic-profile/view/1902583","19-1902583")</f>
        <v>0</v>
      </c>
      <c r="B561" t="s">
        <v>85</v>
      </c>
      <c r="C561" t="s">
        <v>747</v>
      </c>
      <c r="D561" t="s">
        <v>2070</v>
      </c>
      <c r="E561" t="s">
        <v>3615</v>
      </c>
      <c r="F561" t="s">
        <v>5105</v>
      </c>
      <c r="G561" t="s">
        <v>5637</v>
      </c>
      <c r="H561">
        <v>11233</v>
      </c>
      <c r="I561" t="s">
        <v>5696</v>
      </c>
      <c r="J561" t="s">
        <v>5696</v>
      </c>
      <c r="L561" t="s">
        <v>5740</v>
      </c>
      <c r="M561" t="s">
        <v>6732</v>
      </c>
      <c r="O561" t="s">
        <v>6754</v>
      </c>
      <c r="R561" t="s">
        <v>6795</v>
      </c>
      <c r="U561">
        <v>0</v>
      </c>
      <c r="V561" t="s">
        <v>6835</v>
      </c>
      <c r="Y561" t="s">
        <v>7409</v>
      </c>
      <c r="AB561">
        <v>0</v>
      </c>
      <c r="AC561" t="s">
        <v>10929</v>
      </c>
      <c r="AE561">
        <v>0</v>
      </c>
      <c r="AF561">
        <v>1</v>
      </c>
      <c r="AG561">
        <v>0</v>
      </c>
      <c r="AH561">
        <v>78.78</v>
      </c>
      <c r="AK561" t="s">
        <v>10966</v>
      </c>
      <c r="AL561">
        <v>9840</v>
      </c>
      <c r="AR561">
        <v>2</v>
      </c>
      <c r="AS561" t="s">
        <v>11116</v>
      </c>
      <c r="AT561" t="s">
        <v>85</v>
      </c>
      <c r="AV561" t="s">
        <v>11231</v>
      </c>
      <c r="AW561" t="s">
        <v>11116</v>
      </c>
    </row>
    <row r="562" spans="1:49">
      <c r="A562" s="1">
        <f>HYPERLINK("https://lsnyc.legalserver.org/matter/dynamic-profile/view/1904625","19-1904625")</f>
        <v>0</v>
      </c>
      <c r="B562" t="s">
        <v>85</v>
      </c>
      <c r="C562" t="s">
        <v>748</v>
      </c>
      <c r="D562" t="s">
        <v>2071</v>
      </c>
      <c r="E562" t="s">
        <v>3616</v>
      </c>
      <c r="F562" t="s">
        <v>5312</v>
      </c>
      <c r="G562" t="s">
        <v>5637</v>
      </c>
      <c r="H562">
        <v>11224</v>
      </c>
      <c r="I562" t="s">
        <v>5696</v>
      </c>
      <c r="J562" t="s">
        <v>5696</v>
      </c>
      <c r="L562" t="s">
        <v>5740</v>
      </c>
      <c r="M562" t="s">
        <v>6732</v>
      </c>
      <c r="O562" t="s">
        <v>6754</v>
      </c>
      <c r="R562" t="s">
        <v>6795</v>
      </c>
      <c r="U562">
        <v>0</v>
      </c>
      <c r="V562" t="s">
        <v>6835</v>
      </c>
      <c r="Y562" t="s">
        <v>7410</v>
      </c>
      <c r="AB562">
        <v>0</v>
      </c>
      <c r="AC562" t="s">
        <v>10935</v>
      </c>
      <c r="AD562" t="s">
        <v>10945</v>
      </c>
      <c r="AE562">
        <v>0</v>
      </c>
      <c r="AF562">
        <v>1</v>
      </c>
      <c r="AG562">
        <v>0</v>
      </c>
      <c r="AH562">
        <v>82.43000000000001</v>
      </c>
      <c r="AK562" t="s">
        <v>10969</v>
      </c>
      <c r="AL562">
        <v>10296</v>
      </c>
      <c r="AR562">
        <v>2</v>
      </c>
      <c r="AS562" t="s">
        <v>6809</v>
      </c>
      <c r="AT562" t="s">
        <v>85</v>
      </c>
      <c r="AV562" t="s">
        <v>11231</v>
      </c>
      <c r="AW562" t="s">
        <v>6809</v>
      </c>
    </row>
    <row r="563" spans="1:49">
      <c r="A563" s="1">
        <f>HYPERLINK("https://lsnyc.legalserver.org/matter/dynamic-profile/view/1900098","19-1900098")</f>
        <v>0</v>
      </c>
      <c r="B563" t="s">
        <v>85</v>
      </c>
      <c r="C563" t="s">
        <v>749</v>
      </c>
      <c r="D563" t="s">
        <v>2072</v>
      </c>
      <c r="E563" t="s">
        <v>3401</v>
      </c>
      <c r="F563" t="s">
        <v>5313</v>
      </c>
      <c r="G563" t="s">
        <v>5637</v>
      </c>
      <c r="H563">
        <v>11224</v>
      </c>
      <c r="I563" t="s">
        <v>5696</v>
      </c>
      <c r="J563" t="s">
        <v>5696</v>
      </c>
      <c r="L563" t="s">
        <v>5740</v>
      </c>
      <c r="M563" t="s">
        <v>6732</v>
      </c>
      <c r="O563" t="s">
        <v>6754</v>
      </c>
      <c r="R563" t="s">
        <v>6796</v>
      </c>
      <c r="U563">
        <v>0</v>
      </c>
      <c r="V563" t="s">
        <v>6835</v>
      </c>
      <c r="Y563" t="s">
        <v>7411</v>
      </c>
      <c r="AB563">
        <v>0</v>
      </c>
      <c r="AC563" t="s">
        <v>10937</v>
      </c>
      <c r="AD563" t="s">
        <v>10944</v>
      </c>
      <c r="AE563">
        <v>0</v>
      </c>
      <c r="AF563">
        <v>2</v>
      </c>
      <c r="AG563">
        <v>0</v>
      </c>
      <c r="AH563">
        <v>88</v>
      </c>
      <c r="AK563" t="s">
        <v>10969</v>
      </c>
      <c r="AL563">
        <v>14880</v>
      </c>
      <c r="AR563">
        <v>1.75</v>
      </c>
      <c r="AS563" t="s">
        <v>10954</v>
      </c>
      <c r="AT563" t="s">
        <v>85</v>
      </c>
      <c r="AV563" t="s">
        <v>11231</v>
      </c>
      <c r="AW563" t="s">
        <v>10954</v>
      </c>
    </row>
    <row r="564" spans="1:49">
      <c r="A564" s="1">
        <f>HYPERLINK("https://lsnyc.legalserver.org/matter/dynamic-profile/view/1904138","19-1904138")</f>
        <v>0</v>
      </c>
      <c r="B564" t="s">
        <v>85</v>
      </c>
      <c r="C564" t="s">
        <v>740</v>
      </c>
      <c r="D564" t="s">
        <v>2073</v>
      </c>
      <c r="E564" t="s">
        <v>3617</v>
      </c>
      <c r="F564" t="s">
        <v>5187</v>
      </c>
      <c r="G564" t="s">
        <v>5637</v>
      </c>
      <c r="H564">
        <v>11235</v>
      </c>
      <c r="I564" t="s">
        <v>5696</v>
      </c>
      <c r="J564" t="s">
        <v>5696</v>
      </c>
      <c r="L564" t="s">
        <v>5740</v>
      </c>
      <c r="M564" t="s">
        <v>6732</v>
      </c>
      <c r="O564" t="s">
        <v>6754</v>
      </c>
      <c r="R564" t="s">
        <v>6796</v>
      </c>
      <c r="U564">
        <v>0</v>
      </c>
      <c r="V564" t="s">
        <v>6835</v>
      </c>
      <c r="Y564" t="s">
        <v>7412</v>
      </c>
      <c r="AB564">
        <v>0</v>
      </c>
      <c r="AC564" t="s">
        <v>10933</v>
      </c>
      <c r="AD564" t="s">
        <v>10944</v>
      </c>
      <c r="AE564">
        <v>0</v>
      </c>
      <c r="AF564">
        <v>1</v>
      </c>
      <c r="AG564">
        <v>0</v>
      </c>
      <c r="AH564">
        <v>82.43000000000001</v>
      </c>
      <c r="AK564" t="s">
        <v>10969</v>
      </c>
      <c r="AL564">
        <v>10296</v>
      </c>
      <c r="AR564">
        <v>1</v>
      </c>
      <c r="AS564" t="s">
        <v>6817</v>
      </c>
      <c r="AT564" t="s">
        <v>85</v>
      </c>
      <c r="AV564" t="s">
        <v>11231</v>
      </c>
      <c r="AW564" t="s">
        <v>6817</v>
      </c>
    </row>
    <row r="565" spans="1:49">
      <c r="A565" s="1">
        <f>HYPERLINK("https://lsnyc.legalserver.org/matter/dynamic-profile/view/1902143","19-1902143")</f>
        <v>0</v>
      </c>
      <c r="B565" t="s">
        <v>85</v>
      </c>
      <c r="C565" t="s">
        <v>389</v>
      </c>
      <c r="D565" t="s">
        <v>2074</v>
      </c>
      <c r="E565" t="s">
        <v>3618</v>
      </c>
      <c r="F565" t="s">
        <v>5269</v>
      </c>
      <c r="G565" t="s">
        <v>5637</v>
      </c>
      <c r="H565">
        <v>11224</v>
      </c>
      <c r="I565" t="s">
        <v>5696</v>
      </c>
      <c r="J565" t="s">
        <v>5696</v>
      </c>
      <c r="L565" t="s">
        <v>5740</v>
      </c>
      <c r="M565" t="s">
        <v>6732</v>
      </c>
      <c r="O565" t="s">
        <v>6754</v>
      </c>
      <c r="R565" t="s">
        <v>6795</v>
      </c>
      <c r="U565">
        <v>0</v>
      </c>
      <c r="V565" t="s">
        <v>6835</v>
      </c>
      <c r="Y565" t="s">
        <v>7413</v>
      </c>
      <c r="AB565">
        <v>0</v>
      </c>
      <c r="AC565" t="s">
        <v>10935</v>
      </c>
      <c r="AE565">
        <v>0</v>
      </c>
      <c r="AF565">
        <v>1</v>
      </c>
      <c r="AG565">
        <v>0</v>
      </c>
      <c r="AH565">
        <v>82.43000000000001</v>
      </c>
      <c r="AK565" t="s">
        <v>10969</v>
      </c>
      <c r="AL565">
        <v>10296</v>
      </c>
      <c r="AR565">
        <v>1.25</v>
      </c>
      <c r="AS565" t="s">
        <v>11163</v>
      </c>
      <c r="AT565" t="s">
        <v>85</v>
      </c>
      <c r="AV565" t="s">
        <v>11231</v>
      </c>
      <c r="AW565" t="s">
        <v>11150</v>
      </c>
    </row>
    <row r="566" spans="1:49">
      <c r="A566" s="1">
        <f>HYPERLINK("https://lsnyc.legalserver.org/matter/dynamic-profile/view/1902511","19-1902511")</f>
        <v>0</v>
      </c>
      <c r="B566" t="s">
        <v>85</v>
      </c>
      <c r="C566" t="s">
        <v>750</v>
      </c>
      <c r="D566" t="s">
        <v>2075</v>
      </c>
      <c r="E566" t="s">
        <v>3619</v>
      </c>
      <c r="F566" t="s">
        <v>5314</v>
      </c>
      <c r="G566" t="s">
        <v>5638</v>
      </c>
      <c r="H566">
        <v>10011</v>
      </c>
      <c r="I566" t="s">
        <v>5696</v>
      </c>
      <c r="J566" t="s">
        <v>5696</v>
      </c>
      <c r="L566" t="s">
        <v>5740</v>
      </c>
      <c r="M566" t="s">
        <v>6732</v>
      </c>
      <c r="O566" t="s">
        <v>6754</v>
      </c>
      <c r="R566" t="s">
        <v>6796</v>
      </c>
      <c r="U566">
        <v>0</v>
      </c>
      <c r="V566" t="s">
        <v>6835</v>
      </c>
      <c r="Y566" t="s">
        <v>7414</v>
      </c>
      <c r="AB566">
        <v>0</v>
      </c>
      <c r="AC566" t="s">
        <v>10940</v>
      </c>
      <c r="AE566">
        <v>0</v>
      </c>
      <c r="AF566">
        <v>1</v>
      </c>
      <c r="AG566">
        <v>0</v>
      </c>
      <c r="AH566">
        <v>82.43000000000001</v>
      </c>
      <c r="AK566" t="s">
        <v>10969</v>
      </c>
      <c r="AL566">
        <v>10296</v>
      </c>
      <c r="AR566">
        <v>1.2</v>
      </c>
      <c r="AS566" t="s">
        <v>11116</v>
      </c>
      <c r="AT566" t="s">
        <v>85</v>
      </c>
      <c r="AV566" t="s">
        <v>11231</v>
      </c>
      <c r="AW566" t="s">
        <v>11117</v>
      </c>
    </row>
    <row r="567" spans="1:49">
      <c r="A567" s="1">
        <f>HYPERLINK("https://lsnyc.legalserver.org/matter/dynamic-profile/view/1906212","19-1906212")</f>
        <v>0</v>
      </c>
      <c r="B567" t="s">
        <v>186</v>
      </c>
      <c r="C567" t="s">
        <v>335</v>
      </c>
      <c r="D567" t="s">
        <v>2076</v>
      </c>
      <c r="E567" t="s">
        <v>3620</v>
      </c>
      <c r="F567" t="s">
        <v>5315</v>
      </c>
      <c r="G567" t="s">
        <v>5665</v>
      </c>
      <c r="H567">
        <v>11377</v>
      </c>
      <c r="I567" t="s">
        <v>5695</v>
      </c>
      <c r="J567" t="s">
        <v>5696</v>
      </c>
      <c r="L567" t="s">
        <v>5740</v>
      </c>
      <c r="M567" t="s">
        <v>6732</v>
      </c>
      <c r="O567" t="s">
        <v>6750</v>
      </c>
      <c r="R567" t="s">
        <v>6793</v>
      </c>
      <c r="S567" t="s">
        <v>6801</v>
      </c>
      <c r="U567">
        <v>1400</v>
      </c>
      <c r="V567" t="s">
        <v>6837</v>
      </c>
      <c r="Y567" t="s">
        <v>7415</v>
      </c>
      <c r="AB567">
        <v>8</v>
      </c>
      <c r="AD567" t="s">
        <v>5741</v>
      </c>
      <c r="AE567">
        <v>0</v>
      </c>
      <c r="AF567">
        <v>1</v>
      </c>
      <c r="AG567">
        <v>1</v>
      </c>
      <c r="AH567">
        <v>0</v>
      </c>
      <c r="AK567" t="s">
        <v>10967</v>
      </c>
      <c r="AL567">
        <v>0</v>
      </c>
      <c r="AR567">
        <v>1.5</v>
      </c>
      <c r="AS567" t="s">
        <v>6827</v>
      </c>
      <c r="AT567" t="s">
        <v>186</v>
      </c>
      <c r="AV567" t="s">
        <v>11231</v>
      </c>
      <c r="AW567" t="s">
        <v>6821</v>
      </c>
    </row>
    <row r="568" spans="1:49">
      <c r="A568" s="1">
        <f>HYPERLINK("https://lsnyc.legalserver.org/matter/dynamic-profile/view/1903927","19-1903927")</f>
        <v>0</v>
      </c>
      <c r="B568" t="s">
        <v>57</v>
      </c>
      <c r="C568" t="s">
        <v>751</v>
      </c>
      <c r="D568" t="s">
        <v>1836</v>
      </c>
      <c r="E568" t="s">
        <v>3621</v>
      </c>
      <c r="F568" t="s">
        <v>5196</v>
      </c>
      <c r="G568" t="s">
        <v>5669</v>
      </c>
      <c r="H568">
        <v>11104</v>
      </c>
      <c r="I568" t="s">
        <v>5695</v>
      </c>
      <c r="J568" t="s">
        <v>5696</v>
      </c>
      <c r="K568" t="s">
        <v>5882</v>
      </c>
      <c r="L568" t="s">
        <v>6714</v>
      </c>
      <c r="M568" t="s">
        <v>6732</v>
      </c>
      <c r="O568" t="s">
        <v>6750</v>
      </c>
      <c r="P568" t="s">
        <v>5695</v>
      </c>
      <c r="R568" t="s">
        <v>6793</v>
      </c>
      <c r="T568" t="s">
        <v>6807</v>
      </c>
      <c r="U568">
        <v>1195.64</v>
      </c>
      <c r="V568" t="s">
        <v>6837</v>
      </c>
      <c r="W568" t="s">
        <v>6840</v>
      </c>
      <c r="Y568" t="s">
        <v>7416</v>
      </c>
      <c r="Z568" t="s">
        <v>8944</v>
      </c>
      <c r="AA568" t="s">
        <v>9507</v>
      </c>
      <c r="AB568">
        <v>200</v>
      </c>
      <c r="AC568" t="s">
        <v>8953</v>
      </c>
      <c r="AD568" t="s">
        <v>5741</v>
      </c>
      <c r="AE568">
        <v>11</v>
      </c>
      <c r="AF568">
        <v>1</v>
      </c>
      <c r="AG568">
        <v>1</v>
      </c>
      <c r="AH568">
        <v>80.33</v>
      </c>
      <c r="AK568" t="s">
        <v>10967</v>
      </c>
      <c r="AL568">
        <v>13584</v>
      </c>
      <c r="AN568" t="s">
        <v>11082</v>
      </c>
      <c r="AO568" t="s">
        <v>6841</v>
      </c>
      <c r="AP568" t="s">
        <v>11098</v>
      </c>
      <c r="AQ568" t="s">
        <v>11106</v>
      </c>
      <c r="AR568">
        <v>1.9</v>
      </c>
      <c r="AS568" t="s">
        <v>6809</v>
      </c>
      <c r="AT568" t="s">
        <v>11184</v>
      </c>
      <c r="AU568" t="s">
        <v>11228</v>
      </c>
      <c r="AV568" t="s">
        <v>11231</v>
      </c>
      <c r="AW568" t="s">
        <v>6807</v>
      </c>
    </row>
    <row r="569" spans="1:49">
      <c r="A569" s="1">
        <f>HYPERLINK("https://lsnyc.legalserver.org/matter/dynamic-profile/view/1899671","19-1899671")</f>
        <v>0</v>
      </c>
      <c r="B569" t="s">
        <v>201</v>
      </c>
      <c r="C569" t="s">
        <v>462</v>
      </c>
      <c r="D569" t="s">
        <v>1934</v>
      </c>
      <c r="E569" t="s">
        <v>3622</v>
      </c>
      <c r="F569">
        <v>9</v>
      </c>
      <c r="G569" t="s">
        <v>5635</v>
      </c>
      <c r="H569">
        <v>10458</v>
      </c>
      <c r="I569" t="s">
        <v>5695</v>
      </c>
      <c r="J569" t="s">
        <v>5696</v>
      </c>
      <c r="L569" t="s">
        <v>6714</v>
      </c>
      <c r="M569" t="s">
        <v>6732</v>
      </c>
      <c r="O569" t="s">
        <v>6747</v>
      </c>
      <c r="R569" t="s">
        <v>6793</v>
      </c>
      <c r="U569">
        <v>0</v>
      </c>
      <c r="V569" t="s">
        <v>6833</v>
      </c>
      <c r="Y569" t="s">
        <v>7417</v>
      </c>
      <c r="AA569" t="s">
        <v>9508</v>
      </c>
      <c r="AB569">
        <v>0</v>
      </c>
      <c r="AE569">
        <v>0</v>
      </c>
      <c r="AF569">
        <v>1</v>
      </c>
      <c r="AG569">
        <v>3</v>
      </c>
      <c r="AH569">
        <v>40.39</v>
      </c>
      <c r="AK569" t="s">
        <v>10966</v>
      </c>
      <c r="AL569">
        <v>10400</v>
      </c>
      <c r="AM569" t="s">
        <v>11038</v>
      </c>
      <c r="AR569">
        <v>1</v>
      </c>
      <c r="AS569" t="s">
        <v>6811</v>
      </c>
      <c r="AT569" t="s">
        <v>288</v>
      </c>
      <c r="AU569" t="s">
        <v>11228</v>
      </c>
      <c r="AV569" t="s">
        <v>11231</v>
      </c>
      <c r="AW569" t="s">
        <v>11128</v>
      </c>
    </row>
    <row r="570" spans="1:49">
      <c r="A570" s="1">
        <f>HYPERLINK("https://lsnyc.legalserver.org/matter/dynamic-profile/view/1903201","19-1903201")</f>
        <v>0</v>
      </c>
      <c r="B570" t="s">
        <v>52</v>
      </c>
      <c r="C570" t="s">
        <v>479</v>
      </c>
      <c r="D570" t="s">
        <v>2077</v>
      </c>
      <c r="E570" t="s">
        <v>3623</v>
      </c>
      <c r="F570" t="s">
        <v>5187</v>
      </c>
      <c r="G570" t="s">
        <v>5637</v>
      </c>
      <c r="H570">
        <v>11205</v>
      </c>
      <c r="I570" t="s">
        <v>5695</v>
      </c>
      <c r="J570" t="s">
        <v>5696</v>
      </c>
      <c r="K570" t="s">
        <v>5883</v>
      </c>
      <c r="L570" t="s">
        <v>6714</v>
      </c>
      <c r="M570" t="s">
        <v>6732</v>
      </c>
      <c r="O570" t="s">
        <v>6746</v>
      </c>
      <c r="R570" t="s">
        <v>6794</v>
      </c>
      <c r="T570" t="s">
        <v>6811</v>
      </c>
      <c r="U570">
        <v>720</v>
      </c>
      <c r="V570" t="s">
        <v>6835</v>
      </c>
      <c r="W570" t="s">
        <v>6840</v>
      </c>
      <c r="Y570" t="s">
        <v>7418</v>
      </c>
      <c r="AA570" t="s">
        <v>9509</v>
      </c>
      <c r="AB570">
        <v>79</v>
      </c>
      <c r="AC570" t="s">
        <v>10931</v>
      </c>
      <c r="AE570">
        <v>0</v>
      </c>
      <c r="AF570">
        <v>1</v>
      </c>
      <c r="AG570">
        <v>0</v>
      </c>
      <c r="AH570">
        <v>271.13</v>
      </c>
      <c r="AK570" t="s">
        <v>10966</v>
      </c>
      <c r="AL570">
        <v>33864</v>
      </c>
      <c r="AR570">
        <v>1</v>
      </c>
      <c r="AS570" t="s">
        <v>10953</v>
      </c>
      <c r="AT570" t="s">
        <v>11178</v>
      </c>
      <c r="AU570" t="s">
        <v>11228</v>
      </c>
      <c r="AV570" t="s">
        <v>11231</v>
      </c>
      <c r="AW570" t="s">
        <v>10953</v>
      </c>
    </row>
    <row r="571" spans="1:49">
      <c r="A571" s="1">
        <f>HYPERLINK("https://lsnyc.legalserver.org/matter/dynamic-profile/view/1906260","19-1906260")</f>
        <v>0</v>
      </c>
      <c r="B571" t="s">
        <v>182</v>
      </c>
      <c r="C571" t="s">
        <v>624</v>
      </c>
      <c r="D571" t="s">
        <v>2078</v>
      </c>
      <c r="E571" t="s">
        <v>3624</v>
      </c>
      <c r="F571" t="s">
        <v>5316</v>
      </c>
      <c r="G571" t="s">
        <v>5637</v>
      </c>
      <c r="H571">
        <v>11208</v>
      </c>
      <c r="I571" t="s">
        <v>5696</v>
      </c>
      <c r="J571" t="s">
        <v>5696</v>
      </c>
      <c r="K571" t="s">
        <v>5884</v>
      </c>
      <c r="L571" t="s">
        <v>6714</v>
      </c>
      <c r="M571" t="s">
        <v>6732</v>
      </c>
      <c r="O571" t="s">
        <v>6746</v>
      </c>
      <c r="R571" t="s">
        <v>6793</v>
      </c>
      <c r="U571">
        <v>305.6</v>
      </c>
      <c r="V571" t="s">
        <v>6835</v>
      </c>
      <c r="W571" t="s">
        <v>6840</v>
      </c>
      <c r="Y571" t="s">
        <v>7419</v>
      </c>
      <c r="AA571" t="s">
        <v>9510</v>
      </c>
      <c r="AB571">
        <v>0</v>
      </c>
      <c r="AC571" t="s">
        <v>10931</v>
      </c>
      <c r="AD571" t="s">
        <v>5741</v>
      </c>
      <c r="AE571">
        <v>14</v>
      </c>
      <c r="AF571">
        <v>1</v>
      </c>
      <c r="AG571">
        <v>0</v>
      </c>
      <c r="AH571">
        <v>134.99</v>
      </c>
      <c r="AK571" t="s">
        <v>10966</v>
      </c>
      <c r="AL571">
        <v>16860</v>
      </c>
      <c r="AR571">
        <v>0</v>
      </c>
      <c r="AT571" t="s">
        <v>280</v>
      </c>
      <c r="AV571" t="s">
        <v>11231</v>
      </c>
      <c r="AW571" t="s">
        <v>6827</v>
      </c>
    </row>
    <row r="572" spans="1:49">
      <c r="A572" s="1">
        <f>HYPERLINK("https://lsnyc.legalserver.org/matter/dynamic-profile/view/1898759","19-1898759")</f>
        <v>0</v>
      </c>
      <c r="B572" t="s">
        <v>75</v>
      </c>
      <c r="C572" t="s">
        <v>479</v>
      </c>
      <c r="D572" t="s">
        <v>2079</v>
      </c>
      <c r="E572" t="s">
        <v>3625</v>
      </c>
      <c r="F572" t="s">
        <v>5317</v>
      </c>
      <c r="G572" t="s">
        <v>5638</v>
      </c>
      <c r="H572">
        <v>10024</v>
      </c>
      <c r="I572" t="s">
        <v>5696</v>
      </c>
      <c r="J572" t="s">
        <v>5696</v>
      </c>
      <c r="K572" t="s">
        <v>5885</v>
      </c>
      <c r="L572" t="s">
        <v>6714</v>
      </c>
      <c r="M572" t="s">
        <v>6732</v>
      </c>
      <c r="O572" t="s">
        <v>6758</v>
      </c>
      <c r="R572" t="s">
        <v>6794</v>
      </c>
      <c r="U572">
        <v>538</v>
      </c>
      <c r="V572" t="s">
        <v>6836</v>
      </c>
      <c r="W572" t="s">
        <v>6843</v>
      </c>
      <c r="Y572" t="s">
        <v>7420</v>
      </c>
      <c r="AA572" t="s">
        <v>9511</v>
      </c>
      <c r="AB572">
        <v>197</v>
      </c>
      <c r="AE572">
        <v>10</v>
      </c>
      <c r="AF572">
        <v>2</v>
      </c>
      <c r="AG572">
        <v>0</v>
      </c>
      <c r="AH572">
        <v>112.34</v>
      </c>
      <c r="AK572" t="s">
        <v>10966</v>
      </c>
      <c r="AL572">
        <v>18996</v>
      </c>
      <c r="AR572">
        <v>4.8</v>
      </c>
      <c r="AS572" t="s">
        <v>6807</v>
      </c>
      <c r="AT572" t="s">
        <v>11181</v>
      </c>
      <c r="AV572" t="s">
        <v>11231</v>
      </c>
      <c r="AW572" t="s">
        <v>11152</v>
      </c>
    </row>
    <row r="573" spans="1:49">
      <c r="A573" s="1">
        <f>HYPERLINK("https://lsnyc.legalserver.org/matter/dynamic-profile/view/1904961","19-1904961")</f>
        <v>0</v>
      </c>
      <c r="B573" t="s">
        <v>192</v>
      </c>
      <c r="C573" t="s">
        <v>371</v>
      </c>
      <c r="D573" t="s">
        <v>2080</v>
      </c>
      <c r="E573" t="s">
        <v>3626</v>
      </c>
      <c r="F573" t="s">
        <v>5161</v>
      </c>
      <c r="G573" t="s">
        <v>5635</v>
      </c>
      <c r="H573">
        <v>10472</v>
      </c>
      <c r="I573" t="s">
        <v>5695</v>
      </c>
      <c r="J573" t="s">
        <v>5696</v>
      </c>
      <c r="K573" t="s">
        <v>5886</v>
      </c>
      <c r="L573" t="s">
        <v>6714</v>
      </c>
      <c r="M573" t="s">
        <v>6732</v>
      </c>
      <c r="O573" t="s">
        <v>6747</v>
      </c>
      <c r="R573" t="s">
        <v>6793</v>
      </c>
      <c r="S573" t="s">
        <v>6801</v>
      </c>
      <c r="U573">
        <v>1100</v>
      </c>
      <c r="V573" t="s">
        <v>6833</v>
      </c>
      <c r="W573" t="s">
        <v>6840</v>
      </c>
      <c r="Y573" t="s">
        <v>7421</v>
      </c>
      <c r="AA573" t="s">
        <v>9512</v>
      </c>
      <c r="AB573">
        <v>67</v>
      </c>
      <c r="AC573" t="s">
        <v>10929</v>
      </c>
      <c r="AD573" t="s">
        <v>10944</v>
      </c>
      <c r="AE573">
        <v>21</v>
      </c>
      <c r="AF573">
        <v>1</v>
      </c>
      <c r="AG573">
        <v>0</v>
      </c>
      <c r="AH573">
        <v>74.45999999999999</v>
      </c>
      <c r="AK573" t="s">
        <v>10966</v>
      </c>
      <c r="AL573">
        <v>9300</v>
      </c>
      <c r="AR573">
        <v>0.4</v>
      </c>
      <c r="AS573" t="s">
        <v>6827</v>
      </c>
      <c r="AT573" t="s">
        <v>288</v>
      </c>
      <c r="AU573" t="s">
        <v>11228</v>
      </c>
      <c r="AV573" t="s">
        <v>11231</v>
      </c>
      <c r="AW573" t="s">
        <v>6812</v>
      </c>
    </row>
    <row r="574" spans="1:49">
      <c r="A574" s="1">
        <f>HYPERLINK("https://lsnyc.legalserver.org/matter/dynamic-profile/view/1904668","19-1904668")</f>
        <v>0</v>
      </c>
      <c r="B574" t="s">
        <v>118</v>
      </c>
      <c r="C574" t="s">
        <v>334</v>
      </c>
      <c r="D574" t="s">
        <v>2081</v>
      </c>
      <c r="E574" t="s">
        <v>3627</v>
      </c>
      <c r="F574" t="s">
        <v>5175</v>
      </c>
      <c r="G574" t="s">
        <v>5637</v>
      </c>
      <c r="H574">
        <v>11230</v>
      </c>
      <c r="I574" t="s">
        <v>5696</v>
      </c>
      <c r="J574" t="s">
        <v>5696</v>
      </c>
      <c r="L574" t="s">
        <v>6714</v>
      </c>
      <c r="M574" t="s">
        <v>6732</v>
      </c>
      <c r="O574" t="s">
        <v>6748</v>
      </c>
      <c r="R574" t="s">
        <v>6793</v>
      </c>
      <c r="U574">
        <v>2200</v>
      </c>
      <c r="V574" t="s">
        <v>6835</v>
      </c>
      <c r="W574" t="s">
        <v>6841</v>
      </c>
      <c r="Y574" t="s">
        <v>7422</v>
      </c>
      <c r="AA574" t="s">
        <v>9513</v>
      </c>
      <c r="AB574">
        <v>3</v>
      </c>
      <c r="AE574">
        <v>1</v>
      </c>
      <c r="AF574">
        <v>2</v>
      </c>
      <c r="AG574">
        <v>2</v>
      </c>
      <c r="AH574">
        <v>135.92</v>
      </c>
      <c r="AK574" t="s">
        <v>10966</v>
      </c>
      <c r="AL574">
        <v>35000</v>
      </c>
      <c r="AR574">
        <v>5.2</v>
      </c>
      <c r="AS574" t="s">
        <v>6826</v>
      </c>
      <c r="AT574" t="s">
        <v>11181</v>
      </c>
      <c r="AV574" t="s">
        <v>11231</v>
      </c>
      <c r="AW574" t="s">
        <v>6809</v>
      </c>
    </row>
    <row r="575" spans="1:49">
      <c r="A575" s="1">
        <f>HYPERLINK("https://lsnyc.legalserver.org/matter/dynamic-profile/view/1902925","19-1902925")</f>
        <v>0</v>
      </c>
      <c r="B575" t="s">
        <v>202</v>
      </c>
      <c r="C575" t="s">
        <v>752</v>
      </c>
      <c r="D575" t="s">
        <v>317</v>
      </c>
      <c r="E575" t="s">
        <v>3628</v>
      </c>
      <c r="F575" t="s">
        <v>5318</v>
      </c>
      <c r="G575" t="s">
        <v>5635</v>
      </c>
      <c r="H575">
        <v>10456</v>
      </c>
      <c r="I575" t="s">
        <v>5697</v>
      </c>
      <c r="J575" t="s">
        <v>5696</v>
      </c>
      <c r="K575" t="s">
        <v>5887</v>
      </c>
      <c r="L575" t="s">
        <v>6714</v>
      </c>
      <c r="M575" t="s">
        <v>6732</v>
      </c>
      <c r="O575" t="s">
        <v>6747</v>
      </c>
      <c r="P575" t="s">
        <v>5697</v>
      </c>
      <c r="R575" t="s">
        <v>6793</v>
      </c>
      <c r="S575" t="s">
        <v>6804</v>
      </c>
      <c r="U575">
        <v>799</v>
      </c>
      <c r="V575" t="s">
        <v>6833</v>
      </c>
      <c r="Y575" t="s">
        <v>7423</v>
      </c>
      <c r="AA575" t="s">
        <v>9514</v>
      </c>
      <c r="AB575">
        <v>69</v>
      </c>
      <c r="AE575">
        <v>3</v>
      </c>
      <c r="AF575">
        <v>1</v>
      </c>
      <c r="AG575">
        <v>0</v>
      </c>
      <c r="AH575">
        <v>123.03</v>
      </c>
      <c r="AK575" t="s">
        <v>10966</v>
      </c>
      <c r="AL575">
        <v>15366</v>
      </c>
      <c r="AR575">
        <v>3.5</v>
      </c>
      <c r="AS575" t="s">
        <v>11139</v>
      </c>
      <c r="AT575" t="s">
        <v>288</v>
      </c>
      <c r="AU575" t="s">
        <v>5741</v>
      </c>
      <c r="AV575" t="s">
        <v>11231</v>
      </c>
      <c r="AW575" t="s">
        <v>11131</v>
      </c>
    </row>
    <row r="576" spans="1:49">
      <c r="A576" s="1">
        <f>HYPERLINK("https://lsnyc.legalserver.org/matter/dynamic-profile/view/1905249","19-1905249")</f>
        <v>0</v>
      </c>
      <c r="B576" t="s">
        <v>53</v>
      </c>
      <c r="C576" t="s">
        <v>371</v>
      </c>
      <c r="D576" t="s">
        <v>2082</v>
      </c>
      <c r="E576" t="s">
        <v>3629</v>
      </c>
      <c r="F576" t="s">
        <v>5105</v>
      </c>
      <c r="G576" t="s">
        <v>5635</v>
      </c>
      <c r="H576">
        <v>10453</v>
      </c>
      <c r="I576" t="s">
        <v>5695</v>
      </c>
      <c r="J576" t="s">
        <v>5696</v>
      </c>
      <c r="K576" t="s">
        <v>5888</v>
      </c>
      <c r="L576" t="s">
        <v>6714</v>
      </c>
      <c r="M576" t="s">
        <v>6732</v>
      </c>
      <c r="O576" t="s">
        <v>6753</v>
      </c>
      <c r="P576" t="s">
        <v>5697</v>
      </c>
      <c r="R576" t="s">
        <v>6793</v>
      </c>
      <c r="S576" t="s">
        <v>6801</v>
      </c>
      <c r="U576">
        <v>1350</v>
      </c>
      <c r="V576" t="s">
        <v>6833</v>
      </c>
      <c r="Y576" t="s">
        <v>7424</v>
      </c>
      <c r="AA576" t="s">
        <v>9515</v>
      </c>
      <c r="AB576">
        <v>118</v>
      </c>
      <c r="AC576" t="s">
        <v>10929</v>
      </c>
      <c r="AE576">
        <v>11</v>
      </c>
      <c r="AF576">
        <v>1</v>
      </c>
      <c r="AG576">
        <v>0</v>
      </c>
      <c r="AH576">
        <v>360.29</v>
      </c>
      <c r="AK576" t="s">
        <v>10966</v>
      </c>
      <c r="AL576">
        <v>45000</v>
      </c>
      <c r="AR576">
        <v>0.3</v>
      </c>
      <c r="AS576" t="s">
        <v>6827</v>
      </c>
      <c r="AT576" t="s">
        <v>288</v>
      </c>
      <c r="AU576" t="s">
        <v>11228</v>
      </c>
      <c r="AV576" t="s">
        <v>11231</v>
      </c>
      <c r="AW576" t="s">
        <v>6808</v>
      </c>
    </row>
    <row r="577" spans="1:49">
      <c r="A577" s="1">
        <f>HYPERLINK("https://lsnyc.legalserver.org/matter/dynamic-profile/view/1898608","19-1898608")</f>
        <v>0</v>
      </c>
      <c r="B577" t="s">
        <v>186</v>
      </c>
      <c r="C577" t="s">
        <v>753</v>
      </c>
      <c r="D577" t="s">
        <v>1842</v>
      </c>
      <c r="E577" t="s">
        <v>3630</v>
      </c>
      <c r="G577" t="s">
        <v>5662</v>
      </c>
      <c r="H577">
        <v>11368</v>
      </c>
      <c r="I577" t="s">
        <v>5695</v>
      </c>
      <c r="J577" t="s">
        <v>5695</v>
      </c>
      <c r="K577" t="s">
        <v>5889</v>
      </c>
      <c r="L577" t="s">
        <v>6714</v>
      </c>
      <c r="M577" t="s">
        <v>6732</v>
      </c>
      <c r="O577" t="s">
        <v>6750</v>
      </c>
      <c r="P577" t="s">
        <v>5697</v>
      </c>
      <c r="R577" t="s">
        <v>6793</v>
      </c>
      <c r="S577" t="s">
        <v>6804</v>
      </c>
      <c r="U577">
        <v>2600</v>
      </c>
      <c r="V577" t="s">
        <v>6837</v>
      </c>
      <c r="W577" t="s">
        <v>6840</v>
      </c>
      <c r="Y577" t="s">
        <v>7425</v>
      </c>
      <c r="AA577" t="s">
        <v>9516</v>
      </c>
      <c r="AB577">
        <v>3</v>
      </c>
      <c r="AC577" t="s">
        <v>10930</v>
      </c>
      <c r="AD577" t="s">
        <v>5741</v>
      </c>
      <c r="AE577">
        <v>1</v>
      </c>
      <c r="AF577">
        <v>2</v>
      </c>
      <c r="AG577">
        <v>0</v>
      </c>
      <c r="AH577">
        <v>196.92</v>
      </c>
      <c r="AK577" t="s">
        <v>10967</v>
      </c>
      <c r="AL577">
        <v>33300</v>
      </c>
      <c r="AR577">
        <v>0.8</v>
      </c>
      <c r="AS577" t="s">
        <v>11152</v>
      </c>
      <c r="AT577" t="s">
        <v>186</v>
      </c>
      <c r="AV577" t="s">
        <v>11231</v>
      </c>
      <c r="AW577" t="s">
        <v>11123</v>
      </c>
    </row>
    <row r="578" spans="1:49">
      <c r="A578" s="1">
        <f>HYPERLINK("https://lsnyc.legalserver.org/matter/dynamic-profile/view/1901887","19-1901887")</f>
        <v>0</v>
      </c>
      <c r="B578" t="s">
        <v>201</v>
      </c>
      <c r="C578" t="s">
        <v>754</v>
      </c>
      <c r="D578" t="s">
        <v>2083</v>
      </c>
      <c r="E578" t="s">
        <v>3631</v>
      </c>
      <c r="F578" t="s">
        <v>5152</v>
      </c>
      <c r="G578" t="s">
        <v>5635</v>
      </c>
      <c r="H578">
        <v>10453</v>
      </c>
      <c r="I578" t="s">
        <v>5695</v>
      </c>
      <c r="J578" t="s">
        <v>5696</v>
      </c>
      <c r="K578" t="s">
        <v>5890</v>
      </c>
      <c r="L578" t="s">
        <v>6714</v>
      </c>
      <c r="M578" t="s">
        <v>6732</v>
      </c>
      <c r="O578" t="s">
        <v>6747</v>
      </c>
      <c r="P578" t="s">
        <v>5697</v>
      </c>
      <c r="R578" t="s">
        <v>6793</v>
      </c>
      <c r="U578">
        <v>1391</v>
      </c>
      <c r="V578" t="s">
        <v>6833</v>
      </c>
      <c r="Y578" t="s">
        <v>7426</v>
      </c>
      <c r="AA578" t="s">
        <v>9517</v>
      </c>
      <c r="AB578">
        <v>0</v>
      </c>
      <c r="AD578" t="s">
        <v>10945</v>
      </c>
      <c r="AE578">
        <v>35</v>
      </c>
      <c r="AF578">
        <v>2</v>
      </c>
      <c r="AG578">
        <v>0</v>
      </c>
      <c r="AH578">
        <v>46.94</v>
      </c>
      <c r="AK578" t="s">
        <v>10967</v>
      </c>
      <c r="AL578">
        <v>7938</v>
      </c>
      <c r="AM578" t="s">
        <v>11008</v>
      </c>
      <c r="AR578">
        <v>0.75</v>
      </c>
      <c r="AS578" t="s">
        <v>6811</v>
      </c>
      <c r="AT578" t="s">
        <v>288</v>
      </c>
      <c r="AU578" t="s">
        <v>11228</v>
      </c>
      <c r="AV578" t="s">
        <v>11231</v>
      </c>
      <c r="AW578" t="s">
        <v>11150</v>
      </c>
    </row>
    <row r="579" spans="1:49">
      <c r="A579" s="1">
        <f>HYPERLINK("https://lsnyc.legalserver.org/matter/dynamic-profile/view/1896711","19-1896711")</f>
        <v>0</v>
      </c>
      <c r="B579" t="s">
        <v>215</v>
      </c>
      <c r="C579" t="s">
        <v>343</v>
      </c>
      <c r="D579" t="s">
        <v>1760</v>
      </c>
      <c r="E579" t="s">
        <v>3632</v>
      </c>
      <c r="F579" t="s">
        <v>5161</v>
      </c>
      <c r="G579" t="s">
        <v>5637</v>
      </c>
      <c r="H579">
        <v>11224</v>
      </c>
      <c r="I579" t="s">
        <v>5696</v>
      </c>
      <c r="J579" t="s">
        <v>5696</v>
      </c>
      <c r="K579" t="s">
        <v>5891</v>
      </c>
      <c r="L579" t="s">
        <v>6714</v>
      </c>
      <c r="M579" t="s">
        <v>6732</v>
      </c>
      <c r="O579" t="s">
        <v>6756</v>
      </c>
      <c r="P579" t="s">
        <v>5697</v>
      </c>
      <c r="R579" t="s">
        <v>6793</v>
      </c>
      <c r="S579" t="s">
        <v>6801</v>
      </c>
      <c r="U579">
        <v>1089.87</v>
      </c>
      <c r="V579" t="s">
        <v>6835</v>
      </c>
      <c r="W579" t="s">
        <v>6838</v>
      </c>
      <c r="Y579" t="s">
        <v>7427</v>
      </c>
      <c r="AA579" t="s">
        <v>9518</v>
      </c>
      <c r="AB579">
        <v>0</v>
      </c>
      <c r="AC579" t="s">
        <v>10929</v>
      </c>
      <c r="AE579">
        <v>3</v>
      </c>
      <c r="AF579">
        <v>1</v>
      </c>
      <c r="AG579">
        <v>0</v>
      </c>
      <c r="AH579">
        <v>136.11</v>
      </c>
      <c r="AK579" t="s">
        <v>10966</v>
      </c>
      <c r="AL579">
        <v>17000</v>
      </c>
      <c r="AR579">
        <v>2.1</v>
      </c>
      <c r="AS579" t="s">
        <v>11152</v>
      </c>
      <c r="AT579" t="s">
        <v>215</v>
      </c>
      <c r="AV579" t="s">
        <v>11231</v>
      </c>
      <c r="AW579" t="s">
        <v>11122</v>
      </c>
    </row>
    <row r="580" spans="1:49">
      <c r="A580" s="1">
        <f>HYPERLINK("https://lsnyc.legalserver.org/matter/dynamic-profile/view/1896475","19-1896475")</f>
        <v>0</v>
      </c>
      <c r="B580" t="s">
        <v>216</v>
      </c>
      <c r="C580" t="s">
        <v>755</v>
      </c>
      <c r="D580" t="s">
        <v>2084</v>
      </c>
      <c r="E580" t="s">
        <v>3633</v>
      </c>
      <c r="F580" t="s">
        <v>5203</v>
      </c>
      <c r="G580" t="s">
        <v>5638</v>
      </c>
      <c r="H580">
        <v>10025</v>
      </c>
      <c r="I580" t="s">
        <v>5695</v>
      </c>
      <c r="J580" t="s">
        <v>5695</v>
      </c>
      <c r="K580" t="s">
        <v>5892</v>
      </c>
      <c r="L580" t="s">
        <v>6714</v>
      </c>
      <c r="M580" t="s">
        <v>6732</v>
      </c>
      <c r="O580" t="s">
        <v>6749</v>
      </c>
      <c r="P580" t="s">
        <v>5697</v>
      </c>
      <c r="R580" t="s">
        <v>6794</v>
      </c>
      <c r="S580" t="s">
        <v>6801</v>
      </c>
      <c r="U580">
        <v>284</v>
      </c>
      <c r="V580" t="s">
        <v>6836</v>
      </c>
      <c r="W580" t="s">
        <v>6840</v>
      </c>
      <c r="Y580" t="s">
        <v>7428</v>
      </c>
      <c r="Z580" t="s">
        <v>8945</v>
      </c>
      <c r="AA580" t="s">
        <v>9519</v>
      </c>
      <c r="AB580">
        <v>0</v>
      </c>
      <c r="AC580" t="s">
        <v>10931</v>
      </c>
      <c r="AD580" t="s">
        <v>5741</v>
      </c>
      <c r="AE580">
        <v>3</v>
      </c>
      <c r="AF580">
        <v>1</v>
      </c>
      <c r="AG580">
        <v>2</v>
      </c>
      <c r="AH580">
        <v>14.14</v>
      </c>
      <c r="AK580" t="s">
        <v>10966</v>
      </c>
      <c r="AL580">
        <v>3016</v>
      </c>
      <c r="AR580">
        <v>0.8</v>
      </c>
      <c r="AS580" t="s">
        <v>11154</v>
      </c>
      <c r="AT580" t="s">
        <v>305</v>
      </c>
      <c r="AV580" t="s">
        <v>11231</v>
      </c>
      <c r="AW580" t="s">
        <v>11154</v>
      </c>
    </row>
    <row r="581" spans="1:49">
      <c r="A581" s="1">
        <f>HYPERLINK("https://lsnyc.legalserver.org/matter/dynamic-profile/view/1904541","19-1904541")</f>
        <v>0</v>
      </c>
      <c r="B581" t="s">
        <v>217</v>
      </c>
      <c r="C581" t="s">
        <v>756</v>
      </c>
      <c r="D581" t="s">
        <v>2085</v>
      </c>
      <c r="E581" t="s">
        <v>3634</v>
      </c>
      <c r="F581" t="s">
        <v>5319</v>
      </c>
      <c r="G581" t="s">
        <v>5645</v>
      </c>
      <c r="H581">
        <v>11102</v>
      </c>
      <c r="I581" t="s">
        <v>5695</v>
      </c>
      <c r="J581" t="s">
        <v>5696</v>
      </c>
      <c r="K581" t="s">
        <v>5893</v>
      </c>
      <c r="L581" t="s">
        <v>6714</v>
      </c>
      <c r="M581" t="s">
        <v>6732</v>
      </c>
      <c r="O581" t="s">
        <v>6750</v>
      </c>
      <c r="P581" t="s">
        <v>5697</v>
      </c>
      <c r="R581" t="s">
        <v>6793</v>
      </c>
      <c r="S581" t="s">
        <v>6804</v>
      </c>
      <c r="T581" t="s">
        <v>6810</v>
      </c>
      <c r="U581">
        <v>1244</v>
      </c>
      <c r="V581" t="s">
        <v>6837</v>
      </c>
      <c r="W581" t="s">
        <v>6840</v>
      </c>
      <c r="Y581" t="s">
        <v>7429</v>
      </c>
      <c r="Z581" t="s">
        <v>5741</v>
      </c>
      <c r="AA581" t="s">
        <v>9520</v>
      </c>
      <c r="AB581">
        <v>80</v>
      </c>
      <c r="AC581" t="s">
        <v>8953</v>
      </c>
      <c r="AD581" t="s">
        <v>5741</v>
      </c>
      <c r="AE581">
        <v>5</v>
      </c>
      <c r="AF581">
        <v>3</v>
      </c>
      <c r="AG581">
        <v>0</v>
      </c>
      <c r="AH581">
        <v>127.99</v>
      </c>
      <c r="AK581" t="s">
        <v>10977</v>
      </c>
      <c r="AL581">
        <v>27300</v>
      </c>
      <c r="AR581">
        <v>1.5</v>
      </c>
      <c r="AS581" t="s">
        <v>6814</v>
      </c>
      <c r="AT581" t="s">
        <v>11182</v>
      </c>
      <c r="AU581" t="s">
        <v>11228</v>
      </c>
      <c r="AV581" t="s">
        <v>11231</v>
      </c>
      <c r="AW581" t="s">
        <v>6810</v>
      </c>
    </row>
    <row r="582" spans="1:49">
      <c r="A582" s="1">
        <f>HYPERLINK("https://lsnyc.legalserver.org/matter/dynamic-profile/view/1902849","19-1902849")</f>
        <v>0</v>
      </c>
      <c r="B582" t="s">
        <v>52</v>
      </c>
      <c r="C582" t="s">
        <v>757</v>
      </c>
      <c r="D582" t="s">
        <v>2086</v>
      </c>
      <c r="E582" t="s">
        <v>3635</v>
      </c>
      <c r="F582" t="s">
        <v>5235</v>
      </c>
      <c r="G582" t="s">
        <v>5637</v>
      </c>
      <c r="H582">
        <v>11208</v>
      </c>
      <c r="I582" t="s">
        <v>5695</v>
      </c>
      <c r="J582" t="s">
        <v>5696</v>
      </c>
      <c r="K582" t="s">
        <v>5894</v>
      </c>
      <c r="L582" t="s">
        <v>6714</v>
      </c>
      <c r="M582" t="s">
        <v>6732</v>
      </c>
      <c r="O582" t="s">
        <v>6746</v>
      </c>
      <c r="R582" t="s">
        <v>6794</v>
      </c>
      <c r="T582" t="s">
        <v>6811</v>
      </c>
      <c r="U582">
        <v>418</v>
      </c>
      <c r="V582" t="s">
        <v>6835</v>
      </c>
      <c r="W582" t="s">
        <v>6843</v>
      </c>
      <c r="Y582" t="s">
        <v>7430</v>
      </c>
      <c r="AA582" t="s">
        <v>9521</v>
      </c>
      <c r="AB582">
        <v>0</v>
      </c>
      <c r="AC582" t="s">
        <v>10931</v>
      </c>
      <c r="AD582" t="s">
        <v>5741</v>
      </c>
      <c r="AE582">
        <v>44</v>
      </c>
      <c r="AF582">
        <v>1</v>
      </c>
      <c r="AG582">
        <v>0</v>
      </c>
      <c r="AH582">
        <v>76.67</v>
      </c>
      <c r="AK582" t="s">
        <v>10966</v>
      </c>
      <c r="AL582">
        <v>9576</v>
      </c>
      <c r="AR582">
        <v>1.5</v>
      </c>
      <c r="AS582" t="s">
        <v>11138</v>
      </c>
      <c r="AT582" t="s">
        <v>11203</v>
      </c>
      <c r="AU582" t="s">
        <v>11228</v>
      </c>
      <c r="AV582" t="s">
        <v>11231</v>
      </c>
      <c r="AW582" t="s">
        <v>11131</v>
      </c>
    </row>
    <row r="583" spans="1:49">
      <c r="A583" s="1">
        <f>HYPERLINK("https://lsnyc.legalserver.org/matter/dynamic-profile/view/1905944","19-1905944")</f>
        <v>0</v>
      </c>
      <c r="B583" t="s">
        <v>129</v>
      </c>
      <c r="C583" t="s">
        <v>758</v>
      </c>
      <c r="D583" t="s">
        <v>1893</v>
      </c>
      <c r="E583" t="s">
        <v>3636</v>
      </c>
      <c r="F583" t="s">
        <v>5320</v>
      </c>
      <c r="G583" t="s">
        <v>5637</v>
      </c>
      <c r="H583">
        <v>11229</v>
      </c>
      <c r="I583" t="s">
        <v>5695</v>
      </c>
      <c r="J583" t="s">
        <v>5696</v>
      </c>
      <c r="K583" t="s">
        <v>5895</v>
      </c>
      <c r="L583" t="s">
        <v>6714</v>
      </c>
      <c r="M583" t="s">
        <v>6732</v>
      </c>
      <c r="O583" t="s">
        <v>6746</v>
      </c>
      <c r="R583" t="s">
        <v>6793</v>
      </c>
      <c r="U583">
        <v>1700</v>
      </c>
      <c r="V583" t="s">
        <v>6835</v>
      </c>
      <c r="W583" t="s">
        <v>6840</v>
      </c>
      <c r="Y583" t="s">
        <v>7431</v>
      </c>
      <c r="AA583" t="s">
        <v>9522</v>
      </c>
      <c r="AB583">
        <v>0</v>
      </c>
      <c r="AE583">
        <v>1</v>
      </c>
      <c r="AF583">
        <v>1</v>
      </c>
      <c r="AG583">
        <v>1</v>
      </c>
      <c r="AH583">
        <v>184.51</v>
      </c>
      <c r="AK583" t="s">
        <v>10966</v>
      </c>
      <c r="AL583">
        <v>31200</v>
      </c>
      <c r="AR583">
        <v>0</v>
      </c>
      <c r="AT583" t="s">
        <v>11190</v>
      </c>
      <c r="AU583" t="s">
        <v>11228</v>
      </c>
      <c r="AV583" t="s">
        <v>11231</v>
      </c>
      <c r="AW583" t="s">
        <v>6826</v>
      </c>
    </row>
    <row r="584" spans="1:49">
      <c r="A584" s="1">
        <f>HYPERLINK("https://lsnyc.legalserver.org/matter/dynamic-profile/view/1895999","19-1895999")</f>
        <v>0</v>
      </c>
      <c r="B584" t="s">
        <v>136</v>
      </c>
      <c r="C584" t="s">
        <v>759</v>
      </c>
      <c r="D584" t="s">
        <v>2087</v>
      </c>
      <c r="E584" t="s">
        <v>3637</v>
      </c>
      <c r="F584" t="s">
        <v>5321</v>
      </c>
      <c r="G584" t="s">
        <v>5637</v>
      </c>
      <c r="H584">
        <v>11217</v>
      </c>
      <c r="I584" t="s">
        <v>5696</v>
      </c>
      <c r="J584" t="s">
        <v>5696</v>
      </c>
      <c r="K584" t="s">
        <v>5896</v>
      </c>
      <c r="L584" t="s">
        <v>6714</v>
      </c>
      <c r="M584" t="s">
        <v>6732</v>
      </c>
      <c r="O584" t="s">
        <v>6771</v>
      </c>
      <c r="R584" t="s">
        <v>6793</v>
      </c>
      <c r="S584" t="s">
        <v>6804</v>
      </c>
      <c r="U584">
        <v>862</v>
      </c>
      <c r="V584" t="s">
        <v>6835</v>
      </c>
      <c r="W584" t="s">
        <v>6843</v>
      </c>
      <c r="Y584" t="s">
        <v>7432</v>
      </c>
      <c r="AA584" t="s">
        <v>9523</v>
      </c>
      <c r="AB584">
        <v>112</v>
      </c>
      <c r="AC584" t="s">
        <v>8953</v>
      </c>
      <c r="AE584">
        <v>20</v>
      </c>
      <c r="AF584">
        <v>1</v>
      </c>
      <c r="AG584">
        <v>0</v>
      </c>
      <c r="AH584">
        <v>122.02</v>
      </c>
      <c r="AL584">
        <v>15240</v>
      </c>
      <c r="AR584">
        <v>18.75</v>
      </c>
      <c r="AS584" t="s">
        <v>6823</v>
      </c>
      <c r="AT584" t="s">
        <v>11191</v>
      </c>
      <c r="AV584" t="s">
        <v>11231</v>
      </c>
      <c r="AW584" t="s">
        <v>11170</v>
      </c>
    </row>
    <row r="585" spans="1:49">
      <c r="A585" s="1">
        <f>HYPERLINK("https://lsnyc.legalserver.org/matter/dynamic-profile/view/1895862","19-1895862")</f>
        <v>0</v>
      </c>
      <c r="B585" t="s">
        <v>196</v>
      </c>
      <c r="C585" t="s">
        <v>348</v>
      </c>
      <c r="D585" t="s">
        <v>2041</v>
      </c>
      <c r="E585" t="s">
        <v>3638</v>
      </c>
      <c r="F585">
        <v>14</v>
      </c>
      <c r="G585" t="s">
        <v>5635</v>
      </c>
      <c r="H585">
        <v>10451</v>
      </c>
      <c r="I585" t="s">
        <v>5695</v>
      </c>
      <c r="J585" t="s">
        <v>5695</v>
      </c>
      <c r="K585" t="s">
        <v>5897</v>
      </c>
      <c r="L585" t="s">
        <v>6714</v>
      </c>
      <c r="M585" t="s">
        <v>6732</v>
      </c>
      <c r="O585" t="s">
        <v>6747</v>
      </c>
      <c r="P585" t="s">
        <v>5697</v>
      </c>
      <c r="R585" t="s">
        <v>6793</v>
      </c>
      <c r="U585">
        <v>998</v>
      </c>
      <c r="V585" t="s">
        <v>6833</v>
      </c>
      <c r="W585" t="s">
        <v>6839</v>
      </c>
      <c r="Y585" t="s">
        <v>7433</v>
      </c>
      <c r="AA585" t="s">
        <v>9524</v>
      </c>
      <c r="AB585">
        <v>0</v>
      </c>
      <c r="AC585" t="s">
        <v>8953</v>
      </c>
      <c r="AD585" t="s">
        <v>5741</v>
      </c>
      <c r="AE585">
        <v>45</v>
      </c>
      <c r="AF585">
        <v>2</v>
      </c>
      <c r="AG585">
        <v>0</v>
      </c>
      <c r="AH585">
        <v>30.29</v>
      </c>
      <c r="AK585" t="s">
        <v>10966</v>
      </c>
      <c r="AL585">
        <v>5122</v>
      </c>
      <c r="AM585" t="s">
        <v>11039</v>
      </c>
      <c r="AR585">
        <v>0.5</v>
      </c>
      <c r="AS585" t="s">
        <v>11153</v>
      </c>
      <c r="AT585" t="s">
        <v>11179</v>
      </c>
      <c r="AV585" t="s">
        <v>11231</v>
      </c>
      <c r="AW585" t="s">
        <v>11153</v>
      </c>
    </row>
    <row r="586" spans="1:49">
      <c r="A586" s="1">
        <f>HYPERLINK("https://lsnyc.legalserver.org/matter/dynamic-profile/view/1903574","19-1903574")</f>
        <v>0</v>
      </c>
      <c r="B586" t="s">
        <v>53</v>
      </c>
      <c r="C586" t="s">
        <v>760</v>
      </c>
      <c r="D586" t="s">
        <v>2088</v>
      </c>
      <c r="E586" t="s">
        <v>3639</v>
      </c>
      <c r="G586" t="s">
        <v>5635</v>
      </c>
      <c r="H586">
        <v>10458</v>
      </c>
      <c r="I586" t="s">
        <v>5695</v>
      </c>
      <c r="J586" t="s">
        <v>5696</v>
      </c>
      <c r="K586" t="s">
        <v>5898</v>
      </c>
      <c r="L586" t="s">
        <v>6714</v>
      </c>
      <c r="M586" t="s">
        <v>6732</v>
      </c>
      <c r="O586" t="s">
        <v>6747</v>
      </c>
      <c r="P586" t="s">
        <v>5697</v>
      </c>
      <c r="R586" t="s">
        <v>6793</v>
      </c>
      <c r="S586" t="s">
        <v>6801</v>
      </c>
      <c r="T586" t="s">
        <v>6809</v>
      </c>
      <c r="U586">
        <v>1451.92</v>
      </c>
      <c r="V586" t="s">
        <v>6833</v>
      </c>
      <c r="W586" t="s">
        <v>6842</v>
      </c>
      <c r="Y586" t="s">
        <v>7434</v>
      </c>
      <c r="AA586" t="s">
        <v>9525</v>
      </c>
      <c r="AB586">
        <v>44</v>
      </c>
      <c r="AC586" t="s">
        <v>10929</v>
      </c>
      <c r="AD586" t="s">
        <v>10949</v>
      </c>
      <c r="AE586">
        <v>2</v>
      </c>
      <c r="AF586">
        <v>0</v>
      </c>
      <c r="AG586">
        <v>3</v>
      </c>
      <c r="AH586">
        <v>42.19</v>
      </c>
      <c r="AK586" t="s">
        <v>10966</v>
      </c>
      <c r="AL586">
        <v>9000</v>
      </c>
      <c r="AR586">
        <v>0.6</v>
      </c>
      <c r="AS586" t="s">
        <v>6823</v>
      </c>
      <c r="AT586" t="s">
        <v>279</v>
      </c>
      <c r="AU586" t="s">
        <v>11228</v>
      </c>
      <c r="AV586" t="s">
        <v>11231</v>
      </c>
      <c r="AW586" t="s">
        <v>6809</v>
      </c>
    </row>
    <row r="587" spans="1:49">
      <c r="A587" s="1">
        <f>HYPERLINK("https://lsnyc.legalserver.org/matter/dynamic-profile/view/1904361","19-1904361")</f>
        <v>0</v>
      </c>
      <c r="B587" t="s">
        <v>53</v>
      </c>
      <c r="C587" t="s">
        <v>761</v>
      </c>
      <c r="D587" t="s">
        <v>1717</v>
      </c>
      <c r="E587" t="s">
        <v>3640</v>
      </c>
      <c r="F587" t="s">
        <v>5322</v>
      </c>
      <c r="G587" t="s">
        <v>5635</v>
      </c>
      <c r="H587">
        <v>10467</v>
      </c>
      <c r="I587" t="s">
        <v>5695</v>
      </c>
      <c r="J587" t="s">
        <v>5696</v>
      </c>
      <c r="K587" t="s">
        <v>5899</v>
      </c>
      <c r="L587" t="s">
        <v>6714</v>
      </c>
      <c r="M587" t="s">
        <v>6732</v>
      </c>
      <c r="O587" t="s">
        <v>6747</v>
      </c>
      <c r="P587" t="s">
        <v>5697</v>
      </c>
      <c r="R587" t="s">
        <v>6793</v>
      </c>
      <c r="U587">
        <v>1380</v>
      </c>
      <c r="V587" t="s">
        <v>6833</v>
      </c>
      <c r="W587" t="s">
        <v>6839</v>
      </c>
      <c r="Y587" t="s">
        <v>7435</v>
      </c>
      <c r="AA587" t="s">
        <v>9526</v>
      </c>
      <c r="AB587">
        <v>40</v>
      </c>
      <c r="AC587" t="s">
        <v>8953</v>
      </c>
      <c r="AD587" t="s">
        <v>5741</v>
      </c>
      <c r="AE587">
        <v>0</v>
      </c>
      <c r="AF587">
        <v>2</v>
      </c>
      <c r="AG587">
        <v>1</v>
      </c>
      <c r="AH587">
        <v>245.66</v>
      </c>
      <c r="AK587" t="s">
        <v>10966</v>
      </c>
      <c r="AL587">
        <v>52400</v>
      </c>
      <c r="AR587">
        <v>0.6</v>
      </c>
      <c r="AS587" t="s">
        <v>6823</v>
      </c>
      <c r="AT587" t="s">
        <v>11187</v>
      </c>
      <c r="AU587" t="s">
        <v>11228</v>
      </c>
      <c r="AV587" t="s">
        <v>11231</v>
      </c>
      <c r="AW587" t="s">
        <v>6813</v>
      </c>
    </row>
    <row r="588" spans="1:49">
      <c r="A588" s="1">
        <f>HYPERLINK("https://lsnyc.legalserver.org/matter/dynamic-profile/view/1905603","19-1905603")</f>
        <v>0</v>
      </c>
      <c r="B588" t="s">
        <v>214</v>
      </c>
      <c r="C588" t="s">
        <v>389</v>
      </c>
      <c r="D588" t="s">
        <v>2089</v>
      </c>
      <c r="E588" t="s">
        <v>3641</v>
      </c>
      <c r="F588" t="s">
        <v>5154</v>
      </c>
      <c r="G588" t="s">
        <v>5637</v>
      </c>
      <c r="H588">
        <v>11233</v>
      </c>
      <c r="I588" t="s">
        <v>5695</v>
      </c>
      <c r="J588" t="s">
        <v>5696</v>
      </c>
      <c r="K588" t="s">
        <v>5900</v>
      </c>
      <c r="L588" t="s">
        <v>6714</v>
      </c>
      <c r="M588" t="s">
        <v>6732</v>
      </c>
      <c r="O588" t="s">
        <v>6756</v>
      </c>
      <c r="P588" t="s">
        <v>5697</v>
      </c>
      <c r="R588" t="s">
        <v>6796</v>
      </c>
      <c r="S588" t="s">
        <v>6804</v>
      </c>
      <c r="T588" t="s">
        <v>6819</v>
      </c>
      <c r="U588">
        <v>461</v>
      </c>
      <c r="V588" t="s">
        <v>6835</v>
      </c>
      <c r="W588" t="s">
        <v>6838</v>
      </c>
      <c r="Y588" t="s">
        <v>7436</v>
      </c>
      <c r="AA588" t="s">
        <v>9527</v>
      </c>
      <c r="AB588">
        <v>0</v>
      </c>
      <c r="AC588" t="s">
        <v>10934</v>
      </c>
      <c r="AD588" t="s">
        <v>10944</v>
      </c>
      <c r="AE588">
        <v>34</v>
      </c>
      <c r="AF588">
        <v>2</v>
      </c>
      <c r="AG588">
        <v>0</v>
      </c>
      <c r="AH588">
        <v>54.71</v>
      </c>
      <c r="AK588" t="s">
        <v>10966</v>
      </c>
      <c r="AL588">
        <v>9252</v>
      </c>
      <c r="AR588">
        <v>0.8</v>
      </c>
      <c r="AS588" t="s">
        <v>6819</v>
      </c>
      <c r="AT588" t="s">
        <v>214</v>
      </c>
      <c r="AU588" t="s">
        <v>11228</v>
      </c>
      <c r="AV588" t="s">
        <v>11231</v>
      </c>
      <c r="AW588" t="s">
        <v>6819</v>
      </c>
    </row>
    <row r="589" spans="1:49">
      <c r="A589" s="1">
        <f>HYPERLINK("https://lsnyc.legalserver.org/matter/dynamic-profile/view/1904667","19-1904667")</f>
        <v>0</v>
      </c>
      <c r="B589" t="s">
        <v>53</v>
      </c>
      <c r="C589" t="s">
        <v>762</v>
      </c>
      <c r="D589" t="s">
        <v>2090</v>
      </c>
      <c r="E589" t="s">
        <v>3642</v>
      </c>
      <c r="F589" t="s">
        <v>5142</v>
      </c>
      <c r="G589" t="s">
        <v>5635</v>
      </c>
      <c r="H589">
        <v>10460</v>
      </c>
      <c r="I589" t="s">
        <v>5695</v>
      </c>
      <c r="J589" t="s">
        <v>5696</v>
      </c>
      <c r="K589" t="s">
        <v>5901</v>
      </c>
      <c r="L589" t="s">
        <v>6714</v>
      </c>
      <c r="M589" t="s">
        <v>6732</v>
      </c>
      <c r="O589" t="s">
        <v>6747</v>
      </c>
      <c r="R589" t="s">
        <v>6793</v>
      </c>
      <c r="S589" t="s">
        <v>6801</v>
      </c>
      <c r="U589">
        <v>729</v>
      </c>
      <c r="V589" t="s">
        <v>6833</v>
      </c>
      <c r="W589" t="s">
        <v>6839</v>
      </c>
      <c r="AA589" t="s">
        <v>9528</v>
      </c>
      <c r="AB589">
        <v>0</v>
      </c>
      <c r="AC589" t="s">
        <v>10934</v>
      </c>
      <c r="AE589">
        <v>4</v>
      </c>
      <c r="AF589">
        <v>1</v>
      </c>
      <c r="AG589">
        <v>0</v>
      </c>
      <c r="AH589">
        <v>249.61</v>
      </c>
      <c r="AK589" t="s">
        <v>10966</v>
      </c>
      <c r="AL589">
        <v>31176</v>
      </c>
      <c r="AR589">
        <v>0.3</v>
      </c>
      <c r="AS589" t="s">
        <v>6819</v>
      </c>
      <c r="AT589" t="s">
        <v>139</v>
      </c>
      <c r="AU589" t="s">
        <v>11228</v>
      </c>
      <c r="AV589" t="s">
        <v>11231</v>
      </c>
      <c r="AW589" t="s">
        <v>6809</v>
      </c>
    </row>
    <row r="590" spans="1:49">
      <c r="A590" s="1">
        <f>HYPERLINK("https://lsnyc.legalserver.org/matter/dynamic-profile/view/1900852","19-1900852")</f>
        <v>0</v>
      </c>
      <c r="B590" t="s">
        <v>98</v>
      </c>
      <c r="C590" t="s">
        <v>371</v>
      </c>
      <c r="D590" t="s">
        <v>1760</v>
      </c>
      <c r="E590" t="s">
        <v>3643</v>
      </c>
      <c r="F590">
        <v>400</v>
      </c>
      <c r="G590" t="s">
        <v>5638</v>
      </c>
      <c r="H590">
        <v>10031</v>
      </c>
      <c r="I590" t="s">
        <v>5695</v>
      </c>
      <c r="J590" t="s">
        <v>5696</v>
      </c>
      <c r="L590" t="s">
        <v>6714</v>
      </c>
      <c r="M590" t="s">
        <v>6732</v>
      </c>
      <c r="O590" t="s">
        <v>6761</v>
      </c>
      <c r="P590" t="s">
        <v>5697</v>
      </c>
      <c r="R590" t="s">
        <v>6793</v>
      </c>
      <c r="U590">
        <v>0</v>
      </c>
      <c r="V590" t="s">
        <v>6836</v>
      </c>
      <c r="W590" t="s">
        <v>6843</v>
      </c>
      <c r="Y590" t="s">
        <v>7437</v>
      </c>
      <c r="AA590" t="s">
        <v>9529</v>
      </c>
      <c r="AB590">
        <v>0</v>
      </c>
      <c r="AC590" t="s">
        <v>10936</v>
      </c>
      <c r="AE590">
        <v>0</v>
      </c>
      <c r="AF590">
        <v>1</v>
      </c>
      <c r="AG590">
        <v>0</v>
      </c>
      <c r="AH590">
        <v>105.68</v>
      </c>
      <c r="AK590" t="s">
        <v>10967</v>
      </c>
      <c r="AL590">
        <v>13200</v>
      </c>
      <c r="AR590">
        <v>0.5</v>
      </c>
      <c r="AS590" t="s">
        <v>11136</v>
      </c>
      <c r="AT590" t="s">
        <v>229</v>
      </c>
      <c r="AU590" t="s">
        <v>11228</v>
      </c>
      <c r="AV590" t="s">
        <v>11231</v>
      </c>
      <c r="AW590" t="s">
        <v>11160</v>
      </c>
    </row>
    <row r="591" spans="1:49">
      <c r="A591" s="1">
        <f>HYPERLINK("https://lsnyc.legalserver.org/matter/dynamic-profile/view/1905290","19-1905290")</f>
        <v>0</v>
      </c>
      <c r="B591" t="s">
        <v>53</v>
      </c>
      <c r="C591" t="s">
        <v>763</v>
      </c>
      <c r="D591" t="s">
        <v>2091</v>
      </c>
      <c r="E591" t="s">
        <v>3644</v>
      </c>
      <c r="F591" t="s">
        <v>5323</v>
      </c>
      <c r="G591" t="s">
        <v>5635</v>
      </c>
      <c r="H591">
        <v>10472</v>
      </c>
      <c r="I591" t="s">
        <v>5695</v>
      </c>
      <c r="J591" t="s">
        <v>5696</v>
      </c>
      <c r="K591" t="s">
        <v>5902</v>
      </c>
      <c r="L591" t="s">
        <v>6714</v>
      </c>
      <c r="M591" t="s">
        <v>6732</v>
      </c>
      <c r="O591" t="s">
        <v>6747</v>
      </c>
      <c r="P591" t="s">
        <v>5697</v>
      </c>
      <c r="R591" t="s">
        <v>6793</v>
      </c>
      <c r="U591">
        <v>1144.79</v>
      </c>
      <c r="V591" t="s">
        <v>6833</v>
      </c>
      <c r="W591" t="s">
        <v>6839</v>
      </c>
      <c r="Y591" t="s">
        <v>7438</v>
      </c>
      <c r="AA591" t="s">
        <v>9530</v>
      </c>
      <c r="AB591">
        <v>48</v>
      </c>
      <c r="AC591" t="s">
        <v>8953</v>
      </c>
      <c r="AD591" t="s">
        <v>10944</v>
      </c>
      <c r="AE591">
        <v>11</v>
      </c>
      <c r="AF591">
        <v>1</v>
      </c>
      <c r="AG591">
        <v>1</v>
      </c>
      <c r="AH591">
        <v>0</v>
      </c>
      <c r="AK591" t="s">
        <v>10966</v>
      </c>
      <c r="AL591">
        <v>0</v>
      </c>
      <c r="AR591">
        <v>0.2</v>
      </c>
      <c r="AS591" t="s">
        <v>6820</v>
      </c>
      <c r="AT591" t="s">
        <v>11187</v>
      </c>
      <c r="AU591" t="s">
        <v>11228</v>
      </c>
      <c r="AV591" t="s">
        <v>11231</v>
      </c>
      <c r="AW591" t="s">
        <v>6808</v>
      </c>
    </row>
    <row r="592" spans="1:49">
      <c r="A592" s="1">
        <f>HYPERLINK("https://lsnyc.legalserver.org/matter/dynamic-profile/view/1896888","19-1896888")</f>
        <v>0</v>
      </c>
      <c r="B592" t="s">
        <v>202</v>
      </c>
      <c r="C592" t="s">
        <v>764</v>
      </c>
      <c r="D592" t="s">
        <v>1753</v>
      </c>
      <c r="E592" t="s">
        <v>3645</v>
      </c>
      <c r="F592" t="s">
        <v>5316</v>
      </c>
      <c r="G592" t="s">
        <v>5635</v>
      </c>
      <c r="H592">
        <v>10457</v>
      </c>
      <c r="I592" t="s">
        <v>5696</v>
      </c>
      <c r="J592" t="s">
        <v>5696</v>
      </c>
      <c r="K592" t="s">
        <v>5903</v>
      </c>
      <c r="L592" t="s">
        <v>6714</v>
      </c>
      <c r="M592" t="s">
        <v>6732</v>
      </c>
      <c r="O592" t="s">
        <v>6763</v>
      </c>
      <c r="P592" t="s">
        <v>5697</v>
      </c>
      <c r="R592" t="s">
        <v>6793</v>
      </c>
      <c r="U592">
        <v>1300</v>
      </c>
      <c r="V592" t="s">
        <v>6833</v>
      </c>
      <c r="W592" t="s">
        <v>6853</v>
      </c>
      <c r="Y592" t="s">
        <v>7439</v>
      </c>
      <c r="AA592" t="s">
        <v>9531</v>
      </c>
      <c r="AB592">
        <v>0</v>
      </c>
      <c r="AC592" t="s">
        <v>10929</v>
      </c>
      <c r="AD592" t="s">
        <v>5741</v>
      </c>
      <c r="AE592">
        <v>6</v>
      </c>
      <c r="AF592">
        <v>2</v>
      </c>
      <c r="AG592">
        <v>0</v>
      </c>
      <c r="AH592">
        <v>92.25</v>
      </c>
      <c r="AK592" t="s">
        <v>10966</v>
      </c>
      <c r="AL592">
        <v>15600</v>
      </c>
      <c r="AM592" t="s">
        <v>11040</v>
      </c>
      <c r="AR592">
        <v>28.34</v>
      </c>
      <c r="AS592" t="s">
        <v>11137</v>
      </c>
      <c r="AT592" t="s">
        <v>11195</v>
      </c>
      <c r="AV592" t="s">
        <v>11231</v>
      </c>
      <c r="AW592" t="s">
        <v>11130</v>
      </c>
    </row>
    <row r="593" spans="1:49">
      <c r="A593" s="1">
        <f>HYPERLINK("https://lsnyc.legalserver.org/matter/dynamic-profile/view/1897263","19-1897263")</f>
        <v>0</v>
      </c>
      <c r="B593" t="s">
        <v>53</v>
      </c>
      <c r="C593" t="s">
        <v>765</v>
      </c>
      <c r="D593" t="s">
        <v>2092</v>
      </c>
      <c r="E593" t="s">
        <v>3646</v>
      </c>
      <c r="F593">
        <v>1</v>
      </c>
      <c r="G593" t="s">
        <v>5635</v>
      </c>
      <c r="H593">
        <v>10472</v>
      </c>
      <c r="I593" t="s">
        <v>5695</v>
      </c>
      <c r="J593" t="s">
        <v>5695</v>
      </c>
      <c r="L593" t="s">
        <v>6714</v>
      </c>
      <c r="M593" t="s">
        <v>6732</v>
      </c>
      <c r="O593" t="s">
        <v>6747</v>
      </c>
      <c r="R593" t="s">
        <v>6793</v>
      </c>
      <c r="U593">
        <v>0</v>
      </c>
      <c r="V593" t="s">
        <v>6833</v>
      </c>
      <c r="Y593" t="s">
        <v>7440</v>
      </c>
      <c r="AA593" t="s">
        <v>9532</v>
      </c>
      <c r="AB593">
        <v>0</v>
      </c>
      <c r="AC593" t="s">
        <v>10930</v>
      </c>
      <c r="AE593">
        <v>0</v>
      </c>
      <c r="AF593">
        <v>2</v>
      </c>
      <c r="AG593">
        <v>3</v>
      </c>
      <c r="AH593">
        <v>75.56999999999999</v>
      </c>
      <c r="AK593" t="s">
        <v>10966</v>
      </c>
      <c r="AL593">
        <v>22800</v>
      </c>
      <c r="AM593" t="s">
        <v>11030</v>
      </c>
      <c r="AR593">
        <v>1</v>
      </c>
      <c r="AS593" t="s">
        <v>10958</v>
      </c>
      <c r="AT593" t="s">
        <v>11179</v>
      </c>
      <c r="AU593" t="s">
        <v>11228</v>
      </c>
      <c r="AV593" t="s">
        <v>11231</v>
      </c>
      <c r="AW593" t="s">
        <v>11151</v>
      </c>
    </row>
    <row r="594" spans="1:49">
      <c r="A594" s="1">
        <f>HYPERLINK("https://lsnyc.legalserver.org/matter/dynamic-profile/view/1902643","19-1902643")</f>
        <v>0</v>
      </c>
      <c r="B594" t="s">
        <v>76</v>
      </c>
      <c r="C594" t="s">
        <v>766</v>
      </c>
      <c r="D594" t="s">
        <v>2093</v>
      </c>
      <c r="E594" t="s">
        <v>3647</v>
      </c>
      <c r="F594" t="s">
        <v>5273</v>
      </c>
      <c r="G594" t="s">
        <v>5635</v>
      </c>
      <c r="H594">
        <v>10456</v>
      </c>
      <c r="I594" t="s">
        <v>5695</v>
      </c>
      <c r="J594" t="s">
        <v>5696</v>
      </c>
      <c r="K594" t="s">
        <v>5904</v>
      </c>
      <c r="L594" t="s">
        <v>6714</v>
      </c>
      <c r="M594" t="s">
        <v>6732</v>
      </c>
      <c r="O594" t="s">
        <v>6747</v>
      </c>
      <c r="P594" t="s">
        <v>5697</v>
      </c>
      <c r="R594" t="s">
        <v>6793</v>
      </c>
      <c r="U594">
        <v>1020</v>
      </c>
      <c r="V594" t="s">
        <v>6833</v>
      </c>
      <c r="W594" t="s">
        <v>6840</v>
      </c>
      <c r="Y594" t="s">
        <v>7441</v>
      </c>
      <c r="AA594" t="s">
        <v>9533</v>
      </c>
      <c r="AB594">
        <v>6</v>
      </c>
      <c r="AC594" t="s">
        <v>10929</v>
      </c>
      <c r="AE594">
        <v>13</v>
      </c>
      <c r="AF594">
        <v>2</v>
      </c>
      <c r="AG594">
        <v>0</v>
      </c>
      <c r="AH594">
        <v>162.01</v>
      </c>
      <c r="AK594" t="s">
        <v>10967</v>
      </c>
      <c r="AL594">
        <v>27396.56</v>
      </c>
      <c r="AM594" t="s">
        <v>10994</v>
      </c>
      <c r="AR594">
        <v>0</v>
      </c>
      <c r="AT594" t="s">
        <v>288</v>
      </c>
      <c r="AU594" t="s">
        <v>11228</v>
      </c>
      <c r="AV594" t="s">
        <v>11231</v>
      </c>
      <c r="AW594" t="s">
        <v>11137</v>
      </c>
    </row>
    <row r="595" spans="1:49">
      <c r="A595" s="1">
        <f>HYPERLINK("https://lsnyc.legalserver.org/matter/dynamic-profile/view/1896699","19-1896699")</f>
        <v>0</v>
      </c>
      <c r="B595" t="s">
        <v>215</v>
      </c>
      <c r="C595" t="s">
        <v>767</v>
      </c>
      <c r="D595" t="s">
        <v>2094</v>
      </c>
      <c r="E595" t="s">
        <v>3648</v>
      </c>
      <c r="F595" t="s">
        <v>5281</v>
      </c>
      <c r="G595" t="s">
        <v>5637</v>
      </c>
      <c r="H595">
        <v>11209</v>
      </c>
      <c r="I595" t="s">
        <v>5696</v>
      </c>
      <c r="J595" t="s">
        <v>5696</v>
      </c>
      <c r="K595" t="s">
        <v>5905</v>
      </c>
      <c r="L595" t="s">
        <v>6714</v>
      </c>
      <c r="M595" t="s">
        <v>6732</v>
      </c>
      <c r="O595" t="s">
        <v>6756</v>
      </c>
      <c r="P595" t="s">
        <v>5697</v>
      </c>
      <c r="R595" t="s">
        <v>6793</v>
      </c>
      <c r="S595" t="s">
        <v>6801</v>
      </c>
      <c r="U595">
        <v>1178</v>
      </c>
      <c r="V595" t="s">
        <v>6835</v>
      </c>
      <c r="W595" t="s">
        <v>6843</v>
      </c>
      <c r="Y595" t="s">
        <v>7442</v>
      </c>
      <c r="AA595" t="s">
        <v>9534</v>
      </c>
      <c r="AB595">
        <v>0</v>
      </c>
      <c r="AC595" t="s">
        <v>10929</v>
      </c>
      <c r="AE595">
        <v>14</v>
      </c>
      <c r="AF595">
        <v>1</v>
      </c>
      <c r="AG595">
        <v>0</v>
      </c>
      <c r="AH595">
        <v>94.34999999999999</v>
      </c>
      <c r="AK595" t="s">
        <v>10966</v>
      </c>
      <c r="AL595">
        <v>11784</v>
      </c>
      <c r="AR595">
        <v>1</v>
      </c>
      <c r="AS595" t="s">
        <v>11122</v>
      </c>
      <c r="AT595" t="s">
        <v>215</v>
      </c>
      <c r="AV595" t="s">
        <v>11231</v>
      </c>
      <c r="AW595" t="s">
        <v>11122</v>
      </c>
    </row>
    <row r="596" spans="1:49">
      <c r="A596" s="1">
        <f>HYPERLINK("https://lsnyc.legalserver.org/matter/dynamic-profile/view/1905875","19-1905875")</f>
        <v>0</v>
      </c>
      <c r="B596" t="s">
        <v>53</v>
      </c>
      <c r="C596" t="s">
        <v>768</v>
      </c>
      <c r="D596" t="s">
        <v>2095</v>
      </c>
      <c r="E596" t="s">
        <v>3649</v>
      </c>
      <c r="F596">
        <v>8</v>
      </c>
      <c r="G596" t="s">
        <v>5635</v>
      </c>
      <c r="H596">
        <v>10458</v>
      </c>
      <c r="I596" t="s">
        <v>5695</v>
      </c>
      <c r="J596" t="s">
        <v>5696</v>
      </c>
      <c r="K596" t="s">
        <v>5906</v>
      </c>
      <c r="L596" t="s">
        <v>6714</v>
      </c>
      <c r="M596" t="s">
        <v>6732</v>
      </c>
      <c r="O596" t="s">
        <v>6747</v>
      </c>
      <c r="P596" t="s">
        <v>5697</v>
      </c>
      <c r="R596" t="s">
        <v>6793</v>
      </c>
      <c r="S596" t="s">
        <v>6805</v>
      </c>
      <c r="U596">
        <v>364</v>
      </c>
      <c r="V596" t="s">
        <v>6833</v>
      </c>
      <c r="W596" t="s">
        <v>6839</v>
      </c>
      <c r="Y596" t="s">
        <v>7443</v>
      </c>
      <c r="Z596" t="s">
        <v>8946</v>
      </c>
      <c r="AA596" t="s">
        <v>9535</v>
      </c>
      <c r="AB596">
        <v>9</v>
      </c>
      <c r="AC596" t="s">
        <v>10929</v>
      </c>
      <c r="AD596" t="s">
        <v>10944</v>
      </c>
      <c r="AE596">
        <v>32</v>
      </c>
      <c r="AF596">
        <v>5</v>
      </c>
      <c r="AG596">
        <v>0</v>
      </c>
      <c r="AH596">
        <v>18.15</v>
      </c>
      <c r="AK596" t="s">
        <v>10966</v>
      </c>
      <c r="AL596">
        <v>5476</v>
      </c>
      <c r="AR596">
        <v>0.3</v>
      </c>
      <c r="AS596" t="s">
        <v>6827</v>
      </c>
      <c r="AT596" t="s">
        <v>219</v>
      </c>
      <c r="AV596" t="s">
        <v>11231</v>
      </c>
      <c r="AW596" t="s">
        <v>6823</v>
      </c>
    </row>
    <row r="597" spans="1:49">
      <c r="A597" s="1">
        <f>HYPERLINK("https://lsnyc.legalserver.org/matter/dynamic-profile/view/1894535","19-1894535")</f>
        <v>0</v>
      </c>
      <c r="B597" t="s">
        <v>66</v>
      </c>
      <c r="C597" t="s">
        <v>769</v>
      </c>
      <c r="D597" t="s">
        <v>2096</v>
      </c>
      <c r="E597" t="s">
        <v>3650</v>
      </c>
      <c r="F597" t="s">
        <v>5324</v>
      </c>
      <c r="G597" t="s">
        <v>5635</v>
      </c>
      <c r="H597">
        <v>10454</v>
      </c>
      <c r="I597" t="s">
        <v>5695</v>
      </c>
      <c r="J597" t="s">
        <v>5695</v>
      </c>
      <c r="K597" t="s">
        <v>5907</v>
      </c>
      <c r="L597" t="s">
        <v>6714</v>
      </c>
      <c r="M597" t="s">
        <v>6732</v>
      </c>
      <c r="O597" t="s">
        <v>6747</v>
      </c>
      <c r="P597" t="s">
        <v>5697</v>
      </c>
      <c r="R597" t="s">
        <v>6793</v>
      </c>
      <c r="U597">
        <v>2350</v>
      </c>
      <c r="V597" t="s">
        <v>6833</v>
      </c>
      <c r="W597" t="s">
        <v>6839</v>
      </c>
      <c r="Y597" t="s">
        <v>7444</v>
      </c>
      <c r="AA597" t="s">
        <v>9536</v>
      </c>
      <c r="AB597">
        <v>10</v>
      </c>
      <c r="AC597" t="s">
        <v>8953</v>
      </c>
      <c r="AD597" t="s">
        <v>5741</v>
      </c>
      <c r="AE597">
        <v>1</v>
      </c>
      <c r="AF597">
        <v>3</v>
      </c>
      <c r="AG597">
        <v>0</v>
      </c>
      <c r="AH597">
        <v>292.55</v>
      </c>
      <c r="AK597" t="s">
        <v>10966</v>
      </c>
      <c r="AL597">
        <v>62400</v>
      </c>
      <c r="AM597" t="s">
        <v>11041</v>
      </c>
      <c r="AR597">
        <v>0.3</v>
      </c>
      <c r="AS597" t="s">
        <v>11117</v>
      </c>
      <c r="AT597" t="s">
        <v>11187</v>
      </c>
      <c r="AU597" t="s">
        <v>11228</v>
      </c>
      <c r="AV597" t="s">
        <v>11231</v>
      </c>
      <c r="AW597" t="s">
        <v>11167</v>
      </c>
    </row>
    <row r="598" spans="1:49">
      <c r="A598" s="1">
        <f>HYPERLINK("https://lsnyc.legalserver.org/matter/dynamic-profile/view/1905838","19-1905838")</f>
        <v>0</v>
      </c>
      <c r="B598" t="s">
        <v>204</v>
      </c>
      <c r="C598" t="s">
        <v>770</v>
      </c>
      <c r="D598" t="s">
        <v>480</v>
      </c>
      <c r="E598" t="s">
        <v>3651</v>
      </c>
      <c r="F598" t="s">
        <v>5124</v>
      </c>
      <c r="G598" t="s">
        <v>5644</v>
      </c>
      <c r="H598">
        <v>11435</v>
      </c>
      <c r="I598" t="s">
        <v>5695</v>
      </c>
      <c r="J598" t="s">
        <v>5696</v>
      </c>
      <c r="K598" t="s">
        <v>5908</v>
      </c>
      <c r="L598" t="s">
        <v>6714</v>
      </c>
      <c r="M598" t="s">
        <v>6732</v>
      </c>
      <c r="O598" t="s">
        <v>6750</v>
      </c>
      <c r="P598" t="s">
        <v>5697</v>
      </c>
      <c r="R598" t="s">
        <v>6793</v>
      </c>
      <c r="S598" t="s">
        <v>6801</v>
      </c>
      <c r="T598" t="s">
        <v>6824</v>
      </c>
      <c r="U598">
        <v>164</v>
      </c>
      <c r="V598" t="s">
        <v>6837</v>
      </c>
      <c r="W598" t="s">
        <v>6840</v>
      </c>
      <c r="Y598" t="s">
        <v>7445</v>
      </c>
      <c r="Z598" t="s">
        <v>8947</v>
      </c>
      <c r="AA598" t="s">
        <v>9537</v>
      </c>
      <c r="AB598">
        <v>75</v>
      </c>
      <c r="AC598" t="s">
        <v>8953</v>
      </c>
      <c r="AD598" t="s">
        <v>5741</v>
      </c>
      <c r="AE598">
        <v>8</v>
      </c>
      <c r="AF598">
        <v>1</v>
      </c>
      <c r="AG598">
        <v>0</v>
      </c>
      <c r="AH598">
        <v>77.81999999999999</v>
      </c>
      <c r="AK598" t="s">
        <v>10966</v>
      </c>
      <c r="AL598">
        <v>9720</v>
      </c>
      <c r="AR598">
        <v>1.65</v>
      </c>
      <c r="AS598" t="s">
        <v>6820</v>
      </c>
      <c r="AT598" t="s">
        <v>11182</v>
      </c>
      <c r="AU598" t="s">
        <v>11228</v>
      </c>
      <c r="AV598" t="s">
        <v>11231</v>
      </c>
      <c r="AW598" t="s">
        <v>6824</v>
      </c>
    </row>
    <row r="599" spans="1:49">
      <c r="A599" s="1">
        <f>HYPERLINK("https://lsnyc.legalserver.org/matter/dynamic-profile/view/1895516","19-1895516")</f>
        <v>0</v>
      </c>
      <c r="B599" t="s">
        <v>117</v>
      </c>
      <c r="C599" t="s">
        <v>501</v>
      </c>
      <c r="D599" t="s">
        <v>2097</v>
      </c>
      <c r="E599" t="s">
        <v>3652</v>
      </c>
      <c r="F599" t="s">
        <v>5142</v>
      </c>
      <c r="G599" t="s">
        <v>5637</v>
      </c>
      <c r="H599">
        <v>11210</v>
      </c>
      <c r="I599" t="s">
        <v>5696</v>
      </c>
      <c r="J599" t="s">
        <v>5696</v>
      </c>
      <c r="K599" t="s">
        <v>5909</v>
      </c>
      <c r="L599" t="s">
        <v>6714</v>
      </c>
      <c r="M599" t="s">
        <v>6732</v>
      </c>
      <c r="O599" t="s">
        <v>6754</v>
      </c>
      <c r="P599" t="s">
        <v>5695</v>
      </c>
      <c r="R599" t="s">
        <v>6793</v>
      </c>
      <c r="S599" t="s">
        <v>6801</v>
      </c>
      <c r="U599">
        <v>1554</v>
      </c>
      <c r="V599" t="s">
        <v>6835</v>
      </c>
      <c r="W599" t="s">
        <v>6842</v>
      </c>
      <c r="Y599" t="s">
        <v>7446</v>
      </c>
      <c r="AA599" t="s">
        <v>9538</v>
      </c>
      <c r="AB599">
        <v>100</v>
      </c>
      <c r="AC599" t="s">
        <v>10929</v>
      </c>
      <c r="AE599">
        <v>14</v>
      </c>
      <c r="AF599">
        <v>1</v>
      </c>
      <c r="AG599">
        <v>0</v>
      </c>
      <c r="AH599">
        <v>225.49</v>
      </c>
      <c r="AK599" t="s">
        <v>10966</v>
      </c>
      <c r="AL599">
        <v>28164</v>
      </c>
      <c r="AR599">
        <v>9.25</v>
      </c>
      <c r="AS599" t="s">
        <v>6817</v>
      </c>
      <c r="AT599" t="s">
        <v>117</v>
      </c>
      <c r="AV599" t="s">
        <v>11231</v>
      </c>
      <c r="AW599" t="s">
        <v>10960</v>
      </c>
    </row>
    <row r="600" spans="1:49">
      <c r="A600" s="1">
        <f>HYPERLINK("https://lsnyc.legalserver.org/matter/dynamic-profile/view/1900711","19-1900711")</f>
        <v>0</v>
      </c>
      <c r="B600" t="s">
        <v>72</v>
      </c>
      <c r="C600" t="s">
        <v>771</v>
      </c>
      <c r="D600" t="s">
        <v>636</v>
      </c>
      <c r="E600" t="s">
        <v>3653</v>
      </c>
      <c r="F600">
        <v>303</v>
      </c>
      <c r="G600" t="s">
        <v>5637</v>
      </c>
      <c r="H600">
        <v>11231</v>
      </c>
      <c r="I600" t="s">
        <v>5696</v>
      </c>
      <c r="J600" t="s">
        <v>5696</v>
      </c>
      <c r="K600" t="s">
        <v>5910</v>
      </c>
      <c r="L600" t="s">
        <v>6714</v>
      </c>
      <c r="M600" t="s">
        <v>6732</v>
      </c>
      <c r="O600" t="s">
        <v>6753</v>
      </c>
      <c r="P600" t="s">
        <v>5697</v>
      </c>
      <c r="R600" t="s">
        <v>6793</v>
      </c>
      <c r="S600" t="s">
        <v>6803</v>
      </c>
      <c r="U600">
        <v>2825</v>
      </c>
      <c r="V600" t="s">
        <v>6835</v>
      </c>
      <c r="W600" t="s">
        <v>6838</v>
      </c>
      <c r="Y600" t="s">
        <v>7447</v>
      </c>
      <c r="AA600" t="s">
        <v>9539</v>
      </c>
      <c r="AB600">
        <v>100</v>
      </c>
      <c r="AC600" t="s">
        <v>8953</v>
      </c>
      <c r="AE600">
        <v>0</v>
      </c>
      <c r="AF600">
        <v>2</v>
      </c>
      <c r="AG600">
        <v>0</v>
      </c>
      <c r="AH600">
        <v>650.5</v>
      </c>
      <c r="AK600" t="s">
        <v>10966</v>
      </c>
      <c r="AL600">
        <v>110000</v>
      </c>
      <c r="AR600">
        <v>8.75</v>
      </c>
      <c r="AS600" t="s">
        <v>11138</v>
      </c>
      <c r="AT600" t="s">
        <v>68</v>
      </c>
      <c r="AV600" t="s">
        <v>11231</v>
      </c>
      <c r="AW600" t="s">
        <v>6895</v>
      </c>
    </row>
    <row r="601" spans="1:49">
      <c r="A601" s="1">
        <f>HYPERLINK("https://lsnyc.legalserver.org/matter/dynamic-profile/view/1905886","19-1905886")</f>
        <v>0</v>
      </c>
      <c r="B601" t="s">
        <v>53</v>
      </c>
      <c r="C601" t="s">
        <v>772</v>
      </c>
      <c r="D601" t="s">
        <v>2098</v>
      </c>
      <c r="E601" t="s">
        <v>3654</v>
      </c>
      <c r="F601" t="s">
        <v>5093</v>
      </c>
      <c r="G601" t="s">
        <v>5635</v>
      </c>
      <c r="H601">
        <v>10474</v>
      </c>
      <c r="I601" t="s">
        <v>5695</v>
      </c>
      <c r="J601" t="s">
        <v>5696</v>
      </c>
      <c r="K601" t="s">
        <v>5911</v>
      </c>
      <c r="L601" t="s">
        <v>6714</v>
      </c>
      <c r="M601" t="s">
        <v>6732</v>
      </c>
      <c r="O601" t="s">
        <v>6747</v>
      </c>
      <c r="P601" t="s">
        <v>5697</v>
      </c>
      <c r="R601" t="s">
        <v>6793</v>
      </c>
      <c r="U601">
        <v>1151</v>
      </c>
      <c r="V601" t="s">
        <v>6833</v>
      </c>
      <c r="W601" t="s">
        <v>6840</v>
      </c>
      <c r="Y601" t="s">
        <v>7448</v>
      </c>
      <c r="Z601" t="s">
        <v>8948</v>
      </c>
      <c r="AA601" t="s">
        <v>9540</v>
      </c>
      <c r="AB601">
        <v>40</v>
      </c>
      <c r="AC601" t="s">
        <v>8953</v>
      </c>
      <c r="AD601" t="s">
        <v>5741</v>
      </c>
      <c r="AE601">
        <v>5</v>
      </c>
      <c r="AF601">
        <v>1</v>
      </c>
      <c r="AG601">
        <v>0</v>
      </c>
      <c r="AH601">
        <v>19.22</v>
      </c>
      <c r="AK601" t="s">
        <v>10966</v>
      </c>
      <c r="AL601">
        <v>2400</v>
      </c>
      <c r="AR601">
        <v>0</v>
      </c>
      <c r="AT601" t="s">
        <v>11176</v>
      </c>
      <c r="AU601" t="s">
        <v>11228</v>
      </c>
      <c r="AV601" t="s">
        <v>11231</v>
      </c>
      <c r="AW601" t="s">
        <v>6824</v>
      </c>
    </row>
    <row r="602" spans="1:49">
      <c r="A602" s="1">
        <f>HYPERLINK("https://lsnyc.legalserver.org/matter/dynamic-profile/view/1902988","19-1902988")</f>
        <v>0</v>
      </c>
      <c r="B602" t="s">
        <v>218</v>
      </c>
      <c r="C602" t="s">
        <v>773</v>
      </c>
      <c r="D602" t="s">
        <v>1757</v>
      </c>
      <c r="E602" t="s">
        <v>3655</v>
      </c>
      <c r="F602" t="s">
        <v>5101</v>
      </c>
      <c r="G602" t="s">
        <v>5635</v>
      </c>
      <c r="H602">
        <v>10460</v>
      </c>
      <c r="I602" t="s">
        <v>5695</v>
      </c>
      <c r="J602" t="s">
        <v>5696</v>
      </c>
      <c r="K602" t="s">
        <v>5912</v>
      </c>
      <c r="L602" t="s">
        <v>6714</v>
      </c>
      <c r="M602" t="s">
        <v>6732</v>
      </c>
      <c r="O602" t="s">
        <v>6747</v>
      </c>
      <c r="P602" t="s">
        <v>5697</v>
      </c>
      <c r="R602" t="s">
        <v>6793</v>
      </c>
      <c r="U602">
        <v>1060</v>
      </c>
      <c r="V602" t="s">
        <v>6833</v>
      </c>
      <c r="Y602" t="s">
        <v>7449</v>
      </c>
      <c r="AA602" t="s">
        <v>9541</v>
      </c>
      <c r="AB602">
        <v>80</v>
      </c>
      <c r="AE602">
        <v>0</v>
      </c>
      <c r="AF602">
        <v>2</v>
      </c>
      <c r="AG602">
        <v>2</v>
      </c>
      <c r="AH602">
        <v>155.34</v>
      </c>
      <c r="AK602" t="s">
        <v>10966</v>
      </c>
      <c r="AL602">
        <v>40000</v>
      </c>
      <c r="AM602" t="s">
        <v>11042</v>
      </c>
      <c r="AR602">
        <v>0</v>
      </c>
      <c r="AT602" t="s">
        <v>288</v>
      </c>
      <c r="AU602" t="s">
        <v>11228</v>
      </c>
      <c r="AV602" t="s">
        <v>11231</v>
      </c>
      <c r="AW602" t="s">
        <v>11138</v>
      </c>
    </row>
    <row r="603" spans="1:49">
      <c r="A603" s="1">
        <f>HYPERLINK("https://lsnyc.legalserver.org/matter/dynamic-profile/view/1901910","19-1901910")</f>
        <v>0</v>
      </c>
      <c r="B603" t="s">
        <v>192</v>
      </c>
      <c r="C603" t="s">
        <v>335</v>
      </c>
      <c r="D603" t="s">
        <v>2010</v>
      </c>
      <c r="E603" t="s">
        <v>3656</v>
      </c>
      <c r="F603" t="s">
        <v>5100</v>
      </c>
      <c r="G603" t="s">
        <v>5635</v>
      </c>
      <c r="H603">
        <v>10460</v>
      </c>
      <c r="I603" t="s">
        <v>5695</v>
      </c>
      <c r="J603" t="s">
        <v>5696</v>
      </c>
      <c r="K603" t="s">
        <v>5913</v>
      </c>
      <c r="L603" t="s">
        <v>6714</v>
      </c>
      <c r="M603" t="s">
        <v>6732</v>
      </c>
      <c r="O603" t="s">
        <v>6747</v>
      </c>
      <c r="R603" t="s">
        <v>6793</v>
      </c>
      <c r="S603" t="s">
        <v>6801</v>
      </c>
      <c r="T603" t="s">
        <v>6807</v>
      </c>
      <c r="U603">
        <v>589</v>
      </c>
      <c r="V603" t="s">
        <v>6833</v>
      </c>
      <c r="Y603" t="s">
        <v>7450</v>
      </c>
      <c r="AA603" t="s">
        <v>9542</v>
      </c>
      <c r="AB603">
        <v>0</v>
      </c>
      <c r="AE603">
        <v>23</v>
      </c>
      <c r="AF603">
        <v>1</v>
      </c>
      <c r="AG603">
        <v>0</v>
      </c>
      <c r="AH603">
        <v>74.27</v>
      </c>
      <c r="AK603" t="s">
        <v>10966</v>
      </c>
      <c r="AL603">
        <v>9276</v>
      </c>
      <c r="AM603" t="s">
        <v>11008</v>
      </c>
      <c r="AR603">
        <v>1.25</v>
      </c>
      <c r="AS603" t="s">
        <v>11131</v>
      </c>
      <c r="AT603" t="s">
        <v>288</v>
      </c>
      <c r="AU603" t="s">
        <v>11228</v>
      </c>
      <c r="AV603" t="s">
        <v>11231</v>
      </c>
      <c r="AW603" t="s">
        <v>11150</v>
      </c>
    </row>
    <row r="604" spans="1:49">
      <c r="A604" s="1">
        <f>HYPERLINK("https://lsnyc.legalserver.org/matter/dynamic-profile/view/1905544","19-1905544")</f>
        <v>0</v>
      </c>
      <c r="B604" t="s">
        <v>192</v>
      </c>
      <c r="C604" t="s">
        <v>774</v>
      </c>
      <c r="D604" t="s">
        <v>1676</v>
      </c>
      <c r="E604" t="s">
        <v>3657</v>
      </c>
      <c r="F604" t="s">
        <v>5143</v>
      </c>
      <c r="G604" t="s">
        <v>5635</v>
      </c>
      <c r="H604">
        <v>10466</v>
      </c>
      <c r="I604" t="s">
        <v>5695</v>
      </c>
      <c r="J604" t="s">
        <v>5696</v>
      </c>
      <c r="K604" t="s">
        <v>5914</v>
      </c>
      <c r="L604" t="s">
        <v>6714</v>
      </c>
      <c r="M604" t="s">
        <v>6732</v>
      </c>
      <c r="O604" t="s">
        <v>6747</v>
      </c>
      <c r="R604" t="s">
        <v>6793</v>
      </c>
      <c r="U604">
        <v>1557</v>
      </c>
      <c r="V604" t="s">
        <v>6833</v>
      </c>
      <c r="Y604" t="s">
        <v>7451</v>
      </c>
      <c r="AA604" t="s">
        <v>9543</v>
      </c>
      <c r="AB604">
        <v>0</v>
      </c>
      <c r="AD604" t="s">
        <v>10949</v>
      </c>
      <c r="AE604">
        <v>4</v>
      </c>
      <c r="AF604">
        <v>1</v>
      </c>
      <c r="AG604">
        <v>2</v>
      </c>
      <c r="AH604">
        <v>154.81</v>
      </c>
      <c r="AK604" t="s">
        <v>10966</v>
      </c>
      <c r="AL604">
        <v>33020</v>
      </c>
      <c r="AR604">
        <v>0.3</v>
      </c>
      <c r="AS604" t="s">
        <v>6827</v>
      </c>
      <c r="AT604" t="s">
        <v>139</v>
      </c>
      <c r="AU604" t="s">
        <v>11228</v>
      </c>
      <c r="AV604" t="s">
        <v>11231</v>
      </c>
      <c r="AW604" t="s">
        <v>6819</v>
      </c>
    </row>
    <row r="605" spans="1:49">
      <c r="A605" s="1">
        <f>HYPERLINK("https://lsnyc.legalserver.org/matter/dynamic-profile/view/1901459","19-1901459")</f>
        <v>0</v>
      </c>
      <c r="B605" t="s">
        <v>195</v>
      </c>
      <c r="C605" t="s">
        <v>775</v>
      </c>
      <c r="D605" t="s">
        <v>2099</v>
      </c>
      <c r="E605" t="s">
        <v>3658</v>
      </c>
      <c r="F605" t="s">
        <v>5101</v>
      </c>
      <c r="G605" t="s">
        <v>5635</v>
      </c>
      <c r="H605">
        <v>10472</v>
      </c>
      <c r="I605" t="s">
        <v>5695</v>
      </c>
      <c r="J605" t="s">
        <v>5696</v>
      </c>
      <c r="K605" t="s">
        <v>5915</v>
      </c>
      <c r="L605" t="s">
        <v>6714</v>
      </c>
      <c r="M605" t="s">
        <v>6732</v>
      </c>
      <c r="O605" t="s">
        <v>6747</v>
      </c>
      <c r="P605" t="s">
        <v>5697</v>
      </c>
      <c r="R605" t="s">
        <v>6793</v>
      </c>
      <c r="S605" t="s">
        <v>6801</v>
      </c>
      <c r="U605">
        <v>1800</v>
      </c>
      <c r="V605" t="s">
        <v>6833</v>
      </c>
      <c r="W605" t="s">
        <v>6839</v>
      </c>
      <c r="Y605" t="s">
        <v>7452</v>
      </c>
      <c r="AA605" t="s">
        <v>9544</v>
      </c>
      <c r="AB605">
        <v>90</v>
      </c>
      <c r="AC605" t="s">
        <v>8953</v>
      </c>
      <c r="AD605" t="s">
        <v>5741</v>
      </c>
      <c r="AE605">
        <v>1</v>
      </c>
      <c r="AF605">
        <v>2</v>
      </c>
      <c r="AG605">
        <v>0</v>
      </c>
      <c r="AH605">
        <v>177.41</v>
      </c>
      <c r="AK605" t="s">
        <v>10966</v>
      </c>
      <c r="AL605">
        <v>30000</v>
      </c>
      <c r="AM605" t="s">
        <v>11026</v>
      </c>
      <c r="AR605">
        <v>0.5</v>
      </c>
      <c r="AS605" t="s">
        <v>11135</v>
      </c>
      <c r="AT605" t="s">
        <v>11179</v>
      </c>
      <c r="AU605" t="s">
        <v>11228</v>
      </c>
      <c r="AV605" t="s">
        <v>11231</v>
      </c>
      <c r="AW605" t="s">
        <v>11135</v>
      </c>
    </row>
    <row r="606" spans="1:49">
      <c r="A606" s="1">
        <f>HYPERLINK("https://lsnyc.legalserver.org/matter/dynamic-profile/view/1906115","19-1906115")</f>
        <v>0</v>
      </c>
      <c r="B606" t="s">
        <v>53</v>
      </c>
      <c r="C606" t="s">
        <v>329</v>
      </c>
      <c r="D606" t="s">
        <v>2010</v>
      </c>
      <c r="E606" t="s">
        <v>3659</v>
      </c>
      <c r="F606">
        <v>23</v>
      </c>
      <c r="G606" t="s">
        <v>5635</v>
      </c>
      <c r="H606">
        <v>10458</v>
      </c>
      <c r="I606" t="s">
        <v>5695</v>
      </c>
      <c r="J606" t="s">
        <v>5696</v>
      </c>
      <c r="K606" t="s">
        <v>5916</v>
      </c>
      <c r="L606" t="s">
        <v>6714</v>
      </c>
      <c r="M606" t="s">
        <v>6732</v>
      </c>
      <c r="O606" t="s">
        <v>6747</v>
      </c>
      <c r="P606" t="s">
        <v>5697</v>
      </c>
      <c r="R606" t="s">
        <v>6793</v>
      </c>
      <c r="U606">
        <v>991.76</v>
      </c>
      <c r="V606" t="s">
        <v>6833</v>
      </c>
      <c r="Y606" t="s">
        <v>7453</v>
      </c>
      <c r="AA606" t="s">
        <v>9545</v>
      </c>
      <c r="AB606">
        <v>32</v>
      </c>
      <c r="AC606" t="s">
        <v>10929</v>
      </c>
      <c r="AE606">
        <v>0</v>
      </c>
      <c r="AF606">
        <v>1</v>
      </c>
      <c r="AG606">
        <v>2</v>
      </c>
      <c r="AH606">
        <v>146.27</v>
      </c>
      <c r="AK606" t="s">
        <v>10967</v>
      </c>
      <c r="AL606">
        <v>31200</v>
      </c>
      <c r="AR606">
        <v>0</v>
      </c>
      <c r="AT606" t="s">
        <v>288</v>
      </c>
      <c r="AU606" t="s">
        <v>11228</v>
      </c>
      <c r="AV606" t="s">
        <v>11231</v>
      </c>
      <c r="AW606" t="s">
        <v>6820</v>
      </c>
    </row>
    <row r="607" spans="1:49">
      <c r="A607" s="1">
        <f>HYPERLINK("https://lsnyc.legalserver.org/matter/dynamic-profile/view/1903932","19-1903932")</f>
        <v>0</v>
      </c>
      <c r="B607" t="s">
        <v>186</v>
      </c>
      <c r="C607" t="s">
        <v>776</v>
      </c>
      <c r="D607" t="s">
        <v>2100</v>
      </c>
      <c r="E607" t="s">
        <v>3660</v>
      </c>
      <c r="F607" t="s">
        <v>5176</v>
      </c>
      <c r="G607" t="s">
        <v>5646</v>
      </c>
      <c r="H607">
        <v>11367</v>
      </c>
      <c r="I607" t="s">
        <v>5695</v>
      </c>
      <c r="J607" t="s">
        <v>5696</v>
      </c>
      <c r="K607" t="s">
        <v>5917</v>
      </c>
      <c r="L607" t="s">
        <v>6714</v>
      </c>
      <c r="M607" t="s">
        <v>6732</v>
      </c>
      <c r="O607" t="s">
        <v>6750</v>
      </c>
      <c r="P607" t="s">
        <v>5697</v>
      </c>
      <c r="R607" t="s">
        <v>6793</v>
      </c>
      <c r="S607" t="s">
        <v>6803</v>
      </c>
      <c r="U607">
        <v>2000</v>
      </c>
      <c r="V607" t="s">
        <v>6837</v>
      </c>
      <c r="Y607" t="s">
        <v>7454</v>
      </c>
      <c r="AA607" t="s">
        <v>9546</v>
      </c>
      <c r="AB607">
        <v>16</v>
      </c>
      <c r="AC607" t="s">
        <v>10929</v>
      </c>
      <c r="AE607">
        <v>2</v>
      </c>
      <c r="AF607">
        <v>2</v>
      </c>
      <c r="AG607">
        <v>1</v>
      </c>
      <c r="AH607">
        <v>60.95</v>
      </c>
      <c r="AK607" t="s">
        <v>10967</v>
      </c>
      <c r="AL607">
        <v>13000</v>
      </c>
      <c r="AR607">
        <v>1.4</v>
      </c>
      <c r="AS607" t="s">
        <v>6824</v>
      </c>
      <c r="AT607" t="s">
        <v>186</v>
      </c>
      <c r="AV607" t="s">
        <v>11231</v>
      </c>
      <c r="AW607" t="s">
        <v>6807</v>
      </c>
    </row>
    <row r="608" spans="1:49">
      <c r="A608" s="1">
        <f>HYPERLINK("https://lsnyc.legalserver.org/matter/dynamic-profile/view/1905368","19-1905368")</f>
        <v>0</v>
      </c>
      <c r="B608" t="s">
        <v>59</v>
      </c>
      <c r="C608" t="s">
        <v>694</v>
      </c>
      <c r="D608" t="s">
        <v>2101</v>
      </c>
      <c r="E608" t="s">
        <v>3661</v>
      </c>
      <c r="F608" t="s">
        <v>5325</v>
      </c>
      <c r="G608" t="s">
        <v>5670</v>
      </c>
      <c r="H608">
        <v>11101</v>
      </c>
      <c r="I608" t="s">
        <v>5695</v>
      </c>
      <c r="J608" t="s">
        <v>5696</v>
      </c>
      <c r="K608" t="s">
        <v>5918</v>
      </c>
      <c r="L608" t="s">
        <v>6714</v>
      </c>
      <c r="M608" t="s">
        <v>6732</v>
      </c>
      <c r="O608" t="s">
        <v>6750</v>
      </c>
      <c r="P608" t="s">
        <v>5697</v>
      </c>
      <c r="R608" t="s">
        <v>6794</v>
      </c>
      <c r="S608" t="s">
        <v>6803</v>
      </c>
      <c r="T608" t="s">
        <v>6819</v>
      </c>
      <c r="U608">
        <v>215</v>
      </c>
      <c r="V608" t="s">
        <v>6837</v>
      </c>
      <c r="W608" t="s">
        <v>6840</v>
      </c>
      <c r="Y608" t="s">
        <v>7455</v>
      </c>
      <c r="Z608" t="s">
        <v>8949</v>
      </c>
      <c r="AB608">
        <v>30</v>
      </c>
      <c r="AC608" t="s">
        <v>10931</v>
      </c>
      <c r="AD608" t="s">
        <v>6841</v>
      </c>
      <c r="AE608">
        <v>5</v>
      </c>
      <c r="AF608">
        <v>2</v>
      </c>
      <c r="AG608">
        <v>0</v>
      </c>
      <c r="AH608">
        <v>44.35</v>
      </c>
      <c r="AK608" t="s">
        <v>10966</v>
      </c>
      <c r="AL608">
        <v>7500</v>
      </c>
      <c r="AR608">
        <v>1.4</v>
      </c>
      <c r="AS608" t="s">
        <v>6820</v>
      </c>
      <c r="AT608" t="s">
        <v>59</v>
      </c>
      <c r="AU608" t="s">
        <v>11228</v>
      </c>
      <c r="AV608" t="s">
        <v>11231</v>
      </c>
      <c r="AW608" t="s">
        <v>6828</v>
      </c>
    </row>
    <row r="609" spans="1:49">
      <c r="A609" s="1">
        <f>HYPERLINK("https://lsnyc.legalserver.org/matter/dynamic-profile/view/1905884","19-1905884")</f>
        <v>0</v>
      </c>
      <c r="B609" t="s">
        <v>53</v>
      </c>
      <c r="C609" t="s">
        <v>491</v>
      </c>
      <c r="D609" t="s">
        <v>1915</v>
      </c>
      <c r="E609" t="s">
        <v>3662</v>
      </c>
      <c r="F609" t="s">
        <v>5252</v>
      </c>
      <c r="G609" t="s">
        <v>5635</v>
      </c>
      <c r="H609">
        <v>10463</v>
      </c>
      <c r="I609" t="s">
        <v>5695</v>
      </c>
      <c r="J609" t="s">
        <v>5696</v>
      </c>
      <c r="K609" t="s">
        <v>5919</v>
      </c>
      <c r="L609" t="s">
        <v>6714</v>
      </c>
      <c r="M609" t="s">
        <v>6732</v>
      </c>
      <c r="O609" t="s">
        <v>6747</v>
      </c>
      <c r="P609" t="s">
        <v>5697</v>
      </c>
      <c r="R609" t="s">
        <v>6793</v>
      </c>
      <c r="U609">
        <v>2000</v>
      </c>
      <c r="V609" t="s">
        <v>6833</v>
      </c>
      <c r="W609" t="s">
        <v>6840</v>
      </c>
      <c r="Y609" t="s">
        <v>7456</v>
      </c>
      <c r="AB609">
        <v>26</v>
      </c>
      <c r="AC609" t="s">
        <v>8953</v>
      </c>
      <c r="AD609" t="s">
        <v>5741</v>
      </c>
      <c r="AE609">
        <v>1</v>
      </c>
      <c r="AF609">
        <v>3</v>
      </c>
      <c r="AG609">
        <v>2</v>
      </c>
      <c r="AH609">
        <v>150.08</v>
      </c>
      <c r="AK609" t="s">
        <v>10966</v>
      </c>
      <c r="AL609">
        <v>45278.65</v>
      </c>
      <c r="AR609">
        <v>0</v>
      </c>
      <c r="AT609" t="s">
        <v>11176</v>
      </c>
      <c r="AU609" t="s">
        <v>11228</v>
      </c>
      <c r="AV609" t="s">
        <v>11231</v>
      </c>
      <c r="AW609" t="s">
        <v>6824</v>
      </c>
    </row>
    <row r="610" spans="1:49">
      <c r="A610" s="1">
        <f>HYPERLINK("https://lsnyc.legalserver.org/matter/dynamic-profile/view/1896721","19-1896721")</f>
        <v>0</v>
      </c>
      <c r="B610" t="s">
        <v>215</v>
      </c>
      <c r="C610" t="s">
        <v>777</v>
      </c>
      <c r="D610" t="s">
        <v>2102</v>
      </c>
      <c r="E610" t="s">
        <v>3663</v>
      </c>
      <c r="F610">
        <v>5</v>
      </c>
      <c r="G610" t="s">
        <v>5637</v>
      </c>
      <c r="H610">
        <v>11237</v>
      </c>
      <c r="I610" t="s">
        <v>5696</v>
      </c>
      <c r="J610" t="s">
        <v>5696</v>
      </c>
      <c r="L610" t="s">
        <v>6714</v>
      </c>
      <c r="M610" t="s">
        <v>6732</v>
      </c>
      <c r="O610" t="s">
        <v>6748</v>
      </c>
      <c r="P610" t="s">
        <v>5697</v>
      </c>
      <c r="R610" t="s">
        <v>6793</v>
      </c>
      <c r="S610" t="s">
        <v>6802</v>
      </c>
      <c r="U610">
        <v>3500</v>
      </c>
      <c r="V610" t="s">
        <v>6835</v>
      </c>
      <c r="W610" t="s">
        <v>6838</v>
      </c>
      <c r="Y610" t="s">
        <v>7457</v>
      </c>
      <c r="AB610">
        <v>5</v>
      </c>
      <c r="AC610" t="s">
        <v>10930</v>
      </c>
      <c r="AE610">
        <v>1</v>
      </c>
      <c r="AF610">
        <v>4</v>
      </c>
      <c r="AG610">
        <v>0</v>
      </c>
      <c r="AH610">
        <v>0</v>
      </c>
      <c r="AK610" t="s">
        <v>10966</v>
      </c>
      <c r="AL610">
        <v>0</v>
      </c>
      <c r="AR610">
        <v>1</v>
      </c>
      <c r="AS610" t="s">
        <v>11122</v>
      </c>
      <c r="AT610" t="s">
        <v>215</v>
      </c>
      <c r="AV610" t="s">
        <v>11231</v>
      </c>
      <c r="AW610" t="s">
        <v>11122</v>
      </c>
    </row>
    <row r="611" spans="1:49">
      <c r="A611" s="1">
        <f>HYPERLINK("https://lsnyc.legalserver.org/matter/dynamic-profile/view/1902701","19-1902701")</f>
        <v>0</v>
      </c>
      <c r="B611" t="s">
        <v>187</v>
      </c>
      <c r="C611" t="s">
        <v>438</v>
      </c>
      <c r="D611" t="s">
        <v>1549</v>
      </c>
      <c r="E611" t="s">
        <v>3664</v>
      </c>
      <c r="F611">
        <v>14</v>
      </c>
      <c r="G611" t="s">
        <v>5635</v>
      </c>
      <c r="H611">
        <v>10456</v>
      </c>
      <c r="I611" t="s">
        <v>5695</v>
      </c>
      <c r="J611" t="s">
        <v>5696</v>
      </c>
      <c r="K611" t="s">
        <v>5920</v>
      </c>
      <c r="L611" t="s">
        <v>6714</v>
      </c>
      <c r="M611" t="s">
        <v>6732</v>
      </c>
      <c r="O611" t="s">
        <v>6747</v>
      </c>
      <c r="P611" t="s">
        <v>5697</v>
      </c>
      <c r="R611" t="s">
        <v>6793</v>
      </c>
      <c r="U611">
        <v>0</v>
      </c>
      <c r="V611" t="s">
        <v>6833</v>
      </c>
      <c r="Y611" t="s">
        <v>7458</v>
      </c>
      <c r="AB611">
        <v>0</v>
      </c>
      <c r="AC611" t="s">
        <v>10930</v>
      </c>
      <c r="AE611">
        <v>1</v>
      </c>
      <c r="AF611">
        <v>2</v>
      </c>
      <c r="AG611">
        <v>1</v>
      </c>
      <c r="AH611">
        <v>100.05</v>
      </c>
      <c r="AK611" t="s">
        <v>10966</v>
      </c>
      <c r="AL611">
        <v>21340</v>
      </c>
      <c r="AM611" t="s">
        <v>11043</v>
      </c>
      <c r="AR611">
        <v>1.2</v>
      </c>
      <c r="AS611" t="s">
        <v>11144</v>
      </c>
      <c r="AT611" t="s">
        <v>288</v>
      </c>
      <c r="AU611" t="s">
        <v>11228</v>
      </c>
      <c r="AV611" t="s">
        <v>11231</v>
      </c>
      <c r="AW611" t="s">
        <v>11137</v>
      </c>
    </row>
    <row r="612" spans="1:49">
      <c r="A612" s="1">
        <f>HYPERLINK("https://lsnyc.legalserver.org/matter/dynamic-profile/view/1906021","19-1906021")</f>
        <v>0</v>
      </c>
      <c r="B612" t="s">
        <v>219</v>
      </c>
      <c r="C612" t="s">
        <v>778</v>
      </c>
      <c r="D612" t="s">
        <v>2103</v>
      </c>
      <c r="E612" t="s">
        <v>3665</v>
      </c>
      <c r="F612" t="s">
        <v>5196</v>
      </c>
      <c r="G612" t="s">
        <v>5635</v>
      </c>
      <c r="H612">
        <v>10474</v>
      </c>
      <c r="I612" t="s">
        <v>5697</v>
      </c>
      <c r="J612" t="s">
        <v>5696</v>
      </c>
      <c r="K612" t="s">
        <v>5921</v>
      </c>
      <c r="L612" t="s">
        <v>6714</v>
      </c>
      <c r="M612" t="s">
        <v>6732</v>
      </c>
      <c r="O612" t="s">
        <v>6747</v>
      </c>
      <c r="P612" t="s">
        <v>5697</v>
      </c>
      <c r="R612" t="s">
        <v>6793</v>
      </c>
      <c r="U612">
        <v>1350</v>
      </c>
      <c r="V612" t="s">
        <v>6833</v>
      </c>
      <c r="Y612" t="s">
        <v>7459</v>
      </c>
      <c r="AB612">
        <v>47</v>
      </c>
      <c r="AE612">
        <v>5</v>
      </c>
      <c r="AF612">
        <v>1</v>
      </c>
      <c r="AG612">
        <v>0</v>
      </c>
      <c r="AH612">
        <v>124.9</v>
      </c>
      <c r="AK612" t="s">
        <v>10966</v>
      </c>
      <c r="AL612">
        <v>15600</v>
      </c>
      <c r="AR612">
        <v>0</v>
      </c>
      <c r="AT612" t="s">
        <v>219</v>
      </c>
      <c r="AU612" t="s">
        <v>5741</v>
      </c>
      <c r="AV612" t="s">
        <v>11231</v>
      </c>
      <c r="AW612" t="s">
        <v>6826</v>
      </c>
    </row>
    <row r="613" spans="1:49">
      <c r="A613" s="1">
        <f>HYPERLINK("https://lsnyc.legalserver.org/matter/dynamic-profile/view/1901601","19-1901601")</f>
        <v>0</v>
      </c>
      <c r="B613" t="s">
        <v>220</v>
      </c>
      <c r="C613" t="s">
        <v>779</v>
      </c>
      <c r="D613" t="s">
        <v>1220</v>
      </c>
      <c r="E613" t="s">
        <v>3666</v>
      </c>
      <c r="F613" t="s">
        <v>5248</v>
      </c>
      <c r="G613" t="s">
        <v>5635</v>
      </c>
      <c r="H613">
        <v>10453</v>
      </c>
      <c r="I613" t="s">
        <v>5697</v>
      </c>
      <c r="J613" t="s">
        <v>5696</v>
      </c>
      <c r="L613" t="s">
        <v>6714</v>
      </c>
      <c r="M613" t="s">
        <v>6732</v>
      </c>
      <c r="O613" t="s">
        <v>6748</v>
      </c>
      <c r="R613" t="s">
        <v>6793</v>
      </c>
      <c r="U613">
        <v>1591</v>
      </c>
      <c r="V613" t="s">
        <v>6833</v>
      </c>
      <c r="Y613" t="s">
        <v>7460</v>
      </c>
      <c r="AB613">
        <v>0</v>
      </c>
      <c r="AE613">
        <v>7</v>
      </c>
      <c r="AF613">
        <v>1</v>
      </c>
      <c r="AG613">
        <v>1</v>
      </c>
      <c r="AH613">
        <v>147.6</v>
      </c>
      <c r="AK613" t="s">
        <v>10966</v>
      </c>
      <c r="AL613">
        <v>24960</v>
      </c>
      <c r="AM613" t="s">
        <v>11029</v>
      </c>
      <c r="AR613">
        <v>0.1</v>
      </c>
      <c r="AS613" t="s">
        <v>11136</v>
      </c>
      <c r="AT613" t="s">
        <v>139</v>
      </c>
      <c r="AU613" t="s">
        <v>5741</v>
      </c>
      <c r="AV613" t="s">
        <v>11231</v>
      </c>
      <c r="AW613" t="s">
        <v>11124</v>
      </c>
    </row>
    <row r="614" spans="1:49">
      <c r="A614" s="1">
        <f>HYPERLINK("https://lsnyc.legalserver.org/matter/dynamic-profile/view/1905558","19-1905558")</f>
        <v>0</v>
      </c>
      <c r="B614" t="s">
        <v>53</v>
      </c>
      <c r="C614" t="s">
        <v>780</v>
      </c>
      <c r="D614" t="s">
        <v>2104</v>
      </c>
      <c r="E614" t="s">
        <v>3667</v>
      </c>
      <c r="F614" t="s">
        <v>5326</v>
      </c>
      <c r="G614" t="s">
        <v>5635</v>
      </c>
      <c r="H614">
        <v>10473</v>
      </c>
      <c r="I614" t="s">
        <v>5695</v>
      </c>
      <c r="J614" t="s">
        <v>5696</v>
      </c>
      <c r="K614" t="s">
        <v>5922</v>
      </c>
      <c r="L614" t="s">
        <v>6714</v>
      </c>
      <c r="M614" t="s">
        <v>6732</v>
      </c>
      <c r="O614" t="s">
        <v>6747</v>
      </c>
      <c r="R614" t="s">
        <v>6793</v>
      </c>
      <c r="S614" t="s">
        <v>6801</v>
      </c>
      <c r="U614">
        <v>1651</v>
      </c>
      <c r="V614" t="s">
        <v>6833</v>
      </c>
      <c r="Y614" t="s">
        <v>7461</v>
      </c>
      <c r="AB614">
        <v>0</v>
      </c>
      <c r="AE614">
        <v>10</v>
      </c>
      <c r="AF614">
        <v>1</v>
      </c>
      <c r="AG614">
        <v>3</v>
      </c>
      <c r="AH614">
        <v>97.09</v>
      </c>
      <c r="AK614" t="s">
        <v>10966</v>
      </c>
      <c r="AL614">
        <v>25000</v>
      </c>
      <c r="AR614">
        <v>0.3</v>
      </c>
      <c r="AS614" t="s">
        <v>6827</v>
      </c>
      <c r="AT614" t="s">
        <v>139</v>
      </c>
      <c r="AU614" t="s">
        <v>11228</v>
      </c>
      <c r="AV614" t="s">
        <v>11231</v>
      </c>
      <c r="AW614" t="s">
        <v>6819</v>
      </c>
    </row>
    <row r="615" spans="1:49">
      <c r="A615" s="1">
        <f>HYPERLINK("https://lsnyc.legalserver.org/matter/dynamic-profile/view/1898042","19-1898042")</f>
        <v>0</v>
      </c>
      <c r="B615" t="s">
        <v>117</v>
      </c>
      <c r="C615" t="s">
        <v>398</v>
      </c>
      <c r="D615" t="s">
        <v>2105</v>
      </c>
      <c r="E615" t="s">
        <v>3668</v>
      </c>
      <c r="F615" t="s">
        <v>5327</v>
      </c>
      <c r="G615" t="s">
        <v>5637</v>
      </c>
      <c r="H615">
        <v>11215</v>
      </c>
      <c r="I615" t="s">
        <v>5696</v>
      </c>
      <c r="J615" t="s">
        <v>5696</v>
      </c>
      <c r="K615" t="s">
        <v>5923</v>
      </c>
      <c r="L615" t="s">
        <v>6714</v>
      </c>
      <c r="M615" t="s">
        <v>6732</v>
      </c>
      <c r="O615" t="s">
        <v>6754</v>
      </c>
      <c r="P615" t="s">
        <v>5697</v>
      </c>
      <c r="R615" t="s">
        <v>6793</v>
      </c>
      <c r="S615" t="s">
        <v>6801</v>
      </c>
      <c r="U615">
        <v>628.29</v>
      </c>
      <c r="V615" t="s">
        <v>6835</v>
      </c>
      <c r="W615" t="s">
        <v>6842</v>
      </c>
      <c r="Y615" t="s">
        <v>7462</v>
      </c>
      <c r="AB615">
        <v>8</v>
      </c>
      <c r="AC615" t="s">
        <v>10929</v>
      </c>
      <c r="AD615" t="s">
        <v>10945</v>
      </c>
      <c r="AE615">
        <v>40</v>
      </c>
      <c r="AF615">
        <v>1</v>
      </c>
      <c r="AG615">
        <v>0</v>
      </c>
      <c r="AH615">
        <v>72.15000000000001</v>
      </c>
      <c r="AK615" t="s">
        <v>10966</v>
      </c>
      <c r="AL615">
        <v>9012</v>
      </c>
      <c r="AR615">
        <v>14.25</v>
      </c>
      <c r="AS615" t="s">
        <v>6815</v>
      </c>
      <c r="AT615" t="s">
        <v>117</v>
      </c>
      <c r="AV615" t="s">
        <v>11231</v>
      </c>
      <c r="AW615" t="s">
        <v>11142</v>
      </c>
    </row>
    <row r="616" spans="1:49">
      <c r="A616" s="1">
        <f>HYPERLINK("https://lsnyc.legalserver.org/matter/dynamic-profile/view/1901896","19-1901896")</f>
        <v>0</v>
      </c>
      <c r="B616" t="s">
        <v>221</v>
      </c>
      <c r="C616" t="s">
        <v>668</v>
      </c>
      <c r="D616" t="s">
        <v>2106</v>
      </c>
      <c r="E616" t="s">
        <v>3669</v>
      </c>
      <c r="F616" t="s">
        <v>5161</v>
      </c>
      <c r="G616" t="s">
        <v>5635</v>
      </c>
      <c r="H616">
        <v>10458</v>
      </c>
      <c r="I616" t="s">
        <v>5695</v>
      </c>
      <c r="J616" t="s">
        <v>5696</v>
      </c>
      <c r="K616" t="s">
        <v>5924</v>
      </c>
      <c r="L616" t="s">
        <v>6714</v>
      </c>
      <c r="M616" t="s">
        <v>6732</v>
      </c>
      <c r="O616" t="s">
        <v>6747</v>
      </c>
      <c r="P616" t="s">
        <v>5697</v>
      </c>
      <c r="R616" t="s">
        <v>6793</v>
      </c>
      <c r="S616" t="s">
        <v>6801</v>
      </c>
      <c r="U616">
        <v>241</v>
      </c>
      <c r="V616" t="s">
        <v>6833</v>
      </c>
      <c r="W616" t="s">
        <v>6839</v>
      </c>
      <c r="Y616" t="s">
        <v>7463</v>
      </c>
      <c r="AB616">
        <v>30</v>
      </c>
      <c r="AC616" t="s">
        <v>10929</v>
      </c>
      <c r="AD616" t="s">
        <v>5741</v>
      </c>
      <c r="AE616">
        <v>50</v>
      </c>
      <c r="AF616">
        <v>1</v>
      </c>
      <c r="AG616">
        <v>0</v>
      </c>
      <c r="AH616">
        <v>46.21</v>
      </c>
      <c r="AK616" t="s">
        <v>10966</v>
      </c>
      <c r="AL616">
        <v>5772</v>
      </c>
      <c r="AM616" t="s">
        <v>11044</v>
      </c>
      <c r="AR616">
        <v>0.6</v>
      </c>
      <c r="AS616" t="s">
        <v>11144</v>
      </c>
      <c r="AT616" t="s">
        <v>288</v>
      </c>
      <c r="AU616" t="s">
        <v>11228</v>
      </c>
      <c r="AV616" t="s">
        <v>11231</v>
      </c>
      <c r="AW616" t="s">
        <v>11150</v>
      </c>
    </row>
    <row r="617" spans="1:49">
      <c r="A617" s="1">
        <f>HYPERLINK("https://lsnyc.legalserver.org/matter/dynamic-profile/view/1899294","19-1899294")</f>
        <v>0</v>
      </c>
      <c r="B617" t="s">
        <v>85</v>
      </c>
      <c r="C617" t="s">
        <v>601</v>
      </c>
      <c r="D617" t="s">
        <v>1683</v>
      </c>
      <c r="E617" t="s">
        <v>3670</v>
      </c>
      <c r="F617" t="s">
        <v>5289</v>
      </c>
      <c r="G617" t="s">
        <v>5637</v>
      </c>
      <c r="H617">
        <v>11238</v>
      </c>
      <c r="I617" t="s">
        <v>5696</v>
      </c>
      <c r="J617" t="s">
        <v>5696</v>
      </c>
      <c r="L617" t="s">
        <v>6714</v>
      </c>
      <c r="M617" t="s">
        <v>6732</v>
      </c>
      <c r="O617" t="s">
        <v>6754</v>
      </c>
      <c r="R617" t="s">
        <v>6793</v>
      </c>
      <c r="U617">
        <v>0</v>
      </c>
      <c r="V617" t="s">
        <v>6835</v>
      </c>
      <c r="Y617" t="s">
        <v>7464</v>
      </c>
      <c r="AB617">
        <v>0</v>
      </c>
      <c r="AC617" t="s">
        <v>10929</v>
      </c>
      <c r="AD617" t="s">
        <v>10945</v>
      </c>
      <c r="AE617">
        <v>0</v>
      </c>
      <c r="AF617">
        <v>1</v>
      </c>
      <c r="AG617">
        <v>0</v>
      </c>
      <c r="AH617">
        <v>80.51000000000001</v>
      </c>
      <c r="AK617" t="s">
        <v>10966</v>
      </c>
      <c r="AL617">
        <v>10056</v>
      </c>
      <c r="AR617">
        <v>11</v>
      </c>
      <c r="AS617" t="s">
        <v>11143</v>
      </c>
      <c r="AT617" t="s">
        <v>85</v>
      </c>
      <c r="AV617" t="s">
        <v>11231</v>
      </c>
      <c r="AW617" t="s">
        <v>11156</v>
      </c>
    </row>
    <row r="618" spans="1:49">
      <c r="A618" s="1">
        <f>HYPERLINK("https://lsnyc.legalserver.org/matter/dynamic-profile/view/1905755","19-1905755")</f>
        <v>0</v>
      </c>
      <c r="B618" t="s">
        <v>85</v>
      </c>
      <c r="C618" t="s">
        <v>781</v>
      </c>
      <c r="D618" t="s">
        <v>2107</v>
      </c>
      <c r="E618" t="s">
        <v>3671</v>
      </c>
      <c r="F618" t="s">
        <v>5112</v>
      </c>
      <c r="G618" t="s">
        <v>5637</v>
      </c>
      <c r="H618">
        <v>11230</v>
      </c>
      <c r="I618" t="s">
        <v>5696</v>
      </c>
      <c r="J618" t="s">
        <v>5696</v>
      </c>
      <c r="L618" t="s">
        <v>6714</v>
      </c>
      <c r="M618" t="s">
        <v>6732</v>
      </c>
      <c r="O618" t="s">
        <v>6754</v>
      </c>
      <c r="R618" t="s">
        <v>6793</v>
      </c>
      <c r="U618">
        <v>0</v>
      </c>
      <c r="V618" t="s">
        <v>6835</v>
      </c>
      <c r="Y618" t="s">
        <v>7465</v>
      </c>
      <c r="AB618">
        <v>0</v>
      </c>
      <c r="AC618" t="s">
        <v>10933</v>
      </c>
      <c r="AD618" t="s">
        <v>5741</v>
      </c>
      <c r="AE618">
        <v>0</v>
      </c>
      <c r="AF618">
        <v>1</v>
      </c>
      <c r="AG618">
        <v>0</v>
      </c>
      <c r="AH618">
        <v>117.02</v>
      </c>
      <c r="AL618">
        <v>14616</v>
      </c>
      <c r="AR618">
        <v>0</v>
      </c>
      <c r="AT618" t="s">
        <v>85</v>
      </c>
      <c r="AV618" t="s">
        <v>11231</v>
      </c>
      <c r="AW618" t="s">
        <v>6822</v>
      </c>
    </row>
    <row r="619" spans="1:49">
      <c r="A619" s="1">
        <f>HYPERLINK("https://lsnyc.legalserver.org/matter/dynamic-profile/view/1896241","19-1896241")</f>
        <v>0</v>
      </c>
      <c r="B619" t="s">
        <v>85</v>
      </c>
      <c r="C619" t="s">
        <v>343</v>
      </c>
      <c r="D619" t="s">
        <v>2108</v>
      </c>
      <c r="E619" t="s">
        <v>3672</v>
      </c>
      <c r="F619" t="s">
        <v>5108</v>
      </c>
      <c r="G619" t="s">
        <v>5637</v>
      </c>
      <c r="H619">
        <v>11220</v>
      </c>
      <c r="I619" t="s">
        <v>5696</v>
      </c>
      <c r="J619" t="s">
        <v>5696</v>
      </c>
      <c r="L619" t="s">
        <v>6725</v>
      </c>
      <c r="M619" t="s">
        <v>6732</v>
      </c>
      <c r="O619" t="s">
        <v>6754</v>
      </c>
      <c r="R619" t="s">
        <v>6796</v>
      </c>
      <c r="U619">
        <v>0</v>
      </c>
      <c r="V619" t="s">
        <v>6835</v>
      </c>
      <c r="Y619" t="s">
        <v>7466</v>
      </c>
      <c r="AB619">
        <v>0</v>
      </c>
      <c r="AC619" t="s">
        <v>10929</v>
      </c>
      <c r="AD619" t="s">
        <v>10944</v>
      </c>
      <c r="AE619">
        <v>0</v>
      </c>
      <c r="AF619">
        <v>2</v>
      </c>
      <c r="AG619">
        <v>0</v>
      </c>
      <c r="AH619">
        <v>60.39</v>
      </c>
      <c r="AK619" t="s">
        <v>10966</v>
      </c>
      <c r="AL619">
        <v>10212</v>
      </c>
      <c r="AR619">
        <v>1.75</v>
      </c>
      <c r="AS619" t="s">
        <v>11164</v>
      </c>
      <c r="AT619" t="s">
        <v>85</v>
      </c>
      <c r="AV619" t="s">
        <v>11231</v>
      </c>
      <c r="AW619" t="s">
        <v>11167</v>
      </c>
    </row>
    <row r="620" spans="1:49">
      <c r="A620" s="1">
        <f>HYPERLINK("https://lsnyc.legalserver.org/matter/dynamic-profile/view/1903966","19-1903966")</f>
        <v>0</v>
      </c>
      <c r="B620" t="s">
        <v>122</v>
      </c>
      <c r="C620" t="s">
        <v>782</v>
      </c>
      <c r="D620" t="s">
        <v>2109</v>
      </c>
      <c r="E620" t="s">
        <v>3673</v>
      </c>
      <c r="F620" t="s">
        <v>5102</v>
      </c>
      <c r="G620" t="s">
        <v>5637</v>
      </c>
      <c r="H620">
        <v>11236</v>
      </c>
      <c r="I620" t="s">
        <v>5695</v>
      </c>
      <c r="J620" t="s">
        <v>5696</v>
      </c>
      <c r="K620" t="s">
        <v>5925</v>
      </c>
      <c r="L620" t="s">
        <v>6726</v>
      </c>
      <c r="M620" t="s">
        <v>6732</v>
      </c>
      <c r="O620" t="s">
        <v>6748</v>
      </c>
      <c r="R620" t="s">
        <v>6793</v>
      </c>
      <c r="T620" t="s">
        <v>6825</v>
      </c>
      <c r="U620">
        <v>720</v>
      </c>
      <c r="V620" t="s">
        <v>6835</v>
      </c>
      <c r="W620" t="s">
        <v>6841</v>
      </c>
      <c r="Y620" t="s">
        <v>7467</v>
      </c>
      <c r="AA620" t="s">
        <v>9547</v>
      </c>
      <c r="AB620">
        <v>6</v>
      </c>
      <c r="AC620" t="s">
        <v>10930</v>
      </c>
      <c r="AD620" t="s">
        <v>5741</v>
      </c>
      <c r="AE620">
        <v>9</v>
      </c>
      <c r="AF620">
        <v>2</v>
      </c>
      <c r="AG620">
        <v>1</v>
      </c>
      <c r="AH620">
        <v>121.89</v>
      </c>
      <c r="AK620" t="s">
        <v>10966</v>
      </c>
      <c r="AL620">
        <v>26000</v>
      </c>
      <c r="AR620">
        <v>2.2</v>
      </c>
      <c r="AS620" t="s">
        <v>6824</v>
      </c>
      <c r="AT620" t="s">
        <v>11203</v>
      </c>
      <c r="AU620" t="s">
        <v>11228</v>
      </c>
      <c r="AV620" t="s">
        <v>11231</v>
      </c>
      <c r="AW620" t="s">
        <v>6825</v>
      </c>
    </row>
    <row r="621" spans="1:49">
      <c r="A621" s="1">
        <f>HYPERLINK("https://lsnyc.legalserver.org/matter/dynamic-profile/view/1902185","19-1902185")</f>
        <v>0</v>
      </c>
      <c r="B621" t="s">
        <v>85</v>
      </c>
      <c r="C621" t="s">
        <v>783</v>
      </c>
      <c r="D621" t="s">
        <v>2110</v>
      </c>
      <c r="E621" t="s">
        <v>3617</v>
      </c>
      <c r="F621" t="s">
        <v>5212</v>
      </c>
      <c r="G621" t="s">
        <v>5637</v>
      </c>
      <c r="H621">
        <v>11235</v>
      </c>
      <c r="I621" t="s">
        <v>5696</v>
      </c>
      <c r="J621" t="s">
        <v>5696</v>
      </c>
      <c r="L621" t="s">
        <v>6717</v>
      </c>
      <c r="M621" t="s">
        <v>6732</v>
      </c>
      <c r="O621" t="s">
        <v>6754</v>
      </c>
      <c r="R621" t="s">
        <v>6796</v>
      </c>
      <c r="U621">
        <v>0</v>
      </c>
      <c r="V621" t="s">
        <v>6835</v>
      </c>
      <c r="Y621" t="s">
        <v>7468</v>
      </c>
      <c r="AB621">
        <v>0</v>
      </c>
      <c r="AC621" t="s">
        <v>10929</v>
      </c>
      <c r="AE621">
        <v>0</v>
      </c>
      <c r="AF621">
        <v>1</v>
      </c>
      <c r="AG621">
        <v>0</v>
      </c>
      <c r="AH621">
        <v>87.05</v>
      </c>
      <c r="AK621" t="s">
        <v>10969</v>
      </c>
      <c r="AL621">
        <v>10872</v>
      </c>
      <c r="AR621">
        <v>3.75</v>
      </c>
      <c r="AS621" t="s">
        <v>6812</v>
      </c>
      <c r="AT621" t="s">
        <v>85</v>
      </c>
      <c r="AV621" t="s">
        <v>11231</v>
      </c>
      <c r="AW621" t="s">
        <v>11157</v>
      </c>
    </row>
    <row r="622" spans="1:49">
      <c r="A622" s="1">
        <f>HYPERLINK("https://lsnyc.legalserver.org/matter/dynamic-profile/view/1903773","19-1903773")</f>
        <v>0</v>
      </c>
      <c r="B622" t="s">
        <v>222</v>
      </c>
      <c r="C622" t="s">
        <v>761</v>
      </c>
      <c r="D622" t="s">
        <v>2111</v>
      </c>
      <c r="E622" t="s">
        <v>3674</v>
      </c>
      <c r="F622">
        <v>35</v>
      </c>
      <c r="G622" t="s">
        <v>5635</v>
      </c>
      <c r="H622">
        <v>10457</v>
      </c>
      <c r="I622" t="s">
        <v>5696</v>
      </c>
      <c r="J622" t="s">
        <v>5696</v>
      </c>
      <c r="L622" t="s">
        <v>6718</v>
      </c>
      <c r="M622" t="s">
        <v>6732</v>
      </c>
      <c r="O622" t="s">
        <v>6748</v>
      </c>
      <c r="P622" t="s">
        <v>5697</v>
      </c>
      <c r="R622" t="s">
        <v>6793</v>
      </c>
      <c r="U622">
        <v>485</v>
      </c>
      <c r="V622" t="s">
        <v>6833</v>
      </c>
      <c r="W622" t="s">
        <v>6841</v>
      </c>
      <c r="Y622" t="s">
        <v>7469</v>
      </c>
      <c r="AA622" t="s">
        <v>9548</v>
      </c>
      <c r="AB622">
        <v>35</v>
      </c>
      <c r="AC622" t="s">
        <v>10938</v>
      </c>
      <c r="AD622" t="s">
        <v>5741</v>
      </c>
      <c r="AE622">
        <v>44</v>
      </c>
      <c r="AF622">
        <v>1</v>
      </c>
      <c r="AG622">
        <v>0</v>
      </c>
      <c r="AH622">
        <v>196.16</v>
      </c>
      <c r="AK622" t="s">
        <v>10966</v>
      </c>
      <c r="AL622">
        <v>24500</v>
      </c>
      <c r="AR622">
        <v>0.84</v>
      </c>
      <c r="AS622" t="s">
        <v>6811</v>
      </c>
      <c r="AT622" t="s">
        <v>11195</v>
      </c>
      <c r="AV622" t="s">
        <v>11231</v>
      </c>
      <c r="AW622" t="s">
        <v>6811</v>
      </c>
    </row>
    <row r="623" spans="1:49">
      <c r="A623" s="1">
        <f>HYPERLINK("https://lsnyc.legalserver.org/matter/dynamic-profile/view/1905954","19-1905954")</f>
        <v>0</v>
      </c>
      <c r="B623" t="s">
        <v>178</v>
      </c>
      <c r="C623" t="s">
        <v>453</v>
      </c>
      <c r="D623" t="s">
        <v>2112</v>
      </c>
      <c r="E623" t="s">
        <v>3675</v>
      </c>
      <c r="F623">
        <v>22</v>
      </c>
      <c r="G623" t="s">
        <v>5638</v>
      </c>
      <c r="H623">
        <v>10033</v>
      </c>
      <c r="I623" t="s">
        <v>5695</v>
      </c>
      <c r="J623" t="s">
        <v>5696</v>
      </c>
      <c r="L623" t="s">
        <v>6718</v>
      </c>
      <c r="M623" t="s">
        <v>6732</v>
      </c>
      <c r="O623" t="s">
        <v>6745</v>
      </c>
      <c r="P623" t="s">
        <v>5697</v>
      </c>
      <c r="R623" t="s">
        <v>6793</v>
      </c>
      <c r="T623" t="s">
        <v>6826</v>
      </c>
      <c r="U623">
        <v>1296.98</v>
      </c>
      <c r="V623" t="s">
        <v>6836</v>
      </c>
      <c r="W623" t="s">
        <v>6845</v>
      </c>
      <c r="Y623" t="s">
        <v>7470</v>
      </c>
      <c r="AA623" t="s">
        <v>9549</v>
      </c>
      <c r="AB623">
        <v>41</v>
      </c>
      <c r="AC623" t="s">
        <v>10929</v>
      </c>
      <c r="AD623" t="s">
        <v>5741</v>
      </c>
      <c r="AE623">
        <v>26</v>
      </c>
      <c r="AF623">
        <v>1</v>
      </c>
      <c r="AG623">
        <v>0</v>
      </c>
      <c r="AH623">
        <v>74.72</v>
      </c>
      <c r="AK623" t="s">
        <v>10967</v>
      </c>
      <c r="AL623">
        <v>9332.440000000001</v>
      </c>
      <c r="AR623">
        <v>0.1</v>
      </c>
      <c r="AS623" t="s">
        <v>6826</v>
      </c>
      <c r="AT623" t="s">
        <v>11201</v>
      </c>
      <c r="AU623" t="s">
        <v>11228</v>
      </c>
      <c r="AV623" t="s">
        <v>11231</v>
      </c>
      <c r="AW623" t="s">
        <v>6826</v>
      </c>
    </row>
    <row r="624" spans="1:49">
      <c r="A624" s="1">
        <f>HYPERLINK("https://lsnyc.legalserver.org/matter/dynamic-profile/view/1904987","19-1904987")</f>
        <v>0</v>
      </c>
      <c r="B624" t="s">
        <v>223</v>
      </c>
      <c r="C624" t="s">
        <v>784</v>
      </c>
      <c r="D624" t="s">
        <v>2113</v>
      </c>
      <c r="E624" t="s">
        <v>3676</v>
      </c>
      <c r="F624" t="s">
        <v>5128</v>
      </c>
      <c r="G624" t="s">
        <v>5638</v>
      </c>
      <c r="H624">
        <v>10034</v>
      </c>
      <c r="I624" t="s">
        <v>5695</v>
      </c>
      <c r="J624" t="s">
        <v>5696</v>
      </c>
      <c r="L624" t="s">
        <v>6718</v>
      </c>
      <c r="M624" t="s">
        <v>6732</v>
      </c>
      <c r="O624" t="s">
        <v>6745</v>
      </c>
      <c r="P624" t="s">
        <v>5697</v>
      </c>
      <c r="R624" t="s">
        <v>6793</v>
      </c>
      <c r="T624" t="s">
        <v>6812</v>
      </c>
      <c r="U624">
        <v>980.67</v>
      </c>
      <c r="V624" t="s">
        <v>6836</v>
      </c>
      <c r="W624" t="s">
        <v>6843</v>
      </c>
      <c r="Y624" t="s">
        <v>7471</v>
      </c>
      <c r="AA624" t="s">
        <v>9550</v>
      </c>
      <c r="AB624">
        <v>26</v>
      </c>
      <c r="AC624" t="s">
        <v>10929</v>
      </c>
      <c r="AD624" t="s">
        <v>10945</v>
      </c>
      <c r="AE624">
        <v>9</v>
      </c>
      <c r="AF624">
        <v>2</v>
      </c>
      <c r="AG624">
        <v>1</v>
      </c>
      <c r="AH624">
        <v>45.34</v>
      </c>
      <c r="AK624" t="s">
        <v>10967</v>
      </c>
      <c r="AL624">
        <v>9672</v>
      </c>
      <c r="AR624">
        <v>1</v>
      </c>
      <c r="AS624" t="s">
        <v>6808</v>
      </c>
      <c r="AT624" t="s">
        <v>11201</v>
      </c>
      <c r="AU624" t="s">
        <v>11228</v>
      </c>
      <c r="AV624" t="s">
        <v>11231</v>
      </c>
      <c r="AW624" t="s">
        <v>6812</v>
      </c>
    </row>
    <row r="625" spans="1:49">
      <c r="A625" s="1">
        <f>HYPERLINK("https://lsnyc.legalserver.org/matter/dynamic-profile/view/1897947","19-1897947")</f>
        <v>0</v>
      </c>
      <c r="B625" t="s">
        <v>64</v>
      </c>
      <c r="C625" t="s">
        <v>618</v>
      </c>
      <c r="D625" t="s">
        <v>1936</v>
      </c>
      <c r="E625" t="s">
        <v>3433</v>
      </c>
      <c r="F625" t="s">
        <v>5189</v>
      </c>
      <c r="G625" t="s">
        <v>5635</v>
      </c>
      <c r="H625">
        <v>10452</v>
      </c>
      <c r="I625" t="s">
        <v>5697</v>
      </c>
      <c r="J625" t="s">
        <v>5695</v>
      </c>
      <c r="L625" t="s">
        <v>6718</v>
      </c>
      <c r="M625" t="s">
        <v>6732</v>
      </c>
      <c r="O625" t="s">
        <v>6748</v>
      </c>
      <c r="P625" t="s">
        <v>5697</v>
      </c>
      <c r="R625" t="s">
        <v>6793</v>
      </c>
      <c r="U625">
        <v>0</v>
      </c>
      <c r="V625" t="s">
        <v>6833</v>
      </c>
      <c r="W625" t="s">
        <v>6838</v>
      </c>
      <c r="Y625" t="s">
        <v>7226</v>
      </c>
      <c r="AB625">
        <v>92</v>
      </c>
      <c r="AC625" t="s">
        <v>10929</v>
      </c>
      <c r="AD625" t="s">
        <v>10944</v>
      </c>
      <c r="AE625">
        <v>9</v>
      </c>
      <c r="AF625">
        <v>2</v>
      </c>
      <c r="AG625">
        <v>0</v>
      </c>
      <c r="AH625">
        <v>0</v>
      </c>
      <c r="AK625" t="s">
        <v>10966</v>
      </c>
      <c r="AL625">
        <v>0</v>
      </c>
      <c r="AM625" t="s">
        <v>11045</v>
      </c>
      <c r="AR625">
        <v>0</v>
      </c>
      <c r="AT625" t="s">
        <v>11176</v>
      </c>
      <c r="AU625" t="s">
        <v>11228</v>
      </c>
      <c r="AV625" t="s">
        <v>11231</v>
      </c>
      <c r="AW625" t="s">
        <v>11142</v>
      </c>
    </row>
    <row r="626" spans="1:49">
      <c r="A626" s="1">
        <f>HYPERLINK("https://lsnyc.legalserver.org/matter/dynamic-profile/view/1905447","19-1905447")</f>
        <v>0</v>
      </c>
      <c r="B626" t="s">
        <v>213</v>
      </c>
      <c r="C626" t="s">
        <v>785</v>
      </c>
      <c r="D626" t="s">
        <v>2114</v>
      </c>
      <c r="E626" t="s">
        <v>3178</v>
      </c>
      <c r="F626" t="s">
        <v>5148</v>
      </c>
      <c r="G626" t="s">
        <v>5635</v>
      </c>
      <c r="H626">
        <v>10451</v>
      </c>
      <c r="I626" t="s">
        <v>5695</v>
      </c>
      <c r="J626" t="s">
        <v>5696</v>
      </c>
      <c r="L626" t="s">
        <v>6718</v>
      </c>
      <c r="M626" t="s">
        <v>6732</v>
      </c>
      <c r="O626" t="s">
        <v>6745</v>
      </c>
      <c r="P626" t="s">
        <v>5697</v>
      </c>
      <c r="R626" t="s">
        <v>6793</v>
      </c>
      <c r="U626">
        <v>1200</v>
      </c>
      <c r="V626" t="s">
        <v>6833</v>
      </c>
      <c r="W626" t="s">
        <v>6838</v>
      </c>
      <c r="Y626" t="s">
        <v>7472</v>
      </c>
      <c r="AB626">
        <v>0</v>
      </c>
      <c r="AC626" t="s">
        <v>10929</v>
      </c>
      <c r="AD626" t="s">
        <v>10948</v>
      </c>
      <c r="AE626">
        <v>13</v>
      </c>
      <c r="AF626">
        <v>1</v>
      </c>
      <c r="AG626">
        <v>0</v>
      </c>
      <c r="AH626">
        <v>63.41</v>
      </c>
      <c r="AK626" t="s">
        <v>10966</v>
      </c>
      <c r="AL626">
        <v>7920</v>
      </c>
      <c r="AR626">
        <v>1</v>
      </c>
      <c r="AS626" t="s">
        <v>6808</v>
      </c>
      <c r="AT626" t="s">
        <v>213</v>
      </c>
      <c r="AU626" t="s">
        <v>11229</v>
      </c>
      <c r="AV626" t="s">
        <v>11231</v>
      </c>
      <c r="AW626" t="s">
        <v>6808</v>
      </c>
    </row>
    <row r="627" spans="1:49">
      <c r="A627" s="1">
        <f>HYPERLINK("https://lsnyc.legalserver.org/matter/dynamic-profile/view/1900136","19-1900136")</f>
        <v>0</v>
      </c>
      <c r="B627" t="s">
        <v>187</v>
      </c>
      <c r="C627" t="s">
        <v>407</v>
      </c>
      <c r="D627" t="s">
        <v>1750</v>
      </c>
      <c r="E627" t="s">
        <v>3202</v>
      </c>
      <c r="F627" t="s">
        <v>5164</v>
      </c>
      <c r="G627" t="s">
        <v>5635</v>
      </c>
      <c r="H627">
        <v>10453</v>
      </c>
      <c r="I627" t="s">
        <v>5697</v>
      </c>
      <c r="J627" t="s">
        <v>5696</v>
      </c>
      <c r="K627" t="s">
        <v>5767</v>
      </c>
      <c r="M627" t="s">
        <v>6732</v>
      </c>
      <c r="O627" t="s">
        <v>6747</v>
      </c>
      <c r="P627" t="s">
        <v>5697</v>
      </c>
      <c r="R627" t="s">
        <v>6793</v>
      </c>
      <c r="U627">
        <v>0</v>
      </c>
      <c r="V627" t="s">
        <v>6833</v>
      </c>
      <c r="Y627" t="s">
        <v>6997</v>
      </c>
      <c r="AA627" t="s">
        <v>9551</v>
      </c>
      <c r="AB627">
        <v>0</v>
      </c>
      <c r="AE627">
        <v>0</v>
      </c>
      <c r="AF627">
        <v>2</v>
      </c>
      <c r="AG627">
        <v>1</v>
      </c>
      <c r="AH627">
        <v>150.02</v>
      </c>
      <c r="AK627" t="s">
        <v>10966</v>
      </c>
      <c r="AL627">
        <v>32000</v>
      </c>
      <c r="AR627">
        <v>3.2</v>
      </c>
      <c r="AS627" t="s">
        <v>6825</v>
      </c>
      <c r="AT627" t="s">
        <v>288</v>
      </c>
      <c r="AU627" t="s">
        <v>5741</v>
      </c>
      <c r="AV627" t="s">
        <v>11231</v>
      </c>
      <c r="AW627" t="s">
        <v>10954</v>
      </c>
    </row>
    <row r="628" spans="1:49">
      <c r="A628" s="1">
        <f>HYPERLINK("https://lsnyc.legalserver.org/matter/dynamic-profile/view/1905229","19-1905229")</f>
        <v>0</v>
      </c>
      <c r="B628" t="s">
        <v>199</v>
      </c>
      <c r="C628" t="s">
        <v>786</v>
      </c>
      <c r="D628" t="s">
        <v>2115</v>
      </c>
      <c r="E628" t="s">
        <v>3677</v>
      </c>
      <c r="F628">
        <v>13</v>
      </c>
      <c r="G628" t="s">
        <v>5635</v>
      </c>
      <c r="H628">
        <v>10469</v>
      </c>
      <c r="I628" t="s">
        <v>5695</v>
      </c>
      <c r="J628" t="s">
        <v>5696</v>
      </c>
      <c r="K628" t="s">
        <v>5926</v>
      </c>
      <c r="M628" t="s">
        <v>6732</v>
      </c>
      <c r="O628" t="s">
        <v>6747</v>
      </c>
      <c r="R628" t="s">
        <v>6793</v>
      </c>
      <c r="S628" t="s">
        <v>6801</v>
      </c>
      <c r="U628">
        <v>1050</v>
      </c>
      <c r="V628" t="s">
        <v>6833</v>
      </c>
      <c r="Y628" t="s">
        <v>7473</v>
      </c>
      <c r="Z628">
        <v>5550356</v>
      </c>
      <c r="AA628" t="s">
        <v>9552</v>
      </c>
      <c r="AB628">
        <v>8</v>
      </c>
      <c r="AD628" t="s">
        <v>10946</v>
      </c>
      <c r="AE628">
        <v>10</v>
      </c>
      <c r="AF628">
        <v>1</v>
      </c>
      <c r="AG628">
        <v>1</v>
      </c>
      <c r="AH628">
        <v>70.95999999999999</v>
      </c>
      <c r="AK628" t="s">
        <v>10966</v>
      </c>
      <c r="AL628">
        <v>12000</v>
      </c>
      <c r="AR628">
        <v>0.5</v>
      </c>
      <c r="AS628" t="s">
        <v>6820</v>
      </c>
      <c r="AT628" t="s">
        <v>288</v>
      </c>
      <c r="AU628" t="s">
        <v>11228</v>
      </c>
      <c r="AV628" t="s">
        <v>11231</v>
      </c>
      <c r="AW628" t="s">
        <v>6808</v>
      </c>
    </row>
    <row r="629" spans="1:49">
      <c r="A629" s="1">
        <f>HYPERLINK("https://lsnyc.legalserver.org/matter/dynamic-profile/view/1905842","19-1905842")</f>
        <v>0</v>
      </c>
      <c r="B629" t="s">
        <v>207</v>
      </c>
      <c r="C629" t="s">
        <v>787</v>
      </c>
      <c r="D629" t="s">
        <v>2116</v>
      </c>
      <c r="E629" t="s">
        <v>3678</v>
      </c>
      <c r="F629" t="s">
        <v>5328</v>
      </c>
      <c r="G629" t="s">
        <v>5635</v>
      </c>
      <c r="H629">
        <v>10467</v>
      </c>
      <c r="I629" t="s">
        <v>5695</v>
      </c>
      <c r="J629" t="s">
        <v>5696</v>
      </c>
      <c r="M629" t="s">
        <v>6732</v>
      </c>
      <c r="O629" t="s">
        <v>6745</v>
      </c>
      <c r="P629" t="s">
        <v>5697</v>
      </c>
      <c r="R629" t="s">
        <v>6793</v>
      </c>
      <c r="U629">
        <v>1254.43</v>
      </c>
      <c r="V629" t="s">
        <v>6833</v>
      </c>
      <c r="W629" t="s">
        <v>6838</v>
      </c>
      <c r="Y629" t="s">
        <v>7303</v>
      </c>
      <c r="AA629" t="s">
        <v>9553</v>
      </c>
      <c r="AB629">
        <v>70</v>
      </c>
      <c r="AC629" t="s">
        <v>10929</v>
      </c>
      <c r="AD629" t="s">
        <v>5741</v>
      </c>
      <c r="AE629">
        <v>14</v>
      </c>
      <c r="AF629">
        <v>1</v>
      </c>
      <c r="AG629">
        <v>0</v>
      </c>
      <c r="AH629">
        <v>0</v>
      </c>
      <c r="AK629" t="s">
        <v>10967</v>
      </c>
      <c r="AL629">
        <v>0</v>
      </c>
      <c r="AR629">
        <v>0</v>
      </c>
      <c r="AT629" t="s">
        <v>219</v>
      </c>
      <c r="AV629" t="s">
        <v>11231</v>
      </c>
      <c r="AW629" t="s">
        <v>6808</v>
      </c>
    </row>
    <row r="630" spans="1:49">
      <c r="A630" s="1">
        <f>HYPERLINK("https://lsnyc.legalserver.org/matter/dynamic-profile/view/1902561","19-1902561")</f>
        <v>0</v>
      </c>
      <c r="B630" t="s">
        <v>224</v>
      </c>
      <c r="C630" t="s">
        <v>788</v>
      </c>
      <c r="D630" t="s">
        <v>2117</v>
      </c>
      <c r="E630" t="s">
        <v>3679</v>
      </c>
      <c r="F630" t="s">
        <v>5329</v>
      </c>
      <c r="G630" t="s">
        <v>5637</v>
      </c>
      <c r="H630">
        <v>11215</v>
      </c>
      <c r="I630" t="s">
        <v>5695</v>
      </c>
      <c r="J630" t="s">
        <v>5696</v>
      </c>
      <c r="M630" t="s">
        <v>6732</v>
      </c>
      <c r="O630" t="s">
        <v>6756</v>
      </c>
      <c r="R630" t="s">
        <v>6795</v>
      </c>
      <c r="U630">
        <v>0</v>
      </c>
      <c r="V630" t="s">
        <v>6835</v>
      </c>
      <c r="Y630" t="s">
        <v>7474</v>
      </c>
      <c r="AA630" t="s">
        <v>9554</v>
      </c>
      <c r="AB630">
        <v>0</v>
      </c>
      <c r="AE630">
        <v>0</v>
      </c>
      <c r="AF630">
        <v>1</v>
      </c>
      <c r="AG630">
        <v>0</v>
      </c>
      <c r="AH630">
        <v>19.02</v>
      </c>
      <c r="AK630" t="s">
        <v>10966</v>
      </c>
      <c r="AL630">
        <v>2376</v>
      </c>
      <c r="AR630">
        <v>0.5</v>
      </c>
      <c r="AS630" t="s">
        <v>11139</v>
      </c>
      <c r="AT630" t="s">
        <v>11198</v>
      </c>
      <c r="AU630" t="s">
        <v>11228</v>
      </c>
      <c r="AV630" t="s">
        <v>11231</v>
      </c>
      <c r="AW630" t="s">
        <v>11139</v>
      </c>
    </row>
    <row r="631" spans="1:49">
      <c r="A631" s="1">
        <f>HYPERLINK("https://lsnyc.legalserver.org/matter/dynamic-profile/view/1903855","19-1903855")</f>
        <v>0</v>
      </c>
      <c r="B631" t="s">
        <v>118</v>
      </c>
      <c r="C631" t="s">
        <v>789</v>
      </c>
      <c r="D631" t="s">
        <v>2118</v>
      </c>
      <c r="E631" t="s">
        <v>3680</v>
      </c>
      <c r="F631" t="s">
        <v>5109</v>
      </c>
      <c r="G631" t="s">
        <v>5637</v>
      </c>
      <c r="H631">
        <v>11225</v>
      </c>
      <c r="I631" t="s">
        <v>5696</v>
      </c>
      <c r="J631" t="s">
        <v>5696</v>
      </c>
      <c r="K631" t="s">
        <v>5927</v>
      </c>
      <c r="M631" t="s">
        <v>6732</v>
      </c>
      <c r="O631" t="s">
        <v>6755</v>
      </c>
      <c r="R631" t="s">
        <v>6793</v>
      </c>
      <c r="U631">
        <v>176</v>
      </c>
      <c r="V631" t="s">
        <v>6835</v>
      </c>
      <c r="Y631" t="s">
        <v>7475</v>
      </c>
      <c r="AA631" t="s">
        <v>9555</v>
      </c>
      <c r="AB631">
        <v>4</v>
      </c>
      <c r="AE631">
        <v>1</v>
      </c>
      <c r="AF631">
        <v>1</v>
      </c>
      <c r="AG631">
        <v>0</v>
      </c>
      <c r="AH631">
        <v>33.63</v>
      </c>
      <c r="AK631" t="s">
        <v>10966</v>
      </c>
      <c r="AL631">
        <v>4200</v>
      </c>
      <c r="AR631">
        <v>4</v>
      </c>
      <c r="AS631" t="s">
        <v>6827</v>
      </c>
      <c r="AT631" t="s">
        <v>11198</v>
      </c>
      <c r="AV631" t="s">
        <v>11231</v>
      </c>
      <c r="AW631" t="s">
        <v>6807</v>
      </c>
    </row>
    <row r="632" spans="1:49">
      <c r="A632" s="1">
        <f>HYPERLINK("https://lsnyc.legalserver.org/matter/dynamic-profile/view/1901396","19-1901396")</f>
        <v>0</v>
      </c>
      <c r="B632" t="s">
        <v>185</v>
      </c>
      <c r="C632" t="s">
        <v>790</v>
      </c>
      <c r="D632" t="s">
        <v>2119</v>
      </c>
      <c r="E632" t="s">
        <v>3533</v>
      </c>
      <c r="F632" t="s">
        <v>5224</v>
      </c>
      <c r="G632" t="s">
        <v>5635</v>
      </c>
      <c r="H632">
        <v>10460</v>
      </c>
      <c r="I632" t="s">
        <v>5695</v>
      </c>
      <c r="J632" t="s">
        <v>5696</v>
      </c>
      <c r="M632" t="s">
        <v>6732</v>
      </c>
      <c r="O632" t="s">
        <v>6747</v>
      </c>
      <c r="R632" t="s">
        <v>6793</v>
      </c>
      <c r="U632">
        <v>0</v>
      </c>
      <c r="V632" t="s">
        <v>6833</v>
      </c>
      <c r="W632" t="s">
        <v>6839</v>
      </c>
      <c r="Y632" t="s">
        <v>7476</v>
      </c>
      <c r="AA632" t="s">
        <v>9556</v>
      </c>
      <c r="AB632">
        <v>0</v>
      </c>
      <c r="AE632">
        <v>0</v>
      </c>
      <c r="AF632">
        <v>1</v>
      </c>
      <c r="AG632">
        <v>0</v>
      </c>
      <c r="AH632">
        <v>125.57</v>
      </c>
      <c r="AK632" t="s">
        <v>10966</v>
      </c>
      <c r="AL632">
        <v>15684</v>
      </c>
      <c r="AM632" t="s">
        <v>11026</v>
      </c>
      <c r="AR632">
        <v>0.6</v>
      </c>
      <c r="AS632" t="s">
        <v>11140</v>
      </c>
      <c r="AT632" t="s">
        <v>11179</v>
      </c>
      <c r="AU632" t="s">
        <v>11228</v>
      </c>
      <c r="AV632" t="s">
        <v>11231</v>
      </c>
      <c r="AW632" t="s">
        <v>11148</v>
      </c>
    </row>
    <row r="633" spans="1:49">
      <c r="A633" s="1">
        <f>HYPERLINK("https://lsnyc.legalserver.org/matter/dynamic-profile/view/1905899","19-1905899")</f>
        <v>0</v>
      </c>
      <c r="B633" t="s">
        <v>64</v>
      </c>
      <c r="C633" t="s">
        <v>791</v>
      </c>
      <c r="D633" t="s">
        <v>1965</v>
      </c>
      <c r="E633" t="s">
        <v>3681</v>
      </c>
      <c r="F633" t="s">
        <v>5330</v>
      </c>
      <c r="G633" t="s">
        <v>5635</v>
      </c>
      <c r="H633">
        <v>10451</v>
      </c>
      <c r="I633" t="s">
        <v>5695</v>
      </c>
      <c r="J633" t="s">
        <v>5696</v>
      </c>
      <c r="M633" t="s">
        <v>6732</v>
      </c>
      <c r="O633" t="s">
        <v>6745</v>
      </c>
      <c r="P633" t="s">
        <v>5697</v>
      </c>
      <c r="R633" t="s">
        <v>6793</v>
      </c>
      <c r="U633">
        <v>234</v>
      </c>
      <c r="V633" t="s">
        <v>6833</v>
      </c>
      <c r="W633" t="s">
        <v>6838</v>
      </c>
      <c r="Y633" t="s">
        <v>7477</v>
      </c>
      <c r="AA633" t="s">
        <v>9557</v>
      </c>
      <c r="AB633">
        <v>477</v>
      </c>
      <c r="AC633" t="s">
        <v>10929</v>
      </c>
      <c r="AD633" t="s">
        <v>5741</v>
      </c>
      <c r="AE633">
        <v>24</v>
      </c>
      <c r="AF633">
        <v>1</v>
      </c>
      <c r="AG633">
        <v>0</v>
      </c>
      <c r="AH633">
        <v>72.42</v>
      </c>
      <c r="AK633" t="s">
        <v>10966</v>
      </c>
      <c r="AL633">
        <v>9045</v>
      </c>
      <c r="AR633">
        <v>0</v>
      </c>
      <c r="AT633" t="s">
        <v>11176</v>
      </c>
      <c r="AU633" t="s">
        <v>11228</v>
      </c>
      <c r="AV633" t="s">
        <v>11231</v>
      </c>
      <c r="AW633" t="s">
        <v>6824</v>
      </c>
    </row>
    <row r="634" spans="1:49">
      <c r="A634" s="1">
        <f>HYPERLINK("https://lsnyc.legalserver.org/matter/dynamic-profile/view/1904839","19-1904839")</f>
        <v>0</v>
      </c>
      <c r="B634" t="s">
        <v>68</v>
      </c>
      <c r="C634" t="s">
        <v>792</v>
      </c>
      <c r="D634" t="s">
        <v>2120</v>
      </c>
      <c r="E634" t="s">
        <v>3682</v>
      </c>
      <c r="F634" t="s">
        <v>5331</v>
      </c>
      <c r="G634" t="s">
        <v>5637</v>
      </c>
      <c r="H634">
        <v>11236</v>
      </c>
      <c r="I634" t="s">
        <v>5695</v>
      </c>
      <c r="J634" t="s">
        <v>5696</v>
      </c>
      <c r="M634" t="s">
        <v>6732</v>
      </c>
      <c r="O634" t="s">
        <v>6754</v>
      </c>
      <c r="R634" t="s">
        <v>6795</v>
      </c>
      <c r="T634" t="s">
        <v>6816</v>
      </c>
      <c r="U634">
        <v>1112</v>
      </c>
      <c r="V634" t="s">
        <v>6835</v>
      </c>
      <c r="W634" t="s">
        <v>6842</v>
      </c>
      <c r="Y634" t="s">
        <v>7478</v>
      </c>
      <c r="AA634" t="s">
        <v>9558</v>
      </c>
      <c r="AB634">
        <v>2</v>
      </c>
      <c r="AC634" t="s">
        <v>10929</v>
      </c>
      <c r="AD634" t="s">
        <v>10944</v>
      </c>
      <c r="AE634">
        <v>8</v>
      </c>
      <c r="AF634">
        <v>2</v>
      </c>
      <c r="AG634">
        <v>0</v>
      </c>
      <c r="AH634">
        <v>288.83</v>
      </c>
      <c r="AK634" t="s">
        <v>10966</v>
      </c>
      <c r="AL634">
        <v>48841.2</v>
      </c>
      <c r="AR634">
        <v>3.25</v>
      </c>
      <c r="AS634" t="s">
        <v>6821</v>
      </c>
      <c r="AT634" t="s">
        <v>11198</v>
      </c>
      <c r="AU634" t="s">
        <v>11228</v>
      </c>
      <c r="AV634" t="s">
        <v>11231</v>
      </c>
      <c r="AW634" t="s">
        <v>6816</v>
      </c>
    </row>
    <row r="635" spans="1:49">
      <c r="A635" s="1">
        <f>HYPERLINK("https://lsnyc.legalserver.org/matter/dynamic-profile/view/1902520","19-1902520")</f>
        <v>0</v>
      </c>
      <c r="B635" t="s">
        <v>224</v>
      </c>
      <c r="C635" t="s">
        <v>461</v>
      </c>
      <c r="D635" t="s">
        <v>2121</v>
      </c>
      <c r="E635" t="s">
        <v>3683</v>
      </c>
      <c r="G635" t="s">
        <v>5637</v>
      </c>
      <c r="H635">
        <v>11209</v>
      </c>
      <c r="I635" t="s">
        <v>5695</v>
      </c>
      <c r="J635" t="s">
        <v>5696</v>
      </c>
      <c r="M635" t="s">
        <v>6732</v>
      </c>
      <c r="O635" t="s">
        <v>6748</v>
      </c>
      <c r="R635" t="s">
        <v>6793</v>
      </c>
      <c r="U635">
        <v>1800</v>
      </c>
      <c r="V635" t="s">
        <v>6835</v>
      </c>
      <c r="Y635" t="s">
        <v>7479</v>
      </c>
      <c r="AA635" t="s">
        <v>9559</v>
      </c>
      <c r="AB635">
        <v>0</v>
      </c>
      <c r="AE635">
        <v>0</v>
      </c>
      <c r="AF635">
        <v>2</v>
      </c>
      <c r="AG635">
        <v>0</v>
      </c>
      <c r="AH635">
        <v>136.01</v>
      </c>
      <c r="AK635" t="s">
        <v>10966</v>
      </c>
      <c r="AL635">
        <v>23000</v>
      </c>
      <c r="AR635">
        <v>0</v>
      </c>
      <c r="AT635" t="s">
        <v>11198</v>
      </c>
      <c r="AU635" t="s">
        <v>11228</v>
      </c>
      <c r="AV635" t="s">
        <v>11231</v>
      </c>
      <c r="AW635" t="s">
        <v>11116</v>
      </c>
    </row>
    <row r="636" spans="1:49">
      <c r="A636" s="1">
        <f>HYPERLINK("https://lsnyc.legalserver.org/matter/dynamic-profile/view/1896080","19-1896080")</f>
        <v>0</v>
      </c>
      <c r="B636" t="s">
        <v>197</v>
      </c>
      <c r="C636" t="s">
        <v>505</v>
      </c>
      <c r="D636" t="s">
        <v>1873</v>
      </c>
      <c r="E636" t="s">
        <v>3684</v>
      </c>
      <c r="F636" t="s">
        <v>5332</v>
      </c>
      <c r="G636" t="s">
        <v>5638</v>
      </c>
      <c r="H636">
        <v>10026</v>
      </c>
      <c r="I636" t="s">
        <v>5696</v>
      </c>
      <c r="J636" t="s">
        <v>5696</v>
      </c>
      <c r="M636" t="s">
        <v>6732</v>
      </c>
      <c r="O636" t="s">
        <v>6748</v>
      </c>
      <c r="R636" t="s">
        <v>6793</v>
      </c>
      <c r="U636">
        <v>1279</v>
      </c>
      <c r="V636" t="s">
        <v>6836</v>
      </c>
      <c r="W636" t="s">
        <v>6841</v>
      </c>
      <c r="Y636" t="s">
        <v>7480</v>
      </c>
      <c r="AA636" t="s">
        <v>9560</v>
      </c>
      <c r="AB636">
        <v>120</v>
      </c>
      <c r="AC636" t="s">
        <v>8953</v>
      </c>
      <c r="AE636">
        <v>4</v>
      </c>
      <c r="AF636">
        <v>1</v>
      </c>
      <c r="AG636">
        <v>0</v>
      </c>
      <c r="AH636">
        <v>137.87</v>
      </c>
      <c r="AK636" t="s">
        <v>10966</v>
      </c>
      <c r="AL636">
        <v>17220</v>
      </c>
      <c r="AR636">
        <v>0.4</v>
      </c>
      <c r="AS636" t="s">
        <v>10962</v>
      </c>
      <c r="AT636" t="s">
        <v>11183</v>
      </c>
      <c r="AV636" t="s">
        <v>11231</v>
      </c>
      <c r="AW636" t="s">
        <v>10962</v>
      </c>
    </row>
    <row r="637" spans="1:49">
      <c r="A637" s="1">
        <f>HYPERLINK("https://lsnyc.legalserver.org/matter/dynamic-profile/view/1901314","19-1901314")</f>
        <v>0</v>
      </c>
      <c r="B637" t="s">
        <v>198</v>
      </c>
      <c r="C637" t="s">
        <v>793</v>
      </c>
      <c r="D637" t="s">
        <v>2122</v>
      </c>
      <c r="E637" t="s">
        <v>3685</v>
      </c>
      <c r="F637" t="s">
        <v>5333</v>
      </c>
      <c r="G637" t="s">
        <v>5635</v>
      </c>
      <c r="H637">
        <v>10458</v>
      </c>
      <c r="I637" t="s">
        <v>5695</v>
      </c>
      <c r="J637" t="s">
        <v>5696</v>
      </c>
      <c r="M637" t="s">
        <v>6732</v>
      </c>
      <c r="O637" t="s">
        <v>6747</v>
      </c>
      <c r="R637" t="s">
        <v>6793</v>
      </c>
      <c r="U637">
        <v>0</v>
      </c>
      <c r="V637" t="s">
        <v>6833</v>
      </c>
      <c r="Y637" t="s">
        <v>7481</v>
      </c>
      <c r="AA637" t="s">
        <v>9561</v>
      </c>
      <c r="AB637">
        <v>0</v>
      </c>
      <c r="AE637">
        <v>0</v>
      </c>
      <c r="AF637">
        <v>5</v>
      </c>
      <c r="AG637">
        <v>1</v>
      </c>
      <c r="AH637">
        <v>0.41</v>
      </c>
      <c r="AK637" t="s">
        <v>10966</v>
      </c>
      <c r="AL637">
        <v>141</v>
      </c>
      <c r="AM637" t="s">
        <v>11046</v>
      </c>
      <c r="AR637">
        <v>0.5</v>
      </c>
      <c r="AS637" t="s">
        <v>11148</v>
      </c>
      <c r="AT637" t="s">
        <v>11179</v>
      </c>
      <c r="AU637" t="s">
        <v>11228</v>
      </c>
      <c r="AV637" t="s">
        <v>11231</v>
      </c>
      <c r="AW637" t="s">
        <v>11148</v>
      </c>
    </row>
    <row r="638" spans="1:49">
      <c r="A638" s="1">
        <f>HYPERLINK("https://lsnyc.legalserver.org/matter/dynamic-profile/view/1905850","19-1905850")</f>
        <v>0</v>
      </c>
      <c r="B638" t="s">
        <v>207</v>
      </c>
      <c r="C638" t="s">
        <v>724</v>
      </c>
      <c r="D638" t="s">
        <v>2048</v>
      </c>
      <c r="E638" t="s">
        <v>3686</v>
      </c>
      <c r="F638" t="s">
        <v>5139</v>
      </c>
      <c r="G638" t="s">
        <v>5635</v>
      </c>
      <c r="H638">
        <v>10452</v>
      </c>
      <c r="I638" t="s">
        <v>5695</v>
      </c>
      <c r="J638" t="s">
        <v>5696</v>
      </c>
      <c r="M638" t="s">
        <v>6732</v>
      </c>
      <c r="O638" t="s">
        <v>6745</v>
      </c>
      <c r="P638" t="s">
        <v>5697</v>
      </c>
      <c r="R638" t="s">
        <v>6793</v>
      </c>
      <c r="U638">
        <v>702.21</v>
      </c>
      <c r="V638" t="s">
        <v>6833</v>
      </c>
      <c r="W638" t="s">
        <v>6838</v>
      </c>
      <c r="Y638" t="s">
        <v>7482</v>
      </c>
      <c r="AA638" t="s">
        <v>9484</v>
      </c>
      <c r="AB638">
        <v>85</v>
      </c>
      <c r="AC638" t="s">
        <v>10933</v>
      </c>
      <c r="AD638" t="s">
        <v>5741</v>
      </c>
      <c r="AE638">
        <v>36</v>
      </c>
      <c r="AF638">
        <v>1</v>
      </c>
      <c r="AG638">
        <v>2</v>
      </c>
      <c r="AH638">
        <v>46.24</v>
      </c>
      <c r="AK638" t="s">
        <v>10967</v>
      </c>
      <c r="AL638">
        <v>9864</v>
      </c>
      <c r="AR638">
        <v>0.1</v>
      </c>
      <c r="AS638" t="s">
        <v>6827</v>
      </c>
      <c r="AT638" t="s">
        <v>219</v>
      </c>
      <c r="AU638" t="s">
        <v>11228</v>
      </c>
      <c r="AV638" t="s">
        <v>11231</v>
      </c>
      <c r="AW638" t="s">
        <v>6808</v>
      </c>
    </row>
    <row r="639" spans="1:49">
      <c r="A639" s="1">
        <f>HYPERLINK("https://lsnyc.legalserver.org/matter/dynamic-profile/view/1905926","19-1905926")</f>
        <v>0</v>
      </c>
      <c r="B639" t="s">
        <v>214</v>
      </c>
      <c r="C639" t="s">
        <v>662</v>
      </c>
      <c r="D639" t="s">
        <v>1739</v>
      </c>
      <c r="E639" t="s">
        <v>3687</v>
      </c>
      <c r="G639" t="s">
        <v>5637</v>
      </c>
      <c r="H639">
        <v>11217</v>
      </c>
      <c r="I639" t="s">
        <v>5695</v>
      </c>
      <c r="J639" t="s">
        <v>5696</v>
      </c>
      <c r="M639" t="s">
        <v>6732</v>
      </c>
      <c r="O639" t="s">
        <v>6756</v>
      </c>
      <c r="R639" t="s">
        <v>6793</v>
      </c>
      <c r="T639" t="s">
        <v>6819</v>
      </c>
      <c r="U639">
        <v>0</v>
      </c>
      <c r="V639" t="s">
        <v>6835</v>
      </c>
      <c r="Y639" t="s">
        <v>7483</v>
      </c>
      <c r="AA639" t="s">
        <v>9562</v>
      </c>
      <c r="AB639">
        <v>0</v>
      </c>
      <c r="AE639">
        <v>0</v>
      </c>
      <c r="AF639">
        <v>2</v>
      </c>
      <c r="AG639">
        <v>0</v>
      </c>
      <c r="AH639">
        <v>61.5</v>
      </c>
      <c r="AK639" t="s">
        <v>10966</v>
      </c>
      <c r="AL639">
        <v>10400</v>
      </c>
      <c r="AR639">
        <v>0.5</v>
      </c>
      <c r="AS639" t="s">
        <v>6819</v>
      </c>
      <c r="AT639" t="s">
        <v>214</v>
      </c>
      <c r="AU639" t="s">
        <v>11228</v>
      </c>
      <c r="AV639" t="s">
        <v>11231</v>
      </c>
      <c r="AW639" t="s">
        <v>6824</v>
      </c>
    </row>
    <row r="640" spans="1:49">
      <c r="A640" s="1">
        <f>HYPERLINK("https://lsnyc.legalserver.org/matter/dynamic-profile/view/1895864","19-1895864")</f>
        <v>0</v>
      </c>
      <c r="B640" t="s">
        <v>198</v>
      </c>
      <c r="C640" t="s">
        <v>491</v>
      </c>
      <c r="D640" t="s">
        <v>1757</v>
      </c>
      <c r="E640" t="s">
        <v>3688</v>
      </c>
      <c r="F640" t="s">
        <v>5220</v>
      </c>
      <c r="G640" t="s">
        <v>5635</v>
      </c>
      <c r="H640">
        <v>10456</v>
      </c>
      <c r="I640" t="s">
        <v>5695</v>
      </c>
      <c r="J640" t="s">
        <v>5695</v>
      </c>
      <c r="M640" t="s">
        <v>6732</v>
      </c>
      <c r="O640" t="s">
        <v>6747</v>
      </c>
      <c r="R640" t="s">
        <v>6793</v>
      </c>
      <c r="U640">
        <v>160</v>
      </c>
      <c r="V640" t="s">
        <v>6833</v>
      </c>
      <c r="Y640" t="s">
        <v>7484</v>
      </c>
      <c r="AA640" t="s">
        <v>9563</v>
      </c>
      <c r="AB640">
        <v>0</v>
      </c>
      <c r="AC640" t="s">
        <v>10939</v>
      </c>
      <c r="AD640" t="s">
        <v>5741</v>
      </c>
      <c r="AE640">
        <v>-1</v>
      </c>
      <c r="AF640">
        <v>1</v>
      </c>
      <c r="AG640">
        <v>0</v>
      </c>
      <c r="AH640">
        <v>0</v>
      </c>
      <c r="AK640" t="s">
        <v>10966</v>
      </c>
      <c r="AL640">
        <v>0</v>
      </c>
      <c r="AM640" t="s">
        <v>11047</v>
      </c>
      <c r="AR640">
        <v>0.5</v>
      </c>
      <c r="AS640" t="s">
        <v>11153</v>
      </c>
      <c r="AT640" t="s">
        <v>11179</v>
      </c>
      <c r="AU640" t="s">
        <v>11228</v>
      </c>
      <c r="AV640" t="s">
        <v>11231</v>
      </c>
      <c r="AW640" t="s">
        <v>11153</v>
      </c>
    </row>
    <row r="641" spans="1:49">
      <c r="A641" s="1">
        <f>HYPERLINK("https://lsnyc.legalserver.org/matter/dynamic-profile/view/1898483","19-1898483")</f>
        <v>0</v>
      </c>
      <c r="B641" t="s">
        <v>61</v>
      </c>
      <c r="C641" t="s">
        <v>794</v>
      </c>
      <c r="D641" t="s">
        <v>2123</v>
      </c>
      <c r="E641" t="s">
        <v>3689</v>
      </c>
      <c r="G641" t="s">
        <v>5671</v>
      </c>
      <c r="H641">
        <v>11694</v>
      </c>
      <c r="I641" t="s">
        <v>5696</v>
      </c>
      <c r="J641" t="s">
        <v>5696</v>
      </c>
      <c r="K641" t="s">
        <v>5928</v>
      </c>
      <c r="M641" t="s">
        <v>6732</v>
      </c>
      <c r="O641" t="s">
        <v>6748</v>
      </c>
      <c r="R641" t="s">
        <v>6795</v>
      </c>
      <c r="U641">
        <v>0</v>
      </c>
      <c r="V641" t="s">
        <v>6837</v>
      </c>
      <c r="Y641" t="s">
        <v>7485</v>
      </c>
      <c r="AA641" t="s">
        <v>9564</v>
      </c>
      <c r="AB641">
        <v>0</v>
      </c>
      <c r="AE641">
        <v>50</v>
      </c>
      <c r="AF641">
        <v>2</v>
      </c>
      <c r="AG641">
        <v>0</v>
      </c>
      <c r="AH641">
        <v>92.61</v>
      </c>
      <c r="AK641" t="s">
        <v>10966</v>
      </c>
      <c r="AL641">
        <v>15660</v>
      </c>
      <c r="AR641">
        <v>2.85</v>
      </c>
      <c r="AS641" t="s">
        <v>11169</v>
      </c>
      <c r="AT641" t="s">
        <v>11185</v>
      </c>
      <c r="AV641" t="s">
        <v>11231</v>
      </c>
      <c r="AW641" t="s">
        <v>11141</v>
      </c>
    </row>
    <row r="642" spans="1:49">
      <c r="A642" s="1">
        <f>HYPERLINK("https://lsnyc.legalserver.org/matter/dynamic-profile/view/1901907","19-1901907")</f>
        <v>0</v>
      </c>
      <c r="B642" t="s">
        <v>198</v>
      </c>
      <c r="C642" t="s">
        <v>795</v>
      </c>
      <c r="D642" t="s">
        <v>1757</v>
      </c>
      <c r="E642" t="s">
        <v>3690</v>
      </c>
      <c r="F642" t="s">
        <v>5187</v>
      </c>
      <c r="G642" t="s">
        <v>5635</v>
      </c>
      <c r="H642">
        <v>10454</v>
      </c>
      <c r="I642" t="s">
        <v>5695</v>
      </c>
      <c r="J642" t="s">
        <v>5696</v>
      </c>
      <c r="M642" t="s">
        <v>6732</v>
      </c>
      <c r="O642" t="s">
        <v>6747</v>
      </c>
      <c r="R642" t="s">
        <v>6793</v>
      </c>
      <c r="U642">
        <v>0</v>
      </c>
      <c r="V642" t="s">
        <v>6833</v>
      </c>
      <c r="Y642" t="s">
        <v>7486</v>
      </c>
      <c r="AA642" t="s">
        <v>9565</v>
      </c>
      <c r="AB642">
        <v>0</v>
      </c>
      <c r="AE642">
        <v>0</v>
      </c>
      <c r="AF642">
        <v>3</v>
      </c>
      <c r="AG642">
        <v>0</v>
      </c>
      <c r="AH642">
        <v>84.67</v>
      </c>
      <c r="AK642" t="s">
        <v>10966</v>
      </c>
      <c r="AL642">
        <v>18060</v>
      </c>
      <c r="AM642" t="s">
        <v>11008</v>
      </c>
      <c r="AR642">
        <v>0</v>
      </c>
      <c r="AT642" t="s">
        <v>288</v>
      </c>
      <c r="AU642" t="s">
        <v>11228</v>
      </c>
      <c r="AV642" t="s">
        <v>11231</v>
      </c>
      <c r="AW642" t="s">
        <v>11150</v>
      </c>
    </row>
    <row r="643" spans="1:49">
      <c r="A643" s="1">
        <f>HYPERLINK("https://lsnyc.legalserver.org/matter/dynamic-profile/view/1906052","19-1906052")</f>
        <v>0</v>
      </c>
      <c r="B643" t="s">
        <v>225</v>
      </c>
      <c r="C643" t="s">
        <v>796</v>
      </c>
      <c r="D643" t="s">
        <v>2124</v>
      </c>
      <c r="E643" t="s">
        <v>3691</v>
      </c>
      <c r="G643" t="s">
        <v>5644</v>
      </c>
      <c r="H643">
        <v>11436</v>
      </c>
      <c r="I643" t="s">
        <v>5696</v>
      </c>
      <c r="J643" t="s">
        <v>5696</v>
      </c>
      <c r="M643" t="s">
        <v>6732</v>
      </c>
      <c r="O643" t="s">
        <v>6778</v>
      </c>
      <c r="R643" t="s">
        <v>6798</v>
      </c>
      <c r="U643">
        <v>0</v>
      </c>
      <c r="V643" t="s">
        <v>6837</v>
      </c>
      <c r="Y643" t="s">
        <v>7487</v>
      </c>
      <c r="AA643" t="s">
        <v>9566</v>
      </c>
      <c r="AB643">
        <v>0</v>
      </c>
      <c r="AE643">
        <v>0</v>
      </c>
      <c r="AF643">
        <v>2</v>
      </c>
      <c r="AG643">
        <v>0</v>
      </c>
      <c r="AH643">
        <v>51.24</v>
      </c>
      <c r="AK643" t="s">
        <v>10966</v>
      </c>
      <c r="AL643">
        <v>8664</v>
      </c>
      <c r="AR643">
        <v>2.05</v>
      </c>
      <c r="AS643" t="s">
        <v>6820</v>
      </c>
      <c r="AT643" t="s">
        <v>11188</v>
      </c>
      <c r="AV643" t="s">
        <v>11231</v>
      </c>
      <c r="AW643" t="s">
        <v>6820</v>
      </c>
    </row>
    <row r="644" spans="1:49">
      <c r="A644" s="1">
        <f>HYPERLINK("https://lsnyc.legalserver.org/matter/dynamic-profile/view/1896777","19-1896777")</f>
        <v>0</v>
      </c>
      <c r="B644" t="s">
        <v>135</v>
      </c>
      <c r="C644" t="s">
        <v>797</v>
      </c>
      <c r="D644" t="s">
        <v>2125</v>
      </c>
      <c r="E644" t="s">
        <v>3692</v>
      </c>
      <c r="G644" t="s">
        <v>5637</v>
      </c>
      <c r="H644">
        <v>11233</v>
      </c>
      <c r="I644" t="s">
        <v>5696</v>
      </c>
      <c r="J644" t="s">
        <v>5696</v>
      </c>
      <c r="M644" t="s">
        <v>6732</v>
      </c>
      <c r="O644" t="s">
        <v>6780</v>
      </c>
      <c r="R644" t="s">
        <v>6799</v>
      </c>
      <c r="U644">
        <v>0</v>
      </c>
      <c r="V644" t="s">
        <v>6835</v>
      </c>
      <c r="Y644" t="s">
        <v>7488</v>
      </c>
      <c r="AA644" t="s">
        <v>9567</v>
      </c>
      <c r="AB644">
        <v>0</v>
      </c>
      <c r="AE644">
        <v>0</v>
      </c>
      <c r="AF644">
        <v>2</v>
      </c>
      <c r="AG644">
        <v>3</v>
      </c>
      <c r="AH644">
        <v>192.24</v>
      </c>
      <c r="AK644" t="s">
        <v>10966</v>
      </c>
      <c r="AL644">
        <v>58000</v>
      </c>
      <c r="AR644">
        <v>15.25</v>
      </c>
      <c r="AS644" t="s">
        <v>6812</v>
      </c>
      <c r="AT644" t="s">
        <v>144</v>
      </c>
      <c r="AV644" t="s">
        <v>11231</v>
      </c>
      <c r="AW644" t="s">
        <v>11151</v>
      </c>
    </row>
    <row r="645" spans="1:49">
      <c r="A645" s="1">
        <f>HYPERLINK("https://lsnyc.legalserver.org/matter/dynamic-profile/view/1901355","19-1901355")</f>
        <v>0</v>
      </c>
      <c r="B645" t="s">
        <v>117</v>
      </c>
      <c r="C645" t="s">
        <v>501</v>
      </c>
      <c r="D645" t="s">
        <v>2126</v>
      </c>
      <c r="E645" t="s">
        <v>3693</v>
      </c>
      <c r="F645" t="s">
        <v>5158</v>
      </c>
      <c r="G645" t="s">
        <v>5637</v>
      </c>
      <c r="H645">
        <v>11210</v>
      </c>
      <c r="I645" t="s">
        <v>5696</v>
      </c>
      <c r="J645" t="s">
        <v>5696</v>
      </c>
      <c r="M645" t="s">
        <v>6732</v>
      </c>
      <c r="O645" t="s">
        <v>6754</v>
      </c>
      <c r="R645" t="s">
        <v>6795</v>
      </c>
      <c r="S645" t="s">
        <v>6801</v>
      </c>
      <c r="U645">
        <v>0</v>
      </c>
      <c r="V645" t="s">
        <v>6835</v>
      </c>
      <c r="Y645" t="s">
        <v>7489</v>
      </c>
      <c r="AA645" t="s">
        <v>9568</v>
      </c>
      <c r="AB645">
        <v>0</v>
      </c>
      <c r="AE645">
        <v>0</v>
      </c>
      <c r="AF645">
        <v>1</v>
      </c>
      <c r="AG645">
        <v>0</v>
      </c>
      <c r="AH645">
        <v>100.88</v>
      </c>
      <c r="AK645" t="s">
        <v>10966</v>
      </c>
      <c r="AL645">
        <v>12600</v>
      </c>
      <c r="AR645">
        <v>1.5</v>
      </c>
      <c r="AS645" t="s">
        <v>11140</v>
      </c>
      <c r="AT645" t="s">
        <v>117</v>
      </c>
      <c r="AV645" t="s">
        <v>11231</v>
      </c>
      <c r="AW645" t="s">
        <v>11148</v>
      </c>
    </row>
    <row r="646" spans="1:49">
      <c r="A646" s="1">
        <f>HYPERLINK("https://lsnyc.legalserver.org/matter/dynamic-profile/view/1896141","19-1896141")</f>
        <v>0</v>
      </c>
      <c r="B646" t="s">
        <v>116</v>
      </c>
      <c r="C646" t="s">
        <v>798</v>
      </c>
      <c r="D646" t="s">
        <v>1893</v>
      </c>
      <c r="E646" t="s">
        <v>3694</v>
      </c>
      <c r="G646" t="s">
        <v>5644</v>
      </c>
      <c r="H646">
        <v>11434</v>
      </c>
      <c r="I646" t="s">
        <v>5696</v>
      </c>
      <c r="J646" t="s">
        <v>5696</v>
      </c>
      <c r="M646" t="s">
        <v>6732</v>
      </c>
      <c r="O646" t="s">
        <v>6767</v>
      </c>
      <c r="R646" t="s">
        <v>6798</v>
      </c>
      <c r="U646">
        <v>0</v>
      </c>
      <c r="V646" t="s">
        <v>6837</v>
      </c>
      <c r="Y646" t="s">
        <v>7490</v>
      </c>
      <c r="AA646" t="s">
        <v>9569</v>
      </c>
      <c r="AB646">
        <v>0</v>
      </c>
      <c r="AE646">
        <v>0</v>
      </c>
      <c r="AF646">
        <v>4</v>
      </c>
      <c r="AG646">
        <v>1</v>
      </c>
      <c r="AH646">
        <v>163.08</v>
      </c>
      <c r="AK646" t="s">
        <v>10966</v>
      </c>
      <c r="AL646">
        <v>49200</v>
      </c>
      <c r="AR646">
        <v>2.35</v>
      </c>
      <c r="AS646" t="s">
        <v>11122</v>
      </c>
      <c r="AT646" t="s">
        <v>11184</v>
      </c>
      <c r="AV646" t="s">
        <v>11231</v>
      </c>
      <c r="AW646" t="s">
        <v>11167</v>
      </c>
    </row>
    <row r="647" spans="1:49">
      <c r="A647" s="1">
        <f>HYPERLINK("https://lsnyc.legalserver.org/matter/dynamic-profile/view/1904769","19-1904769")</f>
        <v>0</v>
      </c>
      <c r="B647" t="s">
        <v>139</v>
      </c>
      <c r="C647" t="s">
        <v>799</v>
      </c>
      <c r="D647" t="s">
        <v>2127</v>
      </c>
      <c r="E647" t="s">
        <v>3695</v>
      </c>
      <c r="F647" t="s">
        <v>5124</v>
      </c>
      <c r="G647" t="s">
        <v>5635</v>
      </c>
      <c r="H647">
        <v>10453</v>
      </c>
      <c r="I647" t="s">
        <v>5695</v>
      </c>
      <c r="J647" t="s">
        <v>5696</v>
      </c>
      <c r="K647" t="s">
        <v>5929</v>
      </c>
      <c r="M647" t="s">
        <v>6732</v>
      </c>
      <c r="O647" t="s">
        <v>6747</v>
      </c>
      <c r="R647" t="s">
        <v>6793</v>
      </c>
      <c r="U647">
        <v>879.3</v>
      </c>
      <c r="V647" t="s">
        <v>6833</v>
      </c>
      <c r="Y647" t="s">
        <v>7491</v>
      </c>
      <c r="AA647" t="s">
        <v>9570</v>
      </c>
      <c r="AB647">
        <v>0</v>
      </c>
      <c r="AE647">
        <v>27</v>
      </c>
      <c r="AF647">
        <v>1</v>
      </c>
      <c r="AG647">
        <v>0</v>
      </c>
      <c r="AH647">
        <v>47.94</v>
      </c>
      <c r="AK647" t="s">
        <v>10967</v>
      </c>
      <c r="AL647">
        <v>5988</v>
      </c>
      <c r="AR647">
        <v>0</v>
      </c>
      <c r="AT647" t="s">
        <v>139</v>
      </c>
      <c r="AU647" t="s">
        <v>11228</v>
      </c>
      <c r="AV647" t="s">
        <v>11231</v>
      </c>
      <c r="AW647" t="s">
        <v>6816</v>
      </c>
    </row>
    <row r="648" spans="1:49">
      <c r="A648" s="1">
        <f>HYPERLINK("https://lsnyc.legalserver.org/matter/dynamic-profile/view/1904341","19-1904341")</f>
        <v>0</v>
      </c>
      <c r="B648" t="s">
        <v>208</v>
      </c>
      <c r="C648" t="s">
        <v>800</v>
      </c>
      <c r="D648" t="s">
        <v>2128</v>
      </c>
      <c r="E648" t="s">
        <v>3696</v>
      </c>
      <c r="F648" t="s">
        <v>5212</v>
      </c>
      <c r="G648" t="s">
        <v>5637</v>
      </c>
      <c r="H648">
        <v>11203</v>
      </c>
      <c r="I648" t="s">
        <v>5696</v>
      </c>
      <c r="J648" t="s">
        <v>5696</v>
      </c>
      <c r="M648" t="s">
        <v>6732</v>
      </c>
      <c r="O648" t="s">
        <v>6748</v>
      </c>
      <c r="P648" t="s">
        <v>5695</v>
      </c>
      <c r="R648" t="s">
        <v>6793</v>
      </c>
      <c r="U648">
        <v>1049</v>
      </c>
      <c r="V648" t="s">
        <v>6835</v>
      </c>
      <c r="Y648" t="s">
        <v>7492</v>
      </c>
      <c r="AA648" t="s">
        <v>9571</v>
      </c>
      <c r="AB648">
        <v>100</v>
      </c>
      <c r="AC648" t="s">
        <v>10929</v>
      </c>
      <c r="AE648">
        <v>15</v>
      </c>
      <c r="AF648">
        <v>4</v>
      </c>
      <c r="AG648">
        <v>0</v>
      </c>
      <c r="AH648">
        <v>81.69</v>
      </c>
      <c r="AK648" t="s">
        <v>10966</v>
      </c>
      <c r="AL648">
        <v>21036</v>
      </c>
      <c r="AR648">
        <v>1.9</v>
      </c>
      <c r="AS648" t="s">
        <v>6823</v>
      </c>
      <c r="AT648" t="s">
        <v>11185</v>
      </c>
      <c r="AV648" t="s">
        <v>11231</v>
      </c>
      <c r="AW648" t="s">
        <v>6813</v>
      </c>
    </row>
    <row r="649" spans="1:49">
      <c r="A649" s="1">
        <f>HYPERLINK("https://lsnyc.legalserver.org/matter/dynamic-profile/view/1895712","19-1895712")</f>
        <v>0</v>
      </c>
      <c r="B649" t="s">
        <v>122</v>
      </c>
      <c r="C649" t="s">
        <v>801</v>
      </c>
      <c r="D649" t="s">
        <v>2129</v>
      </c>
      <c r="E649" t="s">
        <v>3697</v>
      </c>
      <c r="F649" t="s">
        <v>5130</v>
      </c>
      <c r="G649" t="s">
        <v>5637</v>
      </c>
      <c r="H649">
        <v>11207</v>
      </c>
      <c r="I649" t="s">
        <v>5696</v>
      </c>
      <c r="J649" t="s">
        <v>5696</v>
      </c>
      <c r="M649" t="s">
        <v>6732</v>
      </c>
      <c r="O649" t="s">
        <v>6756</v>
      </c>
      <c r="R649" t="s">
        <v>6793</v>
      </c>
      <c r="U649">
        <v>0</v>
      </c>
      <c r="V649" t="s">
        <v>6835</v>
      </c>
      <c r="Y649" t="s">
        <v>7493</v>
      </c>
      <c r="AA649" t="s">
        <v>9572</v>
      </c>
      <c r="AB649">
        <v>0</v>
      </c>
      <c r="AE649">
        <v>8</v>
      </c>
      <c r="AF649">
        <v>2</v>
      </c>
      <c r="AG649">
        <v>2</v>
      </c>
      <c r="AH649">
        <v>104.85</v>
      </c>
      <c r="AK649" t="s">
        <v>10967</v>
      </c>
      <c r="AL649">
        <v>27000</v>
      </c>
      <c r="AR649">
        <v>1.5</v>
      </c>
      <c r="AS649" t="s">
        <v>11119</v>
      </c>
      <c r="AT649" t="s">
        <v>122</v>
      </c>
      <c r="AV649" t="s">
        <v>11231</v>
      </c>
      <c r="AW649" t="s">
        <v>11119</v>
      </c>
    </row>
    <row r="650" spans="1:49">
      <c r="A650" s="1">
        <f>HYPERLINK("https://lsnyc.legalserver.org/matter/dynamic-profile/view/1904814","19-1904814")</f>
        <v>0</v>
      </c>
      <c r="B650" t="s">
        <v>209</v>
      </c>
      <c r="C650" t="s">
        <v>501</v>
      </c>
      <c r="D650" t="s">
        <v>2026</v>
      </c>
      <c r="E650" t="s">
        <v>3698</v>
      </c>
      <c r="F650" t="s">
        <v>5334</v>
      </c>
      <c r="G650" t="s">
        <v>5635</v>
      </c>
      <c r="H650">
        <v>10452</v>
      </c>
      <c r="I650" t="s">
        <v>5696</v>
      </c>
      <c r="J650" t="s">
        <v>5696</v>
      </c>
      <c r="M650" t="s">
        <v>6732</v>
      </c>
      <c r="O650" t="s">
        <v>6745</v>
      </c>
      <c r="R650" t="s">
        <v>6793</v>
      </c>
      <c r="U650">
        <v>1350</v>
      </c>
      <c r="V650" t="s">
        <v>6833</v>
      </c>
      <c r="Y650" t="s">
        <v>7494</v>
      </c>
      <c r="AA650" t="s">
        <v>9573</v>
      </c>
      <c r="AB650">
        <v>139</v>
      </c>
      <c r="AE650">
        <v>12</v>
      </c>
      <c r="AF650">
        <v>2</v>
      </c>
      <c r="AG650">
        <v>0</v>
      </c>
      <c r="AH650">
        <v>179.49</v>
      </c>
      <c r="AK650" t="s">
        <v>10966</v>
      </c>
      <c r="AL650">
        <v>30352</v>
      </c>
      <c r="AR650">
        <v>2</v>
      </c>
      <c r="AS650" t="s">
        <v>6824</v>
      </c>
      <c r="AT650" t="s">
        <v>11192</v>
      </c>
      <c r="AV650" t="s">
        <v>11231</v>
      </c>
      <c r="AW650" t="s">
        <v>6816</v>
      </c>
    </row>
    <row r="651" spans="1:49">
      <c r="A651" s="1">
        <f>HYPERLINK("https://lsnyc.legalserver.org/matter/dynamic-profile/view/1904795","19-1904795")</f>
        <v>0</v>
      </c>
      <c r="B651" t="s">
        <v>64</v>
      </c>
      <c r="C651" t="s">
        <v>453</v>
      </c>
      <c r="D651" t="s">
        <v>1717</v>
      </c>
      <c r="E651" t="s">
        <v>3699</v>
      </c>
      <c r="F651" t="s">
        <v>5335</v>
      </c>
      <c r="G651" t="s">
        <v>5635</v>
      </c>
      <c r="H651">
        <v>10457</v>
      </c>
      <c r="I651" t="s">
        <v>5695</v>
      </c>
      <c r="J651" t="s">
        <v>5696</v>
      </c>
      <c r="M651" t="s">
        <v>6732</v>
      </c>
      <c r="O651" t="s">
        <v>6745</v>
      </c>
      <c r="P651" t="s">
        <v>5697</v>
      </c>
      <c r="R651" t="s">
        <v>6793</v>
      </c>
      <c r="U651">
        <v>1476.04</v>
      </c>
      <c r="V651" t="s">
        <v>6833</v>
      </c>
      <c r="W651" t="s">
        <v>6838</v>
      </c>
      <c r="Y651" t="s">
        <v>7495</v>
      </c>
      <c r="AA651" t="s">
        <v>9574</v>
      </c>
      <c r="AB651">
        <v>222</v>
      </c>
      <c r="AC651" t="s">
        <v>10929</v>
      </c>
      <c r="AD651" t="s">
        <v>5741</v>
      </c>
      <c r="AE651">
        <v>8</v>
      </c>
      <c r="AF651">
        <v>4</v>
      </c>
      <c r="AG651">
        <v>1</v>
      </c>
      <c r="AH651">
        <v>120.65</v>
      </c>
      <c r="AK651" t="s">
        <v>10967</v>
      </c>
      <c r="AL651">
        <v>36400</v>
      </c>
      <c r="AR651">
        <v>1.5</v>
      </c>
      <c r="AS651" t="s">
        <v>6814</v>
      </c>
      <c r="AT651" t="s">
        <v>11176</v>
      </c>
      <c r="AU651" t="s">
        <v>11228</v>
      </c>
      <c r="AV651" t="s">
        <v>11231</v>
      </c>
      <c r="AW651" t="s">
        <v>6816</v>
      </c>
    </row>
    <row r="652" spans="1:49">
      <c r="A652" s="1">
        <f>HYPERLINK("https://lsnyc.legalserver.org/matter/dynamic-profile/view/1904972","19-1904972")</f>
        <v>0</v>
      </c>
      <c r="B652" t="s">
        <v>188</v>
      </c>
      <c r="C652" t="s">
        <v>802</v>
      </c>
      <c r="D652" t="s">
        <v>2130</v>
      </c>
      <c r="G652" t="s">
        <v>5635</v>
      </c>
      <c r="H652">
        <v>10466</v>
      </c>
      <c r="I652" t="s">
        <v>5695</v>
      </c>
      <c r="J652" t="s">
        <v>5696</v>
      </c>
      <c r="K652" t="s">
        <v>5930</v>
      </c>
      <c r="M652" t="s">
        <v>6732</v>
      </c>
      <c r="O652" t="s">
        <v>6747</v>
      </c>
      <c r="R652" t="s">
        <v>6793</v>
      </c>
      <c r="U652">
        <v>0</v>
      </c>
      <c r="V652" t="s">
        <v>6833</v>
      </c>
      <c r="AA652" t="s">
        <v>9575</v>
      </c>
      <c r="AB652">
        <v>0</v>
      </c>
      <c r="AE652">
        <v>0</v>
      </c>
      <c r="AF652">
        <v>3</v>
      </c>
      <c r="AG652">
        <v>0</v>
      </c>
      <c r="AH652">
        <v>48.1</v>
      </c>
      <c r="AK652" t="s">
        <v>10966</v>
      </c>
      <c r="AL652">
        <v>10260</v>
      </c>
      <c r="AR652">
        <v>0.5</v>
      </c>
      <c r="AS652" t="s">
        <v>6820</v>
      </c>
      <c r="AT652" t="s">
        <v>288</v>
      </c>
      <c r="AU652" t="s">
        <v>11228</v>
      </c>
      <c r="AV652" t="s">
        <v>11231</v>
      </c>
      <c r="AW652" t="s">
        <v>6812</v>
      </c>
    </row>
    <row r="653" spans="1:49">
      <c r="A653" s="1">
        <f>HYPERLINK("https://lsnyc.legalserver.org/matter/dynamic-profile/view/1906208","19-1906208")</f>
        <v>0</v>
      </c>
      <c r="B653" t="s">
        <v>226</v>
      </c>
      <c r="C653" t="s">
        <v>367</v>
      </c>
      <c r="D653" t="s">
        <v>2131</v>
      </c>
      <c r="E653" t="s">
        <v>3700</v>
      </c>
      <c r="F653" t="s">
        <v>5336</v>
      </c>
      <c r="G653" t="s">
        <v>5638</v>
      </c>
      <c r="H653">
        <v>10024</v>
      </c>
      <c r="I653" t="s">
        <v>5695</v>
      </c>
      <c r="J653" t="s">
        <v>5696</v>
      </c>
      <c r="M653" t="s">
        <v>6732</v>
      </c>
      <c r="O653" t="s">
        <v>6745</v>
      </c>
      <c r="P653" t="s">
        <v>5697</v>
      </c>
      <c r="R653" t="s">
        <v>6793</v>
      </c>
      <c r="T653" t="s">
        <v>6821</v>
      </c>
      <c r="U653">
        <v>3039.5</v>
      </c>
      <c r="V653" t="s">
        <v>6836</v>
      </c>
      <c r="W653" t="s">
        <v>6842</v>
      </c>
      <c r="Y653" t="s">
        <v>7496</v>
      </c>
      <c r="AA653" t="s">
        <v>9576</v>
      </c>
      <c r="AB653">
        <v>249</v>
      </c>
      <c r="AC653" t="s">
        <v>10929</v>
      </c>
      <c r="AD653" t="s">
        <v>5741</v>
      </c>
      <c r="AE653">
        <v>20</v>
      </c>
      <c r="AF653">
        <v>3</v>
      </c>
      <c r="AG653">
        <v>0</v>
      </c>
      <c r="AH653">
        <v>482.89</v>
      </c>
      <c r="AK653" t="s">
        <v>10966</v>
      </c>
      <c r="AL653">
        <v>103000</v>
      </c>
      <c r="AR653">
        <v>0</v>
      </c>
      <c r="AT653" t="s">
        <v>11201</v>
      </c>
      <c r="AU653" t="s">
        <v>11228</v>
      </c>
      <c r="AV653" t="s">
        <v>11231</v>
      </c>
      <c r="AW653" t="s">
        <v>6821</v>
      </c>
    </row>
    <row r="654" spans="1:49">
      <c r="A654" s="1">
        <f>HYPERLINK("https://lsnyc.legalserver.org/matter/dynamic-profile/view/1902540","19-1902540")</f>
        <v>0</v>
      </c>
      <c r="B654" t="s">
        <v>227</v>
      </c>
      <c r="C654" t="s">
        <v>482</v>
      </c>
      <c r="D654" t="s">
        <v>2132</v>
      </c>
      <c r="E654" t="s">
        <v>3701</v>
      </c>
      <c r="G654" t="s">
        <v>5672</v>
      </c>
      <c r="H654">
        <v>11411</v>
      </c>
      <c r="I654" t="s">
        <v>5696</v>
      </c>
      <c r="J654" t="s">
        <v>5696</v>
      </c>
      <c r="M654" t="s">
        <v>6732</v>
      </c>
      <c r="O654" t="s">
        <v>6767</v>
      </c>
      <c r="R654" t="s">
        <v>6799</v>
      </c>
      <c r="U654">
        <v>0</v>
      </c>
      <c r="V654" t="s">
        <v>6837</v>
      </c>
      <c r="Y654" t="s">
        <v>7497</v>
      </c>
      <c r="AA654" t="s">
        <v>9577</v>
      </c>
      <c r="AB654">
        <v>0</v>
      </c>
      <c r="AE654">
        <v>0</v>
      </c>
      <c r="AF654">
        <v>1</v>
      </c>
      <c r="AG654">
        <v>2</v>
      </c>
      <c r="AH654">
        <v>442.57</v>
      </c>
      <c r="AK654" t="s">
        <v>10966</v>
      </c>
      <c r="AL654">
        <v>94400</v>
      </c>
      <c r="AR654">
        <v>0.8</v>
      </c>
      <c r="AS654" t="s">
        <v>11131</v>
      </c>
      <c r="AT654" t="s">
        <v>11183</v>
      </c>
      <c r="AV654" t="s">
        <v>11231</v>
      </c>
      <c r="AW654" t="s">
        <v>11116</v>
      </c>
    </row>
    <row r="655" spans="1:49">
      <c r="A655" s="1">
        <f>HYPERLINK("https://lsnyc.legalserver.org/matter/dynamic-profile/view/1895990","19-1895990")</f>
        <v>0</v>
      </c>
      <c r="B655" t="s">
        <v>118</v>
      </c>
      <c r="C655" t="s">
        <v>631</v>
      </c>
      <c r="D655" t="s">
        <v>2133</v>
      </c>
      <c r="E655" t="s">
        <v>3702</v>
      </c>
      <c r="F655" t="s">
        <v>5290</v>
      </c>
      <c r="G655" t="s">
        <v>5637</v>
      </c>
      <c r="H655">
        <v>11203</v>
      </c>
      <c r="I655" t="s">
        <v>5696</v>
      </c>
      <c r="J655" t="s">
        <v>5696</v>
      </c>
      <c r="M655" t="s">
        <v>6732</v>
      </c>
      <c r="O655" t="s">
        <v>6772</v>
      </c>
      <c r="R655" t="s">
        <v>6793</v>
      </c>
      <c r="U655">
        <v>0</v>
      </c>
      <c r="V655" t="s">
        <v>6835</v>
      </c>
      <c r="W655" t="s">
        <v>6843</v>
      </c>
      <c r="Y655" t="s">
        <v>7498</v>
      </c>
      <c r="AA655" t="s">
        <v>9578</v>
      </c>
      <c r="AB655">
        <v>28</v>
      </c>
      <c r="AD655" t="s">
        <v>5741</v>
      </c>
      <c r="AE655">
        <v>4</v>
      </c>
      <c r="AF655">
        <v>2</v>
      </c>
      <c r="AG655">
        <v>0</v>
      </c>
      <c r="AH655">
        <v>0</v>
      </c>
      <c r="AL655">
        <v>0</v>
      </c>
      <c r="AR655">
        <v>17.1</v>
      </c>
      <c r="AS655" t="s">
        <v>6812</v>
      </c>
      <c r="AT655" t="s">
        <v>11190</v>
      </c>
      <c r="AV655" t="s">
        <v>11231</v>
      </c>
      <c r="AW655" t="s">
        <v>11170</v>
      </c>
    </row>
    <row r="656" spans="1:49">
      <c r="A656" s="1">
        <f>HYPERLINK("https://lsnyc.legalserver.org/matter/dynamic-profile/view/1895880","19-1895880")</f>
        <v>0</v>
      </c>
      <c r="B656" t="s">
        <v>122</v>
      </c>
      <c r="C656" t="s">
        <v>803</v>
      </c>
      <c r="D656" t="s">
        <v>1857</v>
      </c>
      <c r="E656" t="s">
        <v>3703</v>
      </c>
      <c r="F656" t="s">
        <v>5226</v>
      </c>
      <c r="G656" t="s">
        <v>5637</v>
      </c>
      <c r="H656">
        <v>11208</v>
      </c>
      <c r="I656" t="s">
        <v>5696</v>
      </c>
      <c r="J656" t="s">
        <v>5696</v>
      </c>
      <c r="M656" t="s">
        <v>6732</v>
      </c>
      <c r="O656" t="s">
        <v>6748</v>
      </c>
      <c r="R656" t="s">
        <v>6793</v>
      </c>
      <c r="U656">
        <v>1303</v>
      </c>
      <c r="V656" t="s">
        <v>6835</v>
      </c>
      <c r="W656" t="s">
        <v>6848</v>
      </c>
      <c r="Y656" t="s">
        <v>7499</v>
      </c>
      <c r="AA656" t="s">
        <v>9579</v>
      </c>
      <c r="AB656">
        <v>2</v>
      </c>
      <c r="AC656" t="s">
        <v>10937</v>
      </c>
      <c r="AD656" t="s">
        <v>10949</v>
      </c>
      <c r="AE656">
        <v>0</v>
      </c>
      <c r="AF656">
        <v>1</v>
      </c>
      <c r="AG656">
        <v>1</v>
      </c>
      <c r="AH656">
        <v>61.5</v>
      </c>
      <c r="AK656" t="s">
        <v>10966</v>
      </c>
      <c r="AL656">
        <v>10400</v>
      </c>
      <c r="AR656">
        <v>1.2</v>
      </c>
      <c r="AS656" t="s">
        <v>11142</v>
      </c>
      <c r="AT656" t="s">
        <v>11203</v>
      </c>
      <c r="AV656" t="s">
        <v>11231</v>
      </c>
      <c r="AW656" t="s">
        <v>11170</v>
      </c>
    </row>
    <row r="657" spans="1:49">
      <c r="A657" s="1">
        <f>HYPERLINK("https://lsnyc.legalserver.org/matter/dynamic-profile/view/1898974","19-1898974")</f>
        <v>0</v>
      </c>
      <c r="B657" t="s">
        <v>197</v>
      </c>
      <c r="C657" t="s">
        <v>804</v>
      </c>
      <c r="D657" t="s">
        <v>1773</v>
      </c>
      <c r="E657" t="s">
        <v>3704</v>
      </c>
      <c r="F657" t="s">
        <v>5337</v>
      </c>
      <c r="G657" t="s">
        <v>5638</v>
      </c>
      <c r="H657">
        <v>10002</v>
      </c>
      <c r="I657" t="s">
        <v>5696</v>
      </c>
      <c r="J657" t="s">
        <v>5696</v>
      </c>
      <c r="M657" t="s">
        <v>6732</v>
      </c>
      <c r="O657" t="s">
        <v>6748</v>
      </c>
      <c r="R657" t="s">
        <v>6794</v>
      </c>
      <c r="U657">
        <v>255.6</v>
      </c>
      <c r="V657" t="s">
        <v>6836</v>
      </c>
      <c r="Y657" t="s">
        <v>7500</v>
      </c>
      <c r="AA657" t="s">
        <v>9580</v>
      </c>
      <c r="AB657">
        <v>0</v>
      </c>
      <c r="AC657" t="s">
        <v>10931</v>
      </c>
      <c r="AE657">
        <v>11</v>
      </c>
      <c r="AF657">
        <v>1</v>
      </c>
      <c r="AG657">
        <v>0</v>
      </c>
      <c r="AH657">
        <v>81.86</v>
      </c>
      <c r="AK657" t="s">
        <v>10966</v>
      </c>
      <c r="AL657">
        <v>10224</v>
      </c>
      <c r="AR657">
        <v>0.4</v>
      </c>
      <c r="AS657" t="s">
        <v>11156</v>
      </c>
      <c r="AT657" t="s">
        <v>11183</v>
      </c>
      <c r="AV657" t="s">
        <v>11231</v>
      </c>
      <c r="AW657" t="s">
        <v>11156</v>
      </c>
    </row>
    <row r="658" spans="1:49">
      <c r="A658" s="1">
        <f>HYPERLINK("https://lsnyc.legalserver.org/matter/dynamic-profile/view/1899098","19-1899098")</f>
        <v>0</v>
      </c>
      <c r="B658" t="s">
        <v>66</v>
      </c>
      <c r="C658" t="s">
        <v>805</v>
      </c>
      <c r="D658" t="s">
        <v>1762</v>
      </c>
      <c r="E658" t="s">
        <v>3705</v>
      </c>
      <c r="F658">
        <v>2</v>
      </c>
      <c r="G658" t="s">
        <v>5635</v>
      </c>
      <c r="H658">
        <v>10469</v>
      </c>
      <c r="I658" t="s">
        <v>5696</v>
      </c>
      <c r="J658" t="s">
        <v>5696</v>
      </c>
      <c r="K658" t="s">
        <v>5931</v>
      </c>
      <c r="M658" t="s">
        <v>6732</v>
      </c>
      <c r="O658" t="s">
        <v>6747</v>
      </c>
      <c r="R658" t="s">
        <v>6793</v>
      </c>
      <c r="U658">
        <v>0</v>
      </c>
      <c r="V658" t="s">
        <v>6833</v>
      </c>
      <c r="Y658" t="s">
        <v>7501</v>
      </c>
      <c r="AA658" t="s">
        <v>9581</v>
      </c>
      <c r="AB658">
        <v>0</v>
      </c>
      <c r="AE658">
        <v>0</v>
      </c>
      <c r="AF658">
        <v>1</v>
      </c>
      <c r="AG658">
        <v>3</v>
      </c>
      <c r="AH658">
        <v>53.01</v>
      </c>
      <c r="AK658" t="s">
        <v>10966</v>
      </c>
      <c r="AL658">
        <v>13650</v>
      </c>
      <c r="AR658">
        <v>0.3</v>
      </c>
      <c r="AS658" t="s">
        <v>11117</v>
      </c>
      <c r="AT658" t="s">
        <v>11217</v>
      </c>
      <c r="AV658" t="s">
        <v>11231</v>
      </c>
      <c r="AW658" t="s">
        <v>11134</v>
      </c>
    </row>
    <row r="659" spans="1:49">
      <c r="A659" s="1">
        <f>HYPERLINK("https://lsnyc.legalserver.org/matter/dynamic-profile/view/1901889","19-1901889")</f>
        <v>0</v>
      </c>
      <c r="B659" t="s">
        <v>203</v>
      </c>
      <c r="C659" t="s">
        <v>577</v>
      </c>
      <c r="D659" t="s">
        <v>2134</v>
      </c>
      <c r="E659" t="s">
        <v>3706</v>
      </c>
      <c r="F659" t="s">
        <v>5116</v>
      </c>
      <c r="G659" t="s">
        <v>5635</v>
      </c>
      <c r="H659">
        <v>10453</v>
      </c>
      <c r="I659" t="s">
        <v>5696</v>
      </c>
      <c r="J659" t="s">
        <v>5696</v>
      </c>
      <c r="M659" t="s">
        <v>6732</v>
      </c>
      <c r="O659" t="s">
        <v>6747</v>
      </c>
      <c r="R659" t="s">
        <v>6793</v>
      </c>
      <c r="U659">
        <v>690</v>
      </c>
      <c r="V659" t="s">
        <v>6833</v>
      </c>
      <c r="Y659" t="s">
        <v>7502</v>
      </c>
      <c r="AA659" t="s">
        <v>9582</v>
      </c>
      <c r="AB659">
        <v>0</v>
      </c>
      <c r="AE659">
        <v>40</v>
      </c>
      <c r="AF659">
        <v>1</v>
      </c>
      <c r="AG659">
        <v>0</v>
      </c>
      <c r="AH659">
        <v>84.36</v>
      </c>
      <c r="AK659" t="s">
        <v>10966</v>
      </c>
      <c r="AL659">
        <v>10536</v>
      </c>
      <c r="AM659" t="s">
        <v>11008</v>
      </c>
      <c r="AR659">
        <v>2</v>
      </c>
      <c r="AS659" t="s">
        <v>6817</v>
      </c>
      <c r="AT659" t="s">
        <v>139</v>
      </c>
      <c r="AV659" t="s">
        <v>11231</v>
      </c>
      <c r="AW659" t="s">
        <v>11150</v>
      </c>
    </row>
    <row r="660" spans="1:49">
      <c r="A660" s="1">
        <f>HYPERLINK("https://lsnyc.legalserver.org/matter/dynamic-profile/view/1905909","19-1905909")</f>
        <v>0</v>
      </c>
      <c r="B660" t="s">
        <v>53</v>
      </c>
      <c r="C660" t="s">
        <v>806</v>
      </c>
      <c r="D660" t="s">
        <v>1773</v>
      </c>
      <c r="E660" t="s">
        <v>3631</v>
      </c>
      <c r="F660" t="s">
        <v>5338</v>
      </c>
      <c r="G660" t="s">
        <v>5635</v>
      </c>
      <c r="H660">
        <v>10453</v>
      </c>
      <c r="I660" t="s">
        <v>5695</v>
      </c>
      <c r="J660" t="s">
        <v>5696</v>
      </c>
      <c r="K660" t="s">
        <v>5932</v>
      </c>
      <c r="M660" t="s">
        <v>6732</v>
      </c>
      <c r="O660" t="s">
        <v>6747</v>
      </c>
      <c r="P660" t="s">
        <v>5697</v>
      </c>
      <c r="R660" t="s">
        <v>6793</v>
      </c>
      <c r="U660">
        <v>628</v>
      </c>
      <c r="V660" t="s">
        <v>6833</v>
      </c>
      <c r="W660" t="s">
        <v>6839</v>
      </c>
      <c r="Y660" t="s">
        <v>7503</v>
      </c>
      <c r="AA660" t="s">
        <v>9583</v>
      </c>
      <c r="AB660">
        <v>0</v>
      </c>
      <c r="AC660" t="s">
        <v>10934</v>
      </c>
      <c r="AD660" t="s">
        <v>6841</v>
      </c>
      <c r="AE660">
        <v>10</v>
      </c>
      <c r="AF660">
        <v>1</v>
      </c>
      <c r="AG660">
        <v>0</v>
      </c>
      <c r="AH660">
        <v>84.36</v>
      </c>
      <c r="AK660" t="s">
        <v>10966</v>
      </c>
      <c r="AL660">
        <v>10536</v>
      </c>
      <c r="AR660">
        <v>0</v>
      </c>
      <c r="AT660" t="s">
        <v>11196</v>
      </c>
      <c r="AV660" t="s">
        <v>11231</v>
      </c>
      <c r="AW660" t="s">
        <v>6824</v>
      </c>
    </row>
    <row r="661" spans="1:49">
      <c r="A661" s="1">
        <f>HYPERLINK("https://lsnyc.legalserver.org/matter/dynamic-profile/view/1897254","19-1897254")</f>
        <v>0</v>
      </c>
      <c r="B661" t="s">
        <v>139</v>
      </c>
      <c r="C661" t="s">
        <v>480</v>
      </c>
      <c r="D661" t="s">
        <v>1818</v>
      </c>
      <c r="E661" t="s">
        <v>3707</v>
      </c>
      <c r="F661" t="s">
        <v>5280</v>
      </c>
      <c r="G661" t="s">
        <v>5635</v>
      </c>
      <c r="H661">
        <v>10454</v>
      </c>
      <c r="I661" t="s">
        <v>5695</v>
      </c>
      <c r="J661" t="s">
        <v>5697</v>
      </c>
      <c r="K661" t="s">
        <v>5933</v>
      </c>
      <c r="M661" t="s">
        <v>6732</v>
      </c>
      <c r="O661" t="s">
        <v>6747</v>
      </c>
      <c r="R661" t="s">
        <v>6793</v>
      </c>
      <c r="U661">
        <v>236</v>
      </c>
      <c r="V661" t="s">
        <v>6833</v>
      </c>
      <c r="W661" t="s">
        <v>6839</v>
      </c>
      <c r="Y661" t="s">
        <v>7504</v>
      </c>
      <c r="AA661" t="s">
        <v>9584</v>
      </c>
      <c r="AB661">
        <v>0</v>
      </c>
      <c r="AC661" t="s">
        <v>10931</v>
      </c>
      <c r="AE661">
        <v>6</v>
      </c>
      <c r="AF661">
        <v>1</v>
      </c>
      <c r="AG661">
        <v>0</v>
      </c>
      <c r="AH661">
        <v>0</v>
      </c>
      <c r="AK661" t="s">
        <v>10966</v>
      </c>
      <c r="AL661">
        <v>0</v>
      </c>
      <c r="AM661" t="s">
        <v>11030</v>
      </c>
      <c r="AR661">
        <v>0.7</v>
      </c>
      <c r="AS661" t="s">
        <v>11126</v>
      </c>
      <c r="AT661" t="s">
        <v>11179</v>
      </c>
      <c r="AV661" t="s">
        <v>11231</v>
      </c>
      <c r="AW661" t="s">
        <v>11151</v>
      </c>
    </row>
    <row r="662" spans="1:49">
      <c r="A662" s="1">
        <f>HYPERLINK("https://lsnyc.legalserver.org/matter/dynamic-profile/view/1904774","19-1904774")</f>
        <v>0</v>
      </c>
      <c r="B662" t="s">
        <v>64</v>
      </c>
      <c r="C662" t="s">
        <v>807</v>
      </c>
      <c r="D662" t="s">
        <v>2135</v>
      </c>
      <c r="E662" t="s">
        <v>3708</v>
      </c>
      <c r="F662" t="s">
        <v>5144</v>
      </c>
      <c r="G662" t="s">
        <v>5635</v>
      </c>
      <c r="H662">
        <v>10456</v>
      </c>
      <c r="I662" t="s">
        <v>5695</v>
      </c>
      <c r="J662" t="s">
        <v>5696</v>
      </c>
      <c r="M662" t="s">
        <v>6732</v>
      </c>
      <c r="O662" t="s">
        <v>6745</v>
      </c>
      <c r="P662" t="s">
        <v>5697</v>
      </c>
      <c r="R662" t="s">
        <v>6793</v>
      </c>
      <c r="U662">
        <v>982.92</v>
      </c>
      <c r="V662" t="s">
        <v>6833</v>
      </c>
      <c r="W662" t="s">
        <v>6838</v>
      </c>
      <c r="Y662" t="s">
        <v>7505</v>
      </c>
      <c r="AA662" t="s">
        <v>9585</v>
      </c>
      <c r="AB662">
        <v>56</v>
      </c>
      <c r="AD662" t="s">
        <v>5741</v>
      </c>
      <c r="AE662">
        <v>48</v>
      </c>
      <c r="AF662">
        <v>2</v>
      </c>
      <c r="AG662">
        <v>0</v>
      </c>
      <c r="AH662">
        <v>454.17</v>
      </c>
      <c r="AL662">
        <v>76800</v>
      </c>
      <c r="AR662">
        <v>1.25</v>
      </c>
      <c r="AS662" t="s">
        <v>6810</v>
      </c>
      <c r="AT662" t="s">
        <v>11176</v>
      </c>
      <c r="AU662" t="s">
        <v>11228</v>
      </c>
      <c r="AV662" t="s">
        <v>11231</v>
      </c>
      <c r="AW662" t="s">
        <v>6816</v>
      </c>
    </row>
    <row r="663" spans="1:49">
      <c r="A663" s="1">
        <f>HYPERLINK("https://lsnyc.legalserver.org/matter/dynamic-profile/view/1899628","19-1899628")</f>
        <v>0</v>
      </c>
      <c r="B663" t="s">
        <v>228</v>
      </c>
      <c r="C663" t="s">
        <v>808</v>
      </c>
      <c r="D663" t="s">
        <v>1685</v>
      </c>
      <c r="E663" t="s">
        <v>3709</v>
      </c>
      <c r="F663" t="s">
        <v>5115</v>
      </c>
      <c r="G663" t="s">
        <v>5635</v>
      </c>
      <c r="H663">
        <v>10456</v>
      </c>
      <c r="I663" t="s">
        <v>5697</v>
      </c>
      <c r="J663" t="s">
        <v>5696</v>
      </c>
      <c r="M663" t="s">
        <v>6732</v>
      </c>
      <c r="O663" t="s">
        <v>6748</v>
      </c>
      <c r="P663" t="s">
        <v>5697</v>
      </c>
      <c r="R663" t="s">
        <v>6793</v>
      </c>
      <c r="U663">
        <v>695</v>
      </c>
      <c r="V663" t="s">
        <v>6833</v>
      </c>
      <c r="W663" t="s">
        <v>6838</v>
      </c>
      <c r="Y663" t="s">
        <v>7506</v>
      </c>
      <c r="AA663" t="s">
        <v>9586</v>
      </c>
      <c r="AB663">
        <v>44</v>
      </c>
      <c r="AC663" t="s">
        <v>8953</v>
      </c>
      <c r="AD663" t="s">
        <v>5741</v>
      </c>
      <c r="AE663">
        <v>37</v>
      </c>
      <c r="AF663">
        <v>1</v>
      </c>
      <c r="AG663">
        <v>0</v>
      </c>
      <c r="AH663">
        <v>0</v>
      </c>
      <c r="AK663" t="s">
        <v>10967</v>
      </c>
      <c r="AL663">
        <v>0</v>
      </c>
      <c r="AM663" t="s">
        <v>11021</v>
      </c>
      <c r="AR663">
        <v>0</v>
      </c>
      <c r="AT663" t="s">
        <v>11176</v>
      </c>
      <c r="AU663" t="s">
        <v>5741</v>
      </c>
      <c r="AV663" t="s">
        <v>11231</v>
      </c>
      <c r="AW663" t="s">
        <v>11128</v>
      </c>
    </row>
    <row r="664" spans="1:49">
      <c r="A664" s="1">
        <f>HYPERLINK("https://lsnyc.legalserver.org/matter/dynamic-profile/view/1905892","19-1905892")</f>
        <v>0</v>
      </c>
      <c r="B664" t="s">
        <v>64</v>
      </c>
      <c r="C664" t="s">
        <v>479</v>
      </c>
      <c r="D664" t="s">
        <v>1863</v>
      </c>
      <c r="E664" t="s">
        <v>3710</v>
      </c>
      <c r="F664" t="s">
        <v>5100</v>
      </c>
      <c r="G664" t="s">
        <v>5635</v>
      </c>
      <c r="H664">
        <v>10452</v>
      </c>
      <c r="I664" t="s">
        <v>5695</v>
      </c>
      <c r="J664" t="s">
        <v>5696</v>
      </c>
      <c r="M664" t="s">
        <v>6732</v>
      </c>
      <c r="O664" t="s">
        <v>6745</v>
      </c>
      <c r="P664" t="s">
        <v>5697</v>
      </c>
      <c r="R664" t="s">
        <v>6793</v>
      </c>
      <c r="U664">
        <v>1557</v>
      </c>
      <c r="V664" t="s">
        <v>6833</v>
      </c>
      <c r="W664" t="s">
        <v>6843</v>
      </c>
      <c r="Y664" t="s">
        <v>7507</v>
      </c>
      <c r="AA664" t="s">
        <v>9587</v>
      </c>
      <c r="AB664">
        <v>18</v>
      </c>
      <c r="AC664" t="s">
        <v>10932</v>
      </c>
      <c r="AD664" t="s">
        <v>10944</v>
      </c>
      <c r="AE664">
        <v>10</v>
      </c>
      <c r="AF664">
        <v>1</v>
      </c>
      <c r="AG664">
        <v>0</v>
      </c>
      <c r="AH664">
        <v>23.83</v>
      </c>
      <c r="AK664" t="s">
        <v>10966</v>
      </c>
      <c r="AL664">
        <v>2976</v>
      </c>
      <c r="AR664">
        <v>0</v>
      </c>
      <c r="AT664" t="s">
        <v>11176</v>
      </c>
      <c r="AU664" t="s">
        <v>11228</v>
      </c>
      <c r="AV664" t="s">
        <v>11231</v>
      </c>
      <c r="AW664" t="s">
        <v>6824</v>
      </c>
    </row>
    <row r="665" spans="1:49">
      <c r="A665" s="1">
        <f>HYPERLINK("https://lsnyc.legalserver.org/matter/dynamic-profile/view/1896816","19-1896816")</f>
        <v>0</v>
      </c>
      <c r="B665" t="s">
        <v>229</v>
      </c>
      <c r="C665" t="s">
        <v>809</v>
      </c>
      <c r="D665" t="s">
        <v>1889</v>
      </c>
      <c r="E665" t="s">
        <v>3711</v>
      </c>
      <c r="F665" t="s">
        <v>5339</v>
      </c>
      <c r="G665" t="s">
        <v>5638</v>
      </c>
      <c r="H665">
        <v>10031</v>
      </c>
      <c r="I665" t="s">
        <v>5695</v>
      </c>
      <c r="J665" t="s">
        <v>5695</v>
      </c>
      <c r="M665" t="s">
        <v>6732</v>
      </c>
      <c r="O665" t="s">
        <v>6761</v>
      </c>
      <c r="P665" t="s">
        <v>5697</v>
      </c>
      <c r="R665" t="s">
        <v>6795</v>
      </c>
      <c r="U665">
        <v>453</v>
      </c>
      <c r="V665" t="s">
        <v>6836</v>
      </c>
      <c r="W665" t="s">
        <v>6843</v>
      </c>
      <c r="Y665" t="s">
        <v>7508</v>
      </c>
      <c r="AA665" t="s">
        <v>9588</v>
      </c>
      <c r="AB665">
        <v>0</v>
      </c>
      <c r="AC665" t="s">
        <v>10934</v>
      </c>
      <c r="AD665" t="s">
        <v>10944</v>
      </c>
      <c r="AE665">
        <v>26</v>
      </c>
      <c r="AF665">
        <v>2</v>
      </c>
      <c r="AG665">
        <v>0</v>
      </c>
      <c r="AH665">
        <v>55.49</v>
      </c>
      <c r="AK665" t="s">
        <v>10966</v>
      </c>
      <c r="AL665">
        <v>9384</v>
      </c>
      <c r="AR665">
        <v>1.5</v>
      </c>
      <c r="AS665" t="s">
        <v>11125</v>
      </c>
      <c r="AT665" t="s">
        <v>229</v>
      </c>
      <c r="AV665" t="s">
        <v>11231</v>
      </c>
      <c r="AW665" t="s">
        <v>11154</v>
      </c>
    </row>
    <row r="666" spans="1:49">
      <c r="A666" s="1">
        <f>HYPERLINK("https://lsnyc.legalserver.org/matter/dynamic-profile/view/1904812","19-1904812")</f>
        <v>0</v>
      </c>
      <c r="B666" t="s">
        <v>64</v>
      </c>
      <c r="C666" t="s">
        <v>810</v>
      </c>
      <c r="D666" t="s">
        <v>2136</v>
      </c>
      <c r="E666" t="s">
        <v>3712</v>
      </c>
      <c r="F666">
        <v>602</v>
      </c>
      <c r="G666" t="s">
        <v>5635</v>
      </c>
      <c r="H666">
        <v>10452</v>
      </c>
      <c r="I666" t="s">
        <v>5695</v>
      </c>
      <c r="J666" t="s">
        <v>5696</v>
      </c>
      <c r="M666" t="s">
        <v>6732</v>
      </c>
      <c r="O666" t="s">
        <v>6745</v>
      </c>
      <c r="P666" t="s">
        <v>5697</v>
      </c>
      <c r="R666" t="s">
        <v>6793</v>
      </c>
      <c r="U666">
        <v>557</v>
      </c>
      <c r="V666" t="s">
        <v>6833</v>
      </c>
      <c r="W666" t="s">
        <v>6838</v>
      </c>
      <c r="Y666" t="s">
        <v>7509</v>
      </c>
      <c r="AA666" t="s">
        <v>9589</v>
      </c>
      <c r="AB666">
        <v>82</v>
      </c>
      <c r="AC666" t="s">
        <v>8953</v>
      </c>
      <c r="AD666" t="s">
        <v>5741</v>
      </c>
      <c r="AE666">
        <v>5</v>
      </c>
      <c r="AF666">
        <v>2</v>
      </c>
      <c r="AG666">
        <v>2</v>
      </c>
      <c r="AH666">
        <v>100.97</v>
      </c>
      <c r="AL666">
        <v>26000</v>
      </c>
      <c r="AR666">
        <v>1.5</v>
      </c>
      <c r="AS666" t="s">
        <v>6810</v>
      </c>
      <c r="AT666" t="s">
        <v>11176</v>
      </c>
      <c r="AU666" t="s">
        <v>11228</v>
      </c>
      <c r="AV666" t="s">
        <v>11231</v>
      </c>
      <c r="AW666" t="s">
        <v>6816</v>
      </c>
    </row>
    <row r="667" spans="1:49">
      <c r="A667" s="1">
        <f>HYPERLINK("https://lsnyc.legalserver.org/matter/dynamic-profile/view/1904772","19-1904772")</f>
        <v>0</v>
      </c>
      <c r="B667" t="s">
        <v>64</v>
      </c>
      <c r="C667" t="s">
        <v>572</v>
      </c>
      <c r="D667" t="s">
        <v>2137</v>
      </c>
      <c r="E667" t="s">
        <v>3713</v>
      </c>
      <c r="F667" t="s">
        <v>5116</v>
      </c>
      <c r="G667" t="s">
        <v>5635</v>
      </c>
      <c r="H667">
        <v>10460</v>
      </c>
      <c r="I667" t="s">
        <v>5695</v>
      </c>
      <c r="J667" t="s">
        <v>5696</v>
      </c>
      <c r="M667" t="s">
        <v>6732</v>
      </c>
      <c r="O667" t="s">
        <v>6745</v>
      </c>
      <c r="P667" t="s">
        <v>5697</v>
      </c>
      <c r="R667" t="s">
        <v>6793</v>
      </c>
      <c r="U667">
        <v>208</v>
      </c>
      <c r="V667" t="s">
        <v>6833</v>
      </c>
      <c r="W667" t="s">
        <v>6838</v>
      </c>
      <c r="Y667" t="s">
        <v>7510</v>
      </c>
      <c r="AA667" t="s">
        <v>9590</v>
      </c>
      <c r="AB667">
        <v>35</v>
      </c>
      <c r="AC667" t="s">
        <v>8953</v>
      </c>
      <c r="AD667" t="s">
        <v>5741</v>
      </c>
      <c r="AE667">
        <v>10</v>
      </c>
      <c r="AF667">
        <v>1</v>
      </c>
      <c r="AG667">
        <v>0</v>
      </c>
      <c r="AH667">
        <v>85.22</v>
      </c>
      <c r="AK667" t="s">
        <v>10967</v>
      </c>
      <c r="AL667">
        <v>10644</v>
      </c>
      <c r="AR667">
        <v>1.75</v>
      </c>
      <c r="AS667" t="s">
        <v>6814</v>
      </c>
      <c r="AT667" t="s">
        <v>11176</v>
      </c>
      <c r="AU667" t="s">
        <v>11228</v>
      </c>
      <c r="AV667" t="s">
        <v>11231</v>
      </c>
      <c r="AW667" t="s">
        <v>6816</v>
      </c>
    </row>
    <row r="668" spans="1:49">
      <c r="A668" s="1">
        <f>HYPERLINK("https://lsnyc.legalserver.org/matter/dynamic-profile/view/1896245","19-1896245")</f>
        <v>0</v>
      </c>
      <c r="B668" t="s">
        <v>146</v>
      </c>
      <c r="C668" t="s">
        <v>811</v>
      </c>
      <c r="D668" t="s">
        <v>1773</v>
      </c>
      <c r="E668" t="s">
        <v>3714</v>
      </c>
      <c r="F668" t="s">
        <v>5240</v>
      </c>
      <c r="G668" t="s">
        <v>5649</v>
      </c>
      <c r="H668">
        <v>11385</v>
      </c>
      <c r="I668" t="s">
        <v>5696</v>
      </c>
      <c r="J668" t="s">
        <v>5696</v>
      </c>
      <c r="M668" t="s">
        <v>6732</v>
      </c>
      <c r="O668" t="s">
        <v>6778</v>
      </c>
      <c r="R668" t="s">
        <v>6798</v>
      </c>
      <c r="U668">
        <v>0</v>
      </c>
      <c r="V668" t="s">
        <v>6837</v>
      </c>
      <c r="Y668" t="s">
        <v>7511</v>
      </c>
      <c r="AA668" t="s">
        <v>9591</v>
      </c>
      <c r="AB668">
        <v>0</v>
      </c>
      <c r="AE668">
        <v>0</v>
      </c>
      <c r="AF668">
        <v>1</v>
      </c>
      <c r="AG668">
        <v>0</v>
      </c>
      <c r="AH668">
        <v>151.05</v>
      </c>
      <c r="AK668" t="s">
        <v>10966</v>
      </c>
      <c r="AL668">
        <v>18866.4</v>
      </c>
      <c r="AR668">
        <v>6.46</v>
      </c>
      <c r="AS668" t="s">
        <v>6823</v>
      </c>
      <c r="AT668" t="s">
        <v>11203</v>
      </c>
      <c r="AV668" t="s">
        <v>11231</v>
      </c>
      <c r="AW668" t="s">
        <v>11167</v>
      </c>
    </row>
    <row r="669" spans="1:49">
      <c r="A669" s="1">
        <f>HYPERLINK("https://lsnyc.legalserver.org/matter/dynamic-profile/view/1896210","19-1896210")</f>
        <v>0</v>
      </c>
      <c r="B669" t="s">
        <v>115</v>
      </c>
      <c r="C669" t="s">
        <v>438</v>
      </c>
      <c r="D669" t="s">
        <v>1893</v>
      </c>
      <c r="E669" t="s">
        <v>3715</v>
      </c>
      <c r="F669" t="s">
        <v>5340</v>
      </c>
      <c r="G669" t="s">
        <v>5660</v>
      </c>
      <c r="H669">
        <v>11423</v>
      </c>
      <c r="I669" t="s">
        <v>5696</v>
      </c>
      <c r="J669" t="s">
        <v>5696</v>
      </c>
      <c r="M669" t="s">
        <v>6732</v>
      </c>
      <c r="O669" t="s">
        <v>6778</v>
      </c>
      <c r="R669" t="s">
        <v>6798</v>
      </c>
      <c r="U669">
        <v>0</v>
      </c>
      <c r="V669" t="s">
        <v>6837</v>
      </c>
      <c r="Y669" t="s">
        <v>7512</v>
      </c>
      <c r="AA669" t="s">
        <v>9592</v>
      </c>
      <c r="AB669">
        <v>0</v>
      </c>
      <c r="AE669">
        <v>0</v>
      </c>
      <c r="AF669">
        <v>3</v>
      </c>
      <c r="AG669">
        <v>0</v>
      </c>
      <c r="AH669">
        <v>230.47</v>
      </c>
      <c r="AL669">
        <v>49159.44</v>
      </c>
      <c r="AR669">
        <v>38.65</v>
      </c>
      <c r="AS669" t="s">
        <v>6815</v>
      </c>
      <c r="AT669" t="s">
        <v>146</v>
      </c>
      <c r="AV669" t="s">
        <v>11231</v>
      </c>
      <c r="AW669" t="s">
        <v>11167</v>
      </c>
    </row>
    <row r="670" spans="1:49">
      <c r="A670" s="1">
        <f>HYPERLINK("https://lsnyc.legalserver.org/matter/dynamic-profile/view/1906257","19-1906257")</f>
        <v>0</v>
      </c>
      <c r="B670" t="s">
        <v>93</v>
      </c>
      <c r="C670" t="s">
        <v>352</v>
      </c>
      <c r="D670" t="s">
        <v>2138</v>
      </c>
      <c r="E670" t="s">
        <v>3716</v>
      </c>
      <c r="F670" t="s">
        <v>5341</v>
      </c>
      <c r="G670" t="s">
        <v>5635</v>
      </c>
      <c r="H670">
        <v>10472</v>
      </c>
      <c r="I670" t="s">
        <v>5695</v>
      </c>
      <c r="J670" t="s">
        <v>5696</v>
      </c>
      <c r="M670" t="s">
        <v>6732</v>
      </c>
      <c r="O670" t="s">
        <v>6745</v>
      </c>
      <c r="P670" t="s">
        <v>5697</v>
      </c>
      <c r="R670" t="s">
        <v>6793</v>
      </c>
      <c r="U670">
        <v>1907</v>
      </c>
      <c r="V670" t="s">
        <v>6833</v>
      </c>
      <c r="W670" t="s">
        <v>6838</v>
      </c>
      <c r="AA670" t="s">
        <v>9593</v>
      </c>
      <c r="AB670">
        <v>59</v>
      </c>
      <c r="AC670" t="s">
        <v>10929</v>
      </c>
      <c r="AD670" t="s">
        <v>5741</v>
      </c>
      <c r="AE670">
        <v>7</v>
      </c>
      <c r="AF670">
        <v>2</v>
      </c>
      <c r="AG670">
        <v>2</v>
      </c>
      <c r="AH670">
        <v>222.14</v>
      </c>
      <c r="AK670" t="s">
        <v>10966</v>
      </c>
      <c r="AL670">
        <v>57200</v>
      </c>
      <c r="AR670">
        <v>1</v>
      </c>
      <c r="AS670" t="s">
        <v>6824</v>
      </c>
      <c r="AT670" t="s">
        <v>93</v>
      </c>
      <c r="AU670" t="s">
        <v>11228</v>
      </c>
      <c r="AV670" t="s">
        <v>11231</v>
      </c>
      <c r="AW670" t="s">
        <v>6824</v>
      </c>
    </row>
    <row r="671" spans="1:49">
      <c r="A671" s="1">
        <f>HYPERLINK("https://lsnyc.legalserver.org/matter/dynamic-profile/view/1905500","19-1905500")</f>
        <v>0</v>
      </c>
      <c r="B671" t="s">
        <v>53</v>
      </c>
      <c r="C671" t="s">
        <v>491</v>
      </c>
      <c r="D671" t="s">
        <v>2139</v>
      </c>
      <c r="E671" t="s">
        <v>3717</v>
      </c>
      <c r="F671" t="s">
        <v>5304</v>
      </c>
      <c r="G671" t="s">
        <v>5635</v>
      </c>
      <c r="H671">
        <v>10466</v>
      </c>
      <c r="I671" t="s">
        <v>5695</v>
      </c>
      <c r="J671" t="s">
        <v>5696</v>
      </c>
      <c r="K671" t="s">
        <v>5934</v>
      </c>
      <c r="M671" t="s">
        <v>6732</v>
      </c>
      <c r="O671" t="s">
        <v>6747</v>
      </c>
      <c r="R671" t="s">
        <v>6793</v>
      </c>
      <c r="S671" t="s">
        <v>6801</v>
      </c>
      <c r="U671">
        <v>1398.51</v>
      </c>
      <c r="V671" t="s">
        <v>6833</v>
      </c>
      <c r="W671" t="s">
        <v>6839</v>
      </c>
      <c r="Y671" t="s">
        <v>7513</v>
      </c>
      <c r="AA671" t="s">
        <v>9594</v>
      </c>
      <c r="AB671">
        <v>50</v>
      </c>
      <c r="AC671" t="s">
        <v>10929</v>
      </c>
      <c r="AE671">
        <v>17</v>
      </c>
      <c r="AF671">
        <v>3</v>
      </c>
      <c r="AG671">
        <v>1</v>
      </c>
      <c r="AH671">
        <v>134.21</v>
      </c>
      <c r="AK671" t="s">
        <v>10966</v>
      </c>
      <c r="AL671">
        <v>34560</v>
      </c>
      <c r="AR671">
        <v>0</v>
      </c>
      <c r="AT671" t="s">
        <v>288</v>
      </c>
      <c r="AU671" t="s">
        <v>11228</v>
      </c>
      <c r="AV671" t="s">
        <v>11231</v>
      </c>
      <c r="AW671" t="s">
        <v>6822</v>
      </c>
    </row>
    <row r="672" spans="1:49">
      <c r="A672" s="1">
        <f>HYPERLINK("https://lsnyc.legalserver.org/matter/dynamic-profile/view/1898364","19-1898364")</f>
        <v>0</v>
      </c>
      <c r="B672" t="s">
        <v>230</v>
      </c>
      <c r="C672" t="s">
        <v>812</v>
      </c>
      <c r="D672" t="s">
        <v>2140</v>
      </c>
      <c r="E672" t="s">
        <v>3718</v>
      </c>
      <c r="F672" t="s">
        <v>5237</v>
      </c>
      <c r="G672" t="s">
        <v>5635</v>
      </c>
      <c r="H672">
        <v>10458</v>
      </c>
      <c r="I672" t="s">
        <v>5695</v>
      </c>
      <c r="J672" t="s">
        <v>5695</v>
      </c>
      <c r="K672" t="s">
        <v>5935</v>
      </c>
      <c r="M672" t="s">
        <v>6732</v>
      </c>
      <c r="O672" t="s">
        <v>6747</v>
      </c>
      <c r="R672" t="s">
        <v>6793</v>
      </c>
      <c r="U672">
        <v>2225</v>
      </c>
      <c r="V672" t="s">
        <v>6833</v>
      </c>
      <c r="Y672" t="s">
        <v>7514</v>
      </c>
      <c r="AA672" t="s">
        <v>9595</v>
      </c>
      <c r="AB672">
        <v>0</v>
      </c>
      <c r="AC672" t="s">
        <v>10931</v>
      </c>
      <c r="AD672" t="s">
        <v>10944</v>
      </c>
      <c r="AE672">
        <v>1</v>
      </c>
      <c r="AF672">
        <v>1</v>
      </c>
      <c r="AG672">
        <v>4</v>
      </c>
      <c r="AH672">
        <v>103.41</v>
      </c>
      <c r="AK672" t="s">
        <v>10966</v>
      </c>
      <c r="AL672">
        <v>31200</v>
      </c>
      <c r="AR672">
        <v>1.1</v>
      </c>
      <c r="AS672" t="s">
        <v>6895</v>
      </c>
      <c r="AT672" t="s">
        <v>139</v>
      </c>
      <c r="AV672" t="s">
        <v>11231</v>
      </c>
      <c r="AW672" t="s">
        <v>11141</v>
      </c>
    </row>
    <row r="673" spans="1:49">
      <c r="A673" s="1">
        <f>HYPERLINK("https://lsnyc.legalserver.org/matter/dynamic-profile/view/1899636","19-1899636")</f>
        <v>0</v>
      </c>
      <c r="B673" t="s">
        <v>117</v>
      </c>
      <c r="C673" t="s">
        <v>813</v>
      </c>
      <c r="D673" t="s">
        <v>2141</v>
      </c>
      <c r="E673" t="s">
        <v>3719</v>
      </c>
      <c r="F673" t="s">
        <v>5342</v>
      </c>
      <c r="G673" t="s">
        <v>5637</v>
      </c>
      <c r="H673">
        <v>11235</v>
      </c>
      <c r="I673" t="s">
        <v>5696</v>
      </c>
      <c r="J673" t="s">
        <v>5696</v>
      </c>
      <c r="M673" t="s">
        <v>6732</v>
      </c>
      <c r="O673" t="s">
        <v>6754</v>
      </c>
      <c r="R673" t="s">
        <v>6796</v>
      </c>
      <c r="U673">
        <v>0</v>
      </c>
      <c r="V673" t="s">
        <v>6835</v>
      </c>
      <c r="Y673" t="s">
        <v>7515</v>
      </c>
      <c r="AA673" t="s">
        <v>9596</v>
      </c>
      <c r="AB673">
        <v>0</v>
      </c>
      <c r="AE673">
        <v>0</v>
      </c>
      <c r="AF673">
        <v>1</v>
      </c>
      <c r="AG673">
        <v>0</v>
      </c>
      <c r="AH673">
        <v>82.43000000000001</v>
      </c>
      <c r="AK673" t="s">
        <v>10969</v>
      </c>
      <c r="AL673">
        <v>10296</v>
      </c>
      <c r="AR673">
        <v>3</v>
      </c>
      <c r="AS673" t="s">
        <v>11143</v>
      </c>
      <c r="AT673" t="s">
        <v>117</v>
      </c>
      <c r="AV673" t="s">
        <v>11231</v>
      </c>
      <c r="AW673" t="s">
        <v>11128</v>
      </c>
    </row>
    <row r="674" spans="1:49">
      <c r="A674" s="1">
        <f>HYPERLINK("https://lsnyc.legalserver.org/matter/dynamic-profile/view/1905872","19-1905872")</f>
        <v>0</v>
      </c>
      <c r="B674" t="s">
        <v>53</v>
      </c>
      <c r="C674" t="s">
        <v>814</v>
      </c>
      <c r="D674" t="s">
        <v>2142</v>
      </c>
      <c r="E674" t="s">
        <v>3720</v>
      </c>
      <c r="F674">
        <v>2</v>
      </c>
      <c r="G674" t="s">
        <v>5635</v>
      </c>
      <c r="H674">
        <v>10459</v>
      </c>
      <c r="I674" t="s">
        <v>5695</v>
      </c>
      <c r="J674" t="s">
        <v>5696</v>
      </c>
      <c r="M674" t="s">
        <v>6732</v>
      </c>
      <c r="O674" t="s">
        <v>6763</v>
      </c>
      <c r="P674" t="s">
        <v>5697</v>
      </c>
      <c r="R674" t="s">
        <v>6793</v>
      </c>
      <c r="U674">
        <v>1100</v>
      </c>
      <c r="V674" t="s">
        <v>6833</v>
      </c>
      <c r="W674" t="s">
        <v>6839</v>
      </c>
      <c r="Y674" t="s">
        <v>7516</v>
      </c>
      <c r="AA674" t="s">
        <v>9597</v>
      </c>
      <c r="AB674">
        <v>4</v>
      </c>
      <c r="AC674" t="s">
        <v>8953</v>
      </c>
      <c r="AD674" t="s">
        <v>5741</v>
      </c>
      <c r="AE674">
        <v>14</v>
      </c>
      <c r="AF674">
        <v>1</v>
      </c>
      <c r="AG674">
        <v>1</v>
      </c>
      <c r="AH674">
        <v>0</v>
      </c>
      <c r="AK674" t="s">
        <v>10966</v>
      </c>
      <c r="AL674">
        <v>0</v>
      </c>
      <c r="AR674">
        <v>0</v>
      </c>
      <c r="AT674" t="s">
        <v>219</v>
      </c>
      <c r="AV674" t="s">
        <v>11231</v>
      </c>
      <c r="AW674" t="s">
        <v>6823</v>
      </c>
    </row>
    <row r="675" spans="1:49">
      <c r="A675" s="1">
        <f>HYPERLINK("https://lsnyc.legalserver.org/matter/dynamic-profile/view/1895566","19-1895566")</f>
        <v>0</v>
      </c>
      <c r="B675" t="s">
        <v>156</v>
      </c>
      <c r="C675" t="s">
        <v>505</v>
      </c>
      <c r="D675" t="s">
        <v>325</v>
      </c>
      <c r="E675" t="s">
        <v>3721</v>
      </c>
      <c r="F675">
        <v>2</v>
      </c>
      <c r="G675" t="s">
        <v>5669</v>
      </c>
      <c r="H675">
        <v>11104</v>
      </c>
      <c r="I675" t="s">
        <v>5696</v>
      </c>
      <c r="J675" t="s">
        <v>5696</v>
      </c>
      <c r="M675" t="s">
        <v>6732</v>
      </c>
      <c r="O675" t="s">
        <v>6781</v>
      </c>
      <c r="R675" t="s">
        <v>6797</v>
      </c>
      <c r="U675">
        <v>0</v>
      </c>
      <c r="V675" t="s">
        <v>6837</v>
      </c>
      <c r="Y675" t="s">
        <v>7517</v>
      </c>
      <c r="AA675" t="s">
        <v>9598</v>
      </c>
      <c r="AB675">
        <v>0</v>
      </c>
      <c r="AE675">
        <v>0</v>
      </c>
      <c r="AF675">
        <v>1</v>
      </c>
      <c r="AG675">
        <v>0</v>
      </c>
      <c r="AH675">
        <v>0</v>
      </c>
      <c r="AL675">
        <v>0</v>
      </c>
      <c r="AR675">
        <v>3.3</v>
      </c>
      <c r="AS675" t="s">
        <v>6827</v>
      </c>
      <c r="AT675" t="s">
        <v>156</v>
      </c>
      <c r="AV675" t="s">
        <v>11231</v>
      </c>
      <c r="AW675" t="s">
        <v>10960</v>
      </c>
    </row>
    <row r="676" spans="1:49">
      <c r="A676" s="1">
        <f>HYPERLINK("https://lsnyc.legalserver.org/matter/dynamic-profile/view/1903343","19-1903343")</f>
        <v>0</v>
      </c>
      <c r="B676" t="s">
        <v>92</v>
      </c>
      <c r="C676" t="s">
        <v>815</v>
      </c>
      <c r="D676" t="s">
        <v>1867</v>
      </c>
      <c r="E676" t="s">
        <v>3722</v>
      </c>
      <c r="F676" t="s">
        <v>5343</v>
      </c>
      <c r="G676" t="s">
        <v>5637</v>
      </c>
      <c r="H676">
        <v>11213</v>
      </c>
      <c r="I676" t="s">
        <v>5695</v>
      </c>
      <c r="J676" t="s">
        <v>5696</v>
      </c>
      <c r="M676" t="s">
        <v>6732</v>
      </c>
      <c r="O676" t="s">
        <v>6756</v>
      </c>
      <c r="P676" t="s">
        <v>5697</v>
      </c>
      <c r="R676" t="s">
        <v>6793</v>
      </c>
      <c r="U676">
        <v>850</v>
      </c>
      <c r="V676" t="s">
        <v>6835</v>
      </c>
      <c r="Y676" t="s">
        <v>7518</v>
      </c>
      <c r="AA676" t="s">
        <v>9599</v>
      </c>
      <c r="AB676">
        <v>5</v>
      </c>
      <c r="AE676">
        <v>55</v>
      </c>
      <c r="AF676">
        <v>1</v>
      </c>
      <c r="AG676">
        <v>0</v>
      </c>
      <c r="AH676">
        <v>277.76</v>
      </c>
      <c r="AK676" t="s">
        <v>10966</v>
      </c>
      <c r="AL676">
        <v>34692</v>
      </c>
      <c r="AR676">
        <v>1.2</v>
      </c>
      <c r="AS676" t="s">
        <v>6821</v>
      </c>
      <c r="AT676" t="s">
        <v>11204</v>
      </c>
      <c r="AU676" t="s">
        <v>11228</v>
      </c>
      <c r="AV676" t="s">
        <v>11231</v>
      </c>
      <c r="AW676" t="s">
        <v>11139</v>
      </c>
    </row>
    <row r="677" spans="1:49">
      <c r="A677" s="1">
        <f>HYPERLINK("https://lsnyc.legalserver.org/matter/dynamic-profile/view/1901899","19-1901899")</f>
        <v>0</v>
      </c>
      <c r="B677" t="s">
        <v>190</v>
      </c>
      <c r="C677" t="s">
        <v>816</v>
      </c>
      <c r="D677" t="s">
        <v>2143</v>
      </c>
      <c r="E677" t="s">
        <v>3723</v>
      </c>
      <c r="F677" t="s">
        <v>5176</v>
      </c>
      <c r="G677" t="s">
        <v>5635</v>
      </c>
      <c r="H677">
        <v>10458</v>
      </c>
      <c r="I677" t="s">
        <v>5695</v>
      </c>
      <c r="J677" t="s">
        <v>5696</v>
      </c>
      <c r="M677" t="s">
        <v>6732</v>
      </c>
      <c r="O677" t="s">
        <v>6753</v>
      </c>
      <c r="R677" t="s">
        <v>6793</v>
      </c>
      <c r="U677">
        <v>1850</v>
      </c>
      <c r="V677" t="s">
        <v>6833</v>
      </c>
      <c r="Y677" t="s">
        <v>7519</v>
      </c>
      <c r="AA677" t="s">
        <v>9600</v>
      </c>
      <c r="AB677">
        <v>0</v>
      </c>
      <c r="AC677" t="s">
        <v>10929</v>
      </c>
      <c r="AE677">
        <v>1</v>
      </c>
      <c r="AF677">
        <v>2</v>
      </c>
      <c r="AG677">
        <v>0</v>
      </c>
      <c r="AH677">
        <v>224.72</v>
      </c>
      <c r="AK677" t="s">
        <v>10966</v>
      </c>
      <c r="AL677">
        <v>38000</v>
      </c>
      <c r="AM677" t="s">
        <v>11048</v>
      </c>
      <c r="AR677">
        <v>0</v>
      </c>
      <c r="AT677" t="s">
        <v>139</v>
      </c>
      <c r="AU677" t="s">
        <v>11228</v>
      </c>
      <c r="AV677" t="s">
        <v>11231</v>
      </c>
      <c r="AW677" t="s">
        <v>11150</v>
      </c>
    </row>
    <row r="678" spans="1:49">
      <c r="A678" s="1">
        <f>HYPERLINK("https://lsnyc.legalserver.org/matter/dynamic-profile/view/1904791","19-1904791")</f>
        <v>0</v>
      </c>
      <c r="B678" t="s">
        <v>122</v>
      </c>
      <c r="C678" t="s">
        <v>817</v>
      </c>
      <c r="D678" t="s">
        <v>2144</v>
      </c>
      <c r="E678" t="s">
        <v>3724</v>
      </c>
      <c r="F678">
        <v>1</v>
      </c>
      <c r="G678" t="s">
        <v>5637</v>
      </c>
      <c r="H678">
        <v>11208</v>
      </c>
      <c r="I678" t="s">
        <v>5696</v>
      </c>
      <c r="J678" t="s">
        <v>5696</v>
      </c>
      <c r="M678" t="s">
        <v>6732</v>
      </c>
      <c r="O678" t="s">
        <v>6748</v>
      </c>
      <c r="R678" t="s">
        <v>6793</v>
      </c>
      <c r="U678">
        <v>1530</v>
      </c>
      <c r="V678" t="s">
        <v>6835</v>
      </c>
      <c r="W678" t="s">
        <v>6853</v>
      </c>
      <c r="Y678" t="s">
        <v>7520</v>
      </c>
      <c r="AA678" t="s">
        <v>9601</v>
      </c>
      <c r="AB678">
        <v>3</v>
      </c>
      <c r="AE678">
        <v>6</v>
      </c>
      <c r="AF678">
        <v>2</v>
      </c>
      <c r="AG678">
        <v>2</v>
      </c>
      <c r="AH678">
        <v>118.14</v>
      </c>
      <c r="AK678" t="s">
        <v>10967</v>
      </c>
      <c r="AL678">
        <v>30420</v>
      </c>
      <c r="AR678">
        <v>0.5</v>
      </c>
      <c r="AS678" t="s">
        <v>6816</v>
      </c>
      <c r="AT678" t="s">
        <v>11189</v>
      </c>
      <c r="AV678" t="s">
        <v>11231</v>
      </c>
      <c r="AW678" t="s">
        <v>6816</v>
      </c>
    </row>
    <row r="679" spans="1:49">
      <c r="A679" s="1">
        <f>HYPERLINK("https://lsnyc.legalserver.org/matter/dynamic-profile/view/1905894","19-1905894")</f>
        <v>0</v>
      </c>
      <c r="B679" t="s">
        <v>64</v>
      </c>
      <c r="C679" t="s">
        <v>818</v>
      </c>
      <c r="D679" t="s">
        <v>2145</v>
      </c>
      <c r="E679" t="s">
        <v>3725</v>
      </c>
      <c r="F679" t="s">
        <v>5180</v>
      </c>
      <c r="G679" t="s">
        <v>5635</v>
      </c>
      <c r="H679">
        <v>10456</v>
      </c>
      <c r="I679" t="s">
        <v>5695</v>
      </c>
      <c r="J679" t="s">
        <v>5696</v>
      </c>
      <c r="M679" t="s">
        <v>6732</v>
      </c>
      <c r="O679" t="s">
        <v>6745</v>
      </c>
      <c r="P679" t="s">
        <v>5697</v>
      </c>
      <c r="R679" t="s">
        <v>6793</v>
      </c>
      <c r="U679">
        <v>1511.88</v>
      </c>
      <c r="V679" t="s">
        <v>6833</v>
      </c>
      <c r="W679" t="s">
        <v>6838</v>
      </c>
      <c r="Y679" t="s">
        <v>7257</v>
      </c>
      <c r="AA679" t="s">
        <v>9602</v>
      </c>
      <c r="AB679">
        <v>30</v>
      </c>
      <c r="AC679" t="s">
        <v>10929</v>
      </c>
      <c r="AD679" t="s">
        <v>5741</v>
      </c>
      <c r="AE679">
        <v>5</v>
      </c>
      <c r="AF679">
        <v>1</v>
      </c>
      <c r="AG679">
        <v>1</v>
      </c>
      <c r="AH679">
        <v>76.88</v>
      </c>
      <c r="AK679" t="s">
        <v>10966</v>
      </c>
      <c r="AL679">
        <v>13000</v>
      </c>
      <c r="AR679">
        <v>0</v>
      </c>
      <c r="AT679" t="s">
        <v>11176</v>
      </c>
      <c r="AU679" t="s">
        <v>11228</v>
      </c>
      <c r="AV679" t="s">
        <v>11231</v>
      </c>
      <c r="AW679" t="s">
        <v>6824</v>
      </c>
    </row>
    <row r="680" spans="1:49">
      <c r="A680" s="1">
        <f>HYPERLINK("https://lsnyc.legalserver.org/matter/dynamic-profile/view/1905846","19-1905846")</f>
        <v>0</v>
      </c>
      <c r="B680" t="s">
        <v>207</v>
      </c>
      <c r="C680" t="s">
        <v>819</v>
      </c>
      <c r="D680" t="s">
        <v>2146</v>
      </c>
      <c r="E680" t="s">
        <v>3726</v>
      </c>
      <c r="F680" t="s">
        <v>5344</v>
      </c>
      <c r="G680" t="s">
        <v>5635</v>
      </c>
      <c r="H680">
        <v>10452</v>
      </c>
      <c r="I680" t="s">
        <v>5695</v>
      </c>
      <c r="J680" t="s">
        <v>5696</v>
      </c>
      <c r="M680" t="s">
        <v>6732</v>
      </c>
      <c r="O680" t="s">
        <v>6745</v>
      </c>
      <c r="P680" t="s">
        <v>5697</v>
      </c>
      <c r="R680" t="s">
        <v>6793</v>
      </c>
      <c r="U680">
        <v>1075</v>
      </c>
      <c r="V680" t="s">
        <v>6833</v>
      </c>
      <c r="W680" t="s">
        <v>6838</v>
      </c>
      <c r="Y680" t="s">
        <v>7521</v>
      </c>
      <c r="Z680" t="s">
        <v>8950</v>
      </c>
      <c r="AB680">
        <v>58</v>
      </c>
      <c r="AC680" t="s">
        <v>10939</v>
      </c>
      <c r="AD680" t="s">
        <v>10946</v>
      </c>
      <c r="AE680">
        <v>8</v>
      </c>
      <c r="AF680">
        <v>2</v>
      </c>
      <c r="AG680">
        <v>3</v>
      </c>
      <c r="AH680">
        <v>39.77</v>
      </c>
      <c r="AK680" t="s">
        <v>10966</v>
      </c>
      <c r="AL680">
        <v>12000</v>
      </c>
      <c r="AR680">
        <v>0</v>
      </c>
      <c r="AT680" t="s">
        <v>219</v>
      </c>
      <c r="AU680" t="s">
        <v>11228</v>
      </c>
      <c r="AV680" t="s">
        <v>11231</v>
      </c>
      <c r="AW680" t="s">
        <v>11120</v>
      </c>
    </row>
    <row r="681" spans="1:49">
      <c r="A681" s="1">
        <f>HYPERLINK("https://lsnyc.legalserver.org/matter/dynamic-profile/view/1905901","19-1905901")</f>
        <v>0</v>
      </c>
      <c r="B681" t="s">
        <v>64</v>
      </c>
      <c r="C681" t="s">
        <v>820</v>
      </c>
      <c r="D681" t="s">
        <v>2147</v>
      </c>
      <c r="E681" t="s">
        <v>3727</v>
      </c>
      <c r="F681">
        <v>2</v>
      </c>
      <c r="G681" t="s">
        <v>5635</v>
      </c>
      <c r="H681">
        <v>10456</v>
      </c>
      <c r="I681" t="s">
        <v>5695</v>
      </c>
      <c r="J681" t="s">
        <v>5696</v>
      </c>
      <c r="M681" t="s">
        <v>6732</v>
      </c>
      <c r="O681" t="s">
        <v>6745</v>
      </c>
      <c r="P681" t="s">
        <v>5697</v>
      </c>
      <c r="R681" t="s">
        <v>6793</v>
      </c>
      <c r="U681">
        <v>1800.2</v>
      </c>
      <c r="V681" t="s">
        <v>6833</v>
      </c>
      <c r="W681" t="s">
        <v>6838</v>
      </c>
      <c r="Y681" t="s">
        <v>7522</v>
      </c>
      <c r="AB681">
        <v>6</v>
      </c>
      <c r="AC681" t="s">
        <v>10929</v>
      </c>
      <c r="AD681" t="s">
        <v>10949</v>
      </c>
      <c r="AE681">
        <v>1</v>
      </c>
      <c r="AF681">
        <v>2</v>
      </c>
      <c r="AG681">
        <v>1</v>
      </c>
      <c r="AH681">
        <v>180.23</v>
      </c>
      <c r="AK681" t="s">
        <v>10966</v>
      </c>
      <c r="AL681">
        <v>38444</v>
      </c>
      <c r="AR681">
        <v>0</v>
      </c>
      <c r="AT681" t="s">
        <v>11176</v>
      </c>
      <c r="AU681" t="s">
        <v>11228</v>
      </c>
      <c r="AV681" t="s">
        <v>11231</v>
      </c>
      <c r="AW681" t="s">
        <v>6824</v>
      </c>
    </row>
    <row r="682" spans="1:49">
      <c r="A682" s="1">
        <f>HYPERLINK("https://lsnyc.legalserver.org/matter/dynamic-profile/view/1905861","19-1905861")</f>
        <v>0</v>
      </c>
      <c r="B682" t="s">
        <v>207</v>
      </c>
      <c r="C682" t="s">
        <v>821</v>
      </c>
      <c r="D682" t="s">
        <v>1964</v>
      </c>
      <c r="E682" t="s">
        <v>3728</v>
      </c>
      <c r="F682" t="s">
        <v>5302</v>
      </c>
      <c r="G682" t="s">
        <v>5635</v>
      </c>
      <c r="H682">
        <v>10460</v>
      </c>
      <c r="I682" t="s">
        <v>5695</v>
      </c>
      <c r="J682" t="s">
        <v>5696</v>
      </c>
      <c r="M682" t="s">
        <v>6732</v>
      </c>
      <c r="O682" t="s">
        <v>6745</v>
      </c>
      <c r="P682" t="s">
        <v>5697</v>
      </c>
      <c r="R682" t="s">
        <v>6793</v>
      </c>
      <c r="U682">
        <v>1723.03</v>
      </c>
      <c r="V682" t="s">
        <v>6833</v>
      </c>
      <c r="W682" t="s">
        <v>6838</v>
      </c>
      <c r="Y682" t="s">
        <v>7523</v>
      </c>
      <c r="AB682">
        <v>0</v>
      </c>
      <c r="AC682" t="s">
        <v>10929</v>
      </c>
      <c r="AD682" t="s">
        <v>10944</v>
      </c>
      <c r="AE682">
        <v>3</v>
      </c>
      <c r="AF682">
        <v>2</v>
      </c>
      <c r="AG682">
        <v>0</v>
      </c>
      <c r="AH682">
        <v>83.73999999999999</v>
      </c>
      <c r="AK682" t="s">
        <v>10966</v>
      </c>
      <c r="AL682">
        <v>14160</v>
      </c>
      <c r="AR682">
        <v>0.1</v>
      </c>
      <c r="AS682" t="s">
        <v>6827</v>
      </c>
      <c r="AT682" t="s">
        <v>219</v>
      </c>
      <c r="AU682" t="s">
        <v>11228</v>
      </c>
      <c r="AV682" t="s">
        <v>11231</v>
      </c>
      <c r="AW682" t="s">
        <v>6808</v>
      </c>
    </row>
    <row r="683" spans="1:49">
      <c r="A683" s="1">
        <f>HYPERLINK("https://lsnyc.legalserver.org/matter/dynamic-profile/view/1901903","19-1901903")</f>
        <v>0</v>
      </c>
      <c r="B683" t="s">
        <v>66</v>
      </c>
      <c r="C683" t="s">
        <v>822</v>
      </c>
      <c r="D683" t="s">
        <v>2148</v>
      </c>
      <c r="E683" t="s">
        <v>3729</v>
      </c>
      <c r="F683">
        <v>614</v>
      </c>
      <c r="G683" t="s">
        <v>5635</v>
      </c>
      <c r="H683">
        <v>10473</v>
      </c>
      <c r="I683" t="s">
        <v>5695</v>
      </c>
      <c r="J683" t="s">
        <v>5696</v>
      </c>
      <c r="M683" t="s">
        <v>6732</v>
      </c>
      <c r="O683" t="s">
        <v>6747</v>
      </c>
      <c r="R683" t="s">
        <v>6793</v>
      </c>
      <c r="U683">
        <v>12000</v>
      </c>
      <c r="V683" t="s">
        <v>6833</v>
      </c>
      <c r="Y683" t="s">
        <v>7524</v>
      </c>
      <c r="AB683">
        <v>0</v>
      </c>
      <c r="AE683">
        <v>3</v>
      </c>
      <c r="AF683">
        <v>1</v>
      </c>
      <c r="AG683">
        <v>2</v>
      </c>
      <c r="AH683">
        <v>150.02</v>
      </c>
      <c r="AK683" t="s">
        <v>10966</v>
      </c>
      <c r="AL683">
        <v>32000</v>
      </c>
      <c r="AM683" t="s">
        <v>11008</v>
      </c>
      <c r="AR683">
        <v>0.3</v>
      </c>
      <c r="AS683" t="s">
        <v>11117</v>
      </c>
      <c r="AT683" t="s">
        <v>288</v>
      </c>
      <c r="AU683" t="s">
        <v>11228</v>
      </c>
      <c r="AV683" t="s">
        <v>11231</v>
      </c>
      <c r="AW683" t="s">
        <v>11150</v>
      </c>
    </row>
    <row r="684" spans="1:49">
      <c r="A684" s="1">
        <f>HYPERLINK("https://lsnyc.legalserver.org/matter/dynamic-profile/view/1901597","19-1901597")</f>
        <v>0</v>
      </c>
      <c r="B684" t="s">
        <v>218</v>
      </c>
      <c r="C684" t="s">
        <v>823</v>
      </c>
      <c r="D684" t="s">
        <v>1765</v>
      </c>
      <c r="E684" t="s">
        <v>3730</v>
      </c>
      <c r="F684" t="s">
        <v>5203</v>
      </c>
      <c r="G684" t="s">
        <v>5635</v>
      </c>
      <c r="H684">
        <v>10453</v>
      </c>
      <c r="I684" t="s">
        <v>5696</v>
      </c>
      <c r="J684" t="s">
        <v>5696</v>
      </c>
      <c r="M684" t="s">
        <v>6732</v>
      </c>
      <c r="O684" t="s">
        <v>6747</v>
      </c>
      <c r="R684" t="s">
        <v>6793</v>
      </c>
      <c r="U684">
        <v>0</v>
      </c>
      <c r="V684" t="s">
        <v>6833</v>
      </c>
      <c r="Y684" t="s">
        <v>7525</v>
      </c>
      <c r="AB684">
        <v>0</v>
      </c>
      <c r="AE684">
        <v>0</v>
      </c>
      <c r="AF684">
        <v>2</v>
      </c>
      <c r="AG684">
        <v>0</v>
      </c>
      <c r="AH684">
        <v>0</v>
      </c>
      <c r="AK684" t="s">
        <v>10966</v>
      </c>
      <c r="AL684">
        <v>0</v>
      </c>
      <c r="AM684" t="s">
        <v>11029</v>
      </c>
      <c r="AR684">
        <v>0</v>
      </c>
      <c r="AT684" t="s">
        <v>139</v>
      </c>
      <c r="AV684" t="s">
        <v>11231</v>
      </c>
      <c r="AW684" t="s">
        <v>11124</v>
      </c>
    </row>
    <row r="685" spans="1:49">
      <c r="A685" s="1">
        <f>HYPERLINK("https://lsnyc.legalserver.org/matter/dynamic-profile/view/1905610","19-1905610")</f>
        <v>0</v>
      </c>
      <c r="B685" t="s">
        <v>108</v>
      </c>
      <c r="C685" t="s">
        <v>505</v>
      </c>
      <c r="D685" t="s">
        <v>1717</v>
      </c>
      <c r="E685" t="s">
        <v>3731</v>
      </c>
      <c r="F685" t="s">
        <v>5158</v>
      </c>
      <c r="G685" t="s">
        <v>5635</v>
      </c>
      <c r="H685">
        <v>10468</v>
      </c>
      <c r="I685" t="s">
        <v>5697</v>
      </c>
      <c r="J685" t="s">
        <v>5696</v>
      </c>
      <c r="M685" t="s">
        <v>6732</v>
      </c>
      <c r="O685" t="s">
        <v>6763</v>
      </c>
      <c r="R685" t="s">
        <v>6793</v>
      </c>
      <c r="U685">
        <v>0</v>
      </c>
      <c r="V685" t="s">
        <v>6833</v>
      </c>
      <c r="Y685" t="s">
        <v>7526</v>
      </c>
      <c r="AB685">
        <v>0</v>
      </c>
      <c r="AE685">
        <v>0</v>
      </c>
      <c r="AF685">
        <v>1</v>
      </c>
      <c r="AG685">
        <v>0</v>
      </c>
      <c r="AH685">
        <v>286.65</v>
      </c>
      <c r="AK685" t="s">
        <v>10966</v>
      </c>
      <c r="AL685">
        <v>35802</v>
      </c>
      <c r="AR685">
        <v>0</v>
      </c>
      <c r="AT685" t="s">
        <v>139</v>
      </c>
      <c r="AV685" t="s">
        <v>11231</v>
      </c>
      <c r="AW685" t="s">
        <v>6819</v>
      </c>
    </row>
    <row r="686" spans="1:49">
      <c r="A686" s="1">
        <f>HYPERLINK("https://lsnyc.legalserver.org/matter/dynamic-profile/view/1901315","19-1901315")</f>
        <v>0</v>
      </c>
      <c r="B686" t="s">
        <v>196</v>
      </c>
      <c r="C686" t="s">
        <v>824</v>
      </c>
      <c r="D686" t="s">
        <v>1757</v>
      </c>
      <c r="E686" t="s">
        <v>3732</v>
      </c>
      <c r="G686" t="s">
        <v>5635</v>
      </c>
      <c r="H686">
        <v>10458</v>
      </c>
      <c r="I686" t="s">
        <v>5695</v>
      </c>
      <c r="J686" t="s">
        <v>5696</v>
      </c>
      <c r="M686" t="s">
        <v>6732</v>
      </c>
      <c r="O686" t="s">
        <v>6747</v>
      </c>
      <c r="R686" t="s">
        <v>6793</v>
      </c>
      <c r="U686">
        <v>0</v>
      </c>
      <c r="V686" t="s">
        <v>6833</v>
      </c>
      <c r="Y686" t="s">
        <v>7527</v>
      </c>
      <c r="AB686">
        <v>0</v>
      </c>
      <c r="AE686">
        <v>0</v>
      </c>
      <c r="AF686">
        <v>1</v>
      </c>
      <c r="AG686">
        <v>3</v>
      </c>
      <c r="AH686">
        <v>118.94</v>
      </c>
      <c r="AK686" t="s">
        <v>10966</v>
      </c>
      <c r="AL686">
        <v>30628</v>
      </c>
      <c r="AM686" t="s">
        <v>11046</v>
      </c>
      <c r="AR686">
        <v>0</v>
      </c>
      <c r="AT686" t="s">
        <v>139</v>
      </c>
      <c r="AU686" t="s">
        <v>11228</v>
      </c>
      <c r="AV686" t="s">
        <v>11231</v>
      </c>
      <c r="AW686" t="s">
        <v>11148</v>
      </c>
    </row>
    <row r="687" spans="1:49">
      <c r="A687" s="1">
        <f>HYPERLINK("https://lsnyc.legalserver.org/matter/dynamic-profile/view/1905465","19-1905465")</f>
        <v>0</v>
      </c>
      <c r="B687" t="s">
        <v>117</v>
      </c>
      <c r="C687" t="s">
        <v>825</v>
      </c>
      <c r="D687" t="s">
        <v>2149</v>
      </c>
      <c r="E687" t="s">
        <v>3733</v>
      </c>
      <c r="F687" t="s">
        <v>5121</v>
      </c>
      <c r="G687" t="s">
        <v>5637</v>
      </c>
      <c r="H687">
        <v>11204</v>
      </c>
      <c r="I687" t="s">
        <v>5696</v>
      </c>
      <c r="J687" t="s">
        <v>5696</v>
      </c>
      <c r="M687" t="s">
        <v>6732</v>
      </c>
      <c r="O687" t="s">
        <v>6754</v>
      </c>
      <c r="R687" t="s">
        <v>6795</v>
      </c>
      <c r="U687">
        <v>0</v>
      </c>
      <c r="V687" t="s">
        <v>6835</v>
      </c>
      <c r="Y687" t="s">
        <v>7528</v>
      </c>
      <c r="AB687">
        <v>0</v>
      </c>
      <c r="AE687">
        <v>0</v>
      </c>
      <c r="AF687">
        <v>1</v>
      </c>
      <c r="AG687">
        <v>0</v>
      </c>
      <c r="AH687">
        <v>240.19</v>
      </c>
      <c r="AK687" t="s">
        <v>10969</v>
      </c>
      <c r="AL687">
        <v>30000</v>
      </c>
      <c r="AR687">
        <v>1.5</v>
      </c>
      <c r="AS687" t="s">
        <v>6819</v>
      </c>
      <c r="AT687" t="s">
        <v>117</v>
      </c>
      <c r="AV687" t="s">
        <v>11231</v>
      </c>
      <c r="AW687" t="s">
        <v>6822</v>
      </c>
    </row>
    <row r="688" spans="1:49">
      <c r="A688" s="1">
        <f>HYPERLINK("https://lsnyc.legalserver.org/matter/dynamic-profile/view/1899052","19-1899052")</f>
        <v>0</v>
      </c>
      <c r="B688" t="s">
        <v>150</v>
      </c>
      <c r="C688" t="s">
        <v>826</v>
      </c>
      <c r="D688" t="s">
        <v>2150</v>
      </c>
      <c r="E688" t="s">
        <v>3734</v>
      </c>
      <c r="G688" t="s">
        <v>5636</v>
      </c>
      <c r="H688">
        <v>10309</v>
      </c>
      <c r="I688" t="s">
        <v>5696</v>
      </c>
      <c r="J688" t="s">
        <v>5696</v>
      </c>
      <c r="M688" t="s">
        <v>6732</v>
      </c>
      <c r="O688" t="s">
        <v>6754</v>
      </c>
      <c r="R688" t="s">
        <v>6799</v>
      </c>
      <c r="U688">
        <v>0</v>
      </c>
      <c r="V688" t="s">
        <v>6834</v>
      </c>
      <c r="Y688" t="s">
        <v>7529</v>
      </c>
      <c r="AB688">
        <v>0</v>
      </c>
      <c r="AE688">
        <v>0</v>
      </c>
      <c r="AF688">
        <v>2</v>
      </c>
      <c r="AG688">
        <v>0</v>
      </c>
      <c r="AH688">
        <v>316.97</v>
      </c>
      <c r="AK688" t="s">
        <v>10969</v>
      </c>
      <c r="AL688">
        <v>53600</v>
      </c>
      <c r="AR688">
        <v>5.7</v>
      </c>
      <c r="AS688" t="s">
        <v>10953</v>
      </c>
      <c r="AT688" t="s">
        <v>54</v>
      </c>
      <c r="AV688" t="s">
        <v>11231</v>
      </c>
      <c r="AW688" t="s">
        <v>11146</v>
      </c>
    </row>
    <row r="689" spans="1:49">
      <c r="A689" s="1">
        <f>HYPERLINK("https://lsnyc.legalserver.org/matter/dynamic-profile/view/1901632","19-1901632")</f>
        <v>0</v>
      </c>
      <c r="B689" t="s">
        <v>231</v>
      </c>
      <c r="C689" t="s">
        <v>827</v>
      </c>
      <c r="D689" t="s">
        <v>2151</v>
      </c>
      <c r="E689" t="s">
        <v>3735</v>
      </c>
      <c r="G689" t="s">
        <v>5637</v>
      </c>
      <c r="H689">
        <v>11216</v>
      </c>
      <c r="I689" t="s">
        <v>5695</v>
      </c>
      <c r="J689" t="s">
        <v>5696</v>
      </c>
      <c r="M689" t="s">
        <v>6732</v>
      </c>
      <c r="O689" t="s">
        <v>6755</v>
      </c>
      <c r="R689" t="s">
        <v>6793</v>
      </c>
      <c r="T689" t="s">
        <v>6811</v>
      </c>
      <c r="U689">
        <v>0</v>
      </c>
      <c r="V689" t="s">
        <v>6835</v>
      </c>
      <c r="Y689" t="s">
        <v>7530</v>
      </c>
      <c r="AB689">
        <v>0</v>
      </c>
      <c r="AE689">
        <v>0</v>
      </c>
      <c r="AF689">
        <v>4</v>
      </c>
      <c r="AG689">
        <v>0</v>
      </c>
      <c r="AH689">
        <v>100.97</v>
      </c>
      <c r="AL689">
        <v>26000</v>
      </c>
      <c r="AR689">
        <v>0.8</v>
      </c>
      <c r="AS689" t="s">
        <v>11124</v>
      </c>
      <c r="AT689" t="s">
        <v>11178</v>
      </c>
      <c r="AU689" t="s">
        <v>11228</v>
      </c>
      <c r="AV689" t="s">
        <v>11231</v>
      </c>
      <c r="AW689" t="s">
        <v>11124</v>
      </c>
    </row>
    <row r="690" spans="1:49">
      <c r="A690" s="1">
        <f>HYPERLINK("https://lsnyc.legalserver.org/matter/dynamic-profile/view/1903576","19-1903576")</f>
        <v>0</v>
      </c>
      <c r="B690" t="s">
        <v>117</v>
      </c>
      <c r="C690" t="s">
        <v>828</v>
      </c>
      <c r="D690" t="s">
        <v>2152</v>
      </c>
      <c r="E690" t="s">
        <v>3736</v>
      </c>
      <c r="G690" t="s">
        <v>5637</v>
      </c>
      <c r="H690">
        <v>11220</v>
      </c>
      <c r="I690" t="s">
        <v>5696</v>
      </c>
      <c r="J690" t="s">
        <v>5696</v>
      </c>
      <c r="M690" t="s">
        <v>6732</v>
      </c>
      <c r="O690" t="s">
        <v>6756</v>
      </c>
      <c r="R690" t="s">
        <v>6795</v>
      </c>
      <c r="U690">
        <v>0</v>
      </c>
      <c r="V690" t="s">
        <v>6835</v>
      </c>
      <c r="Y690" t="s">
        <v>7531</v>
      </c>
      <c r="AB690">
        <v>0</v>
      </c>
      <c r="AE690">
        <v>0</v>
      </c>
      <c r="AF690">
        <v>1</v>
      </c>
      <c r="AG690">
        <v>0</v>
      </c>
      <c r="AH690">
        <v>192.15</v>
      </c>
      <c r="AL690">
        <v>24000</v>
      </c>
      <c r="AR690">
        <v>1</v>
      </c>
      <c r="AS690" t="s">
        <v>11147</v>
      </c>
      <c r="AT690" t="s">
        <v>117</v>
      </c>
      <c r="AV690" t="s">
        <v>11231</v>
      </c>
      <c r="AW690" t="s">
        <v>11147</v>
      </c>
    </row>
    <row r="691" spans="1:49">
      <c r="A691" s="1">
        <f>HYPERLINK("https://lsnyc.legalserver.org/matter/dynamic-profile/view/1903174","19-1903174")</f>
        <v>0</v>
      </c>
      <c r="B691" t="s">
        <v>117</v>
      </c>
      <c r="C691" t="s">
        <v>829</v>
      </c>
      <c r="D691" t="s">
        <v>2153</v>
      </c>
      <c r="E691" t="s">
        <v>3737</v>
      </c>
      <c r="F691" t="s">
        <v>5345</v>
      </c>
      <c r="G691" t="s">
        <v>5637</v>
      </c>
      <c r="H691">
        <v>11235</v>
      </c>
      <c r="I691" t="s">
        <v>5696</v>
      </c>
      <c r="J691" t="s">
        <v>5696</v>
      </c>
      <c r="M691" t="s">
        <v>6732</v>
      </c>
      <c r="O691" t="s">
        <v>6754</v>
      </c>
      <c r="R691" t="s">
        <v>6795</v>
      </c>
      <c r="U691">
        <v>0</v>
      </c>
      <c r="V691" t="s">
        <v>6835</v>
      </c>
      <c r="Y691" t="s">
        <v>7532</v>
      </c>
      <c r="AB691">
        <v>0</v>
      </c>
      <c r="AE691">
        <v>0</v>
      </c>
      <c r="AF691">
        <v>1</v>
      </c>
      <c r="AG691">
        <v>0</v>
      </c>
      <c r="AH691">
        <v>440.35</v>
      </c>
      <c r="AL691">
        <v>55000</v>
      </c>
      <c r="AR691">
        <v>1.5</v>
      </c>
      <c r="AS691" t="s">
        <v>11139</v>
      </c>
      <c r="AT691" t="s">
        <v>117</v>
      </c>
      <c r="AV691" t="s">
        <v>11231</v>
      </c>
      <c r="AW691" t="s">
        <v>10953</v>
      </c>
    </row>
    <row r="692" spans="1:49">
      <c r="A692" s="1">
        <f>HYPERLINK("https://lsnyc.legalserver.org/matter/dynamic-profile/view/1906131","19-1906131")</f>
        <v>0</v>
      </c>
      <c r="B692" t="s">
        <v>209</v>
      </c>
      <c r="C692" t="s">
        <v>663</v>
      </c>
      <c r="D692" t="s">
        <v>2154</v>
      </c>
      <c r="E692" t="s">
        <v>3452</v>
      </c>
      <c r="F692" t="s">
        <v>5280</v>
      </c>
      <c r="G692" t="s">
        <v>5635</v>
      </c>
      <c r="H692">
        <v>10452</v>
      </c>
      <c r="I692" t="s">
        <v>5695</v>
      </c>
      <c r="J692" t="s">
        <v>5696</v>
      </c>
      <c r="L692" t="s">
        <v>6711</v>
      </c>
      <c r="M692" t="s">
        <v>6733</v>
      </c>
      <c r="O692" t="s">
        <v>6745</v>
      </c>
      <c r="P692" t="s">
        <v>5697</v>
      </c>
      <c r="R692" t="s">
        <v>6793</v>
      </c>
      <c r="U692">
        <v>1191</v>
      </c>
      <c r="V692" t="s">
        <v>6833</v>
      </c>
      <c r="W692" t="s">
        <v>6842</v>
      </c>
      <c r="Y692" t="s">
        <v>7533</v>
      </c>
      <c r="AA692" t="s">
        <v>9603</v>
      </c>
      <c r="AB692">
        <v>0</v>
      </c>
      <c r="AE692">
        <v>20</v>
      </c>
      <c r="AF692">
        <v>1</v>
      </c>
      <c r="AG692">
        <v>0</v>
      </c>
      <c r="AH692">
        <v>96.08</v>
      </c>
      <c r="AK692" t="s">
        <v>10966</v>
      </c>
      <c r="AL692">
        <v>12000</v>
      </c>
      <c r="AR692">
        <v>0.5</v>
      </c>
      <c r="AS692" t="s">
        <v>6820</v>
      </c>
      <c r="AT692" t="s">
        <v>209</v>
      </c>
      <c r="AU692" t="s">
        <v>11228</v>
      </c>
      <c r="AV692" t="s">
        <v>11231</v>
      </c>
      <c r="AW692" t="s">
        <v>6820</v>
      </c>
    </row>
    <row r="693" spans="1:49">
      <c r="A693" s="1">
        <f>HYPERLINK("https://lsnyc.legalserver.org/matter/dynamic-profile/view/1902644","19-1902644")</f>
        <v>0</v>
      </c>
      <c r="B693" t="s">
        <v>136</v>
      </c>
      <c r="C693" t="s">
        <v>830</v>
      </c>
      <c r="D693" t="s">
        <v>2155</v>
      </c>
      <c r="E693" t="s">
        <v>3738</v>
      </c>
      <c r="F693">
        <v>3</v>
      </c>
      <c r="G693" t="s">
        <v>5637</v>
      </c>
      <c r="H693">
        <v>11217</v>
      </c>
      <c r="I693" t="s">
        <v>5695</v>
      </c>
      <c r="J693" t="s">
        <v>5696</v>
      </c>
      <c r="L693" t="s">
        <v>6711</v>
      </c>
      <c r="M693" t="s">
        <v>6733</v>
      </c>
      <c r="O693" t="s">
        <v>6753</v>
      </c>
      <c r="R693" t="s">
        <v>6793</v>
      </c>
      <c r="U693">
        <v>800</v>
      </c>
      <c r="V693" t="s">
        <v>6835</v>
      </c>
      <c r="W693" t="s">
        <v>6841</v>
      </c>
      <c r="Y693" t="s">
        <v>7534</v>
      </c>
      <c r="AA693" t="s">
        <v>9604</v>
      </c>
      <c r="AB693">
        <v>4</v>
      </c>
      <c r="AC693" t="s">
        <v>10936</v>
      </c>
      <c r="AE693">
        <v>52</v>
      </c>
      <c r="AF693">
        <v>1</v>
      </c>
      <c r="AG693">
        <v>0</v>
      </c>
      <c r="AH693">
        <v>230.58</v>
      </c>
      <c r="AK693" t="s">
        <v>10966</v>
      </c>
      <c r="AL693">
        <v>28800</v>
      </c>
      <c r="AR693">
        <v>7.65</v>
      </c>
      <c r="AS693" t="s">
        <v>6821</v>
      </c>
      <c r="AT693" t="s">
        <v>136</v>
      </c>
      <c r="AV693" t="s">
        <v>11231</v>
      </c>
      <c r="AW693" t="s">
        <v>11137</v>
      </c>
    </row>
    <row r="694" spans="1:49">
      <c r="A694" s="1">
        <f>HYPERLINK("https://lsnyc.legalserver.org/matter/dynamic-profile/view/1902685","19-1902685")</f>
        <v>0</v>
      </c>
      <c r="B694" t="s">
        <v>186</v>
      </c>
      <c r="C694" t="s">
        <v>489</v>
      </c>
      <c r="D694" t="s">
        <v>2156</v>
      </c>
      <c r="E694" t="s">
        <v>3739</v>
      </c>
      <c r="F694" t="s">
        <v>5240</v>
      </c>
      <c r="G694" t="s">
        <v>5649</v>
      </c>
      <c r="H694">
        <v>11385</v>
      </c>
      <c r="I694" t="s">
        <v>5696</v>
      </c>
      <c r="J694" t="s">
        <v>5696</v>
      </c>
      <c r="L694" t="s">
        <v>6711</v>
      </c>
      <c r="M694" t="s">
        <v>6733</v>
      </c>
      <c r="O694" t="s">
        <v>6752</v>
      </c>
      <c r="Q694" t="s">
        <v>6745</v>
      </c>
      <c r="R694" t="s">
        <v>6793</v>
      </c>
      <c r="U694">
        <v>204</v>
      </c>
      <c r="V694" t="s">
        <v>6837</v>
      </c>
      <c r="W694" t="s">
        <v>6843</v>
      </c>
      <c r="Y694" t="s">
        <v>7535</v>
      </c>
      <c r="AA694" t="s">
        <v>9605</v>
      </c>
      <c r="AB694">
        <v>0</v>
      </c>
      <c r="AC694" t="s">
        <v>10936</v>
      </c>
      <c r="AD694" t="s">
        <v>5741</v>
      </c>
      <c r="AE694">
        <v>52</v>
      </c>
      <c r="AF694">
        <v>2</v>
      </c>
      <c r="AG694">
        <v>1</v>
      </c>
      <c r="AH694">
        <v>121.89</v>
      </c>
      <c r="AK694" t="s">
        <v>10966</v>
      </c>
      <c r="AL694">
        <v>26000</v>
      </c>
      <c r="AR694">
        <v>0.6</v>
      </c>
      <c r="AS694" t="s">
        <v>11136</v>
      </c>
      <c r="AT694" t="s">
        <v>11184</v>
      </c>
      <c r="AV694" t="s">
        <v>11231</v>
      </c>
      <c r="AW694" t="s">
        <v>11137</v>
      </c>
    </row>
    <row r="695" spans="1:49">
      <c r="A695" s="1">
        <f>HYPERLINK("https://lsnyc.legalserver.org/matter/dynamic-profile/view/1903853","19-1903853")</f>
        <v>0</v>
      </c>
      <c r="B695" t="s">
        <v>175</v>
      </c>
      <c r="C695" t="s">
        <v>631</v>
      </c>
      <c r="D695" t="s">
        <v>1825</v>
      </c>
      <c r="E695" t="s">
        <v>3740</v>
      </c>
      <c r="F695">
        <v>1</v>
      </c>
      <c r="G695" t="s">
        <v>5637</v>
      </c>
      <c r="H695">
        <v>11233</v>
      </c>
      <c r="I695" t="s">
        <v>5695</v>
      </c>
      <c r="J695" t="s">
        <v>5696</v>
      </c>
      <c r="K695" t="s">
        <v>5936</v>
      </c>
      <c r="L695" t="s">
        <v>6712</v>
      </c>
      <c r="M695" t="s">
        <v>6733</v>
      </c>
      <c r="O695" t="s">
        <v>6745</v>
      </c>
      <c r="P695" t="s">
        <v>5697</v>
      </c>
      <c r="R695" t="s">
        <v>6795</v>
      </c>
      <c r="T695" t="s">
        <v>6825</v>
      </c>
      <c r="U695">
        <v>650</v>
      </c>
      <c r="V695" t="s">
        <v>6835</v>
      </c>
      <c r="W695" t="s">
        <v>6843</v>
      </c>
      <c r="Y695" t="s">
        <v>7536</v>
      </c>
      <c r="AA695" t="s">
        <v>9606</v>
      </c>
      <c r="AB695">
        <v>3</v>
      </c>
      <c r="AC695" t="s">
        <v>10930</v>
      </c>
      <c r="AE695">
        <v>4</v>
      </c>
      <c r="AF695">
        <v>2</v>
      </c>
      <c r="AG695">
        <v>0</v>
      </c>
      <c r="AH695">
        <v>59.04</v>
      </c>
      <c r="AK695" t="s">
        <v>10966</v>
      </c>
      <c r="AL695">
        <v>9984</v>
      </c>
      <c r="AR695">
        <v>1.1</v>
      </c>
      <c r="AS695" t="s">
        <v>6814</v>
      </c>
      <c r="AT695" t="s">
        <v>11185</v>
      </c>
      <c r="AU695" t="s">
        <v>11228</v>
      </c>
      <c r="AV695" t="s">
        <v>11231</v>
      </c>
      <c r="AW695" t="s">
        <v>6807</v>
      </c>
    </row>
    <row r="696" spans="1:49">
      <c r="A696" s="1">
        <f>HYPERLINK("https://lsnyc.legalserver.org/matter/dynamic-profile/view/1905468","19-1905468")</f>
        <v>0</v>
      </c>
      <c r="B696" t="s">
        <v>68</v>
      </c>
      <c r="C696" t="s">
        <v>831</v>
      </c>
      <c r="D696" t="s">
        <v>1251</v>
      </c>
      <c r="E696" t="s">
        <v>3741</v>
      </c>
      <c r="F696" t="s">
        <v>5283</v>
      </c>
      <c r="G696" t="s">
        <v>5637</v>
      </c>
      <c r="H696">
        <v>11233</v>
      </c>
      <c r="I696" t="s">
        <v>5695</v>
      </c>
      <c r="J696" t="s">
        <v>5696</v>
      </c>
      <c r="K696" t="s">
        <v>5937</v>
      </c>
      <c r="L696" t="s">
        <v>6712</v>
      </c>
      <c r="M696" t="s">
        <v>6733</v>
      </c>
      <c r="O696" t="s">
        <v>6754</v>
      </c>
      <c r="R696" t="s">
        <v>6793</v>
      </c>
      <c r="U696">
        <v>650</v>
      </c>
      <c r="V696" t="s">
        <v>6835</v>
      </c>
      <c r="Y696" t="s">
        <v>7537</v>
      </c>
      <c r="AA696" t="s">
        <v>9607</v>
      </c>
      <c r="AB696">
        <v>3</v>
      </c>
      <c r="AC696" t="s">
        <v>8953</v>
      </c>
      <c r="AE696">
        <v>4</v>
      </c>
      <c r="AF696">
        <v>1</v>
      </c>
      <c r="AG696">
        <v>0</v>
      </c>
      <c r="AH696">
        <v>0</v>
      </c>
      <c r="AK696" t="s">
        <v>10966</v>
      </c>
      <c r="AL696">
        <v>0</v>
      </c>
      <c r="AR696">
        <v>4.75</v>
      </c>
      <c r="AS696" t="s">
        <v>6820</v>
      </c>
      <c r="AT696" t="s">
        <v>11198</v>
      </c>
      <c r="AU696" t="s">
        <v>11228</v>
      </c>
      <c r="AV696" t="s">
        <v>11231</v>
      </c>
      <c r="AW696" t="s">
        <v>6822</v>
      </c>
    </row>
    <row r="697" spans="1:49">
      <c r="A697" s="1">
        <f>HYPERLINK("https://lsnyc.legalserver.org/matter/dynamic-profile/view/1905377","19-1905377")</f>
        <v>0</v>
      </c>
      <c r="B697" t="s">
        <v>79</v>
      </c>
      <c r="C697" t="s">
        <v>832</v>
      </c>
      <c r="D697" t="s">
        <v>1757</v>
      </c>
      <c r="E697" t="s">
        <v>3742</v>
      </c>
      <c r="F697" t="s">
        <v>5098</v>
      </c>
      <c r="G697" t="s">
        <v>5673</v>
      </c>
      <c r="H697">
        <v>11420</v>
      </c>
      <c r="I697" t="s">
        <v>5696</v>
      </c>
      <c r="J697" t="s">
        <v>5696</v>
      </c>
      <c r="K697" t="s">
        <v>5938</v>
      </c>
      <c r="L697" t="s">
        <v>6712</v>
      </c>
      <c r="M697" t="s">
        <v>6733</v>
      </c>
      <c r="O697" t="s">
        <v>6745</v>
      </c>
      <c r="P697" t="s">
        <v>5697</v>
      </c>
      <c r="R697" t="s">
        <v>6793</v>
      </c>
      <c r="S697" t="s">
        <v>6802</v>
      </c>
      <c r="U697">
        <v>2000</v>
      </c>
      <c r="V697" t="s">
        <v>6837</v>
      </c>
      <c r="W697" t="s">
        <v>6840</v>
      </c>
      <c r="Y697" t="s">
        <v>7538</v>
      </c>
      <c r="AA697" t="s">
        <v>9608</v>
      </c>
      <c r="AB697">
        <v>0</v>
      </c>
      <c r="AC697" t="s">
        <v>10930</v>
      </c>
      <c r="AD697" t="s">
        <v>6841</v>
      </c>
      <c r="AE697">
        <v>0</v>
      </c>
      <c r="AF697">
        <v>2</v>
      </c>
      <c r="AG697">
        <v>3</v>
      </c>
      <c r="AH697">
        <v>23.86</v>
      </c>
      <c r="AK697" t="s">
        <v>10966</v>
      </c>
      <c r="AL697">
        <v>7200</v>
      </c>
      <c r="AR697">
        <v>1.8</v>
      </c>
      <c r="AS697" t="s">
        <v>6826</v>
      </c>
      <c r="AT697" t="s">
        <v>232</v>
      </c>
      <c r="AV697" t="s">
        <v>11231</v>
      </c>
      <c r="AW697" t="s">
        <v>6828</v>
      </c>
    </row>
    <row r="698" spans="1:49">
      <c r="A698" s="1">
        <f>HYPERLINK("https://lsnyc.legalserver.org/matter/dynamic-profile/view/1903729","19-1903729")</f>
        <v>0</v>
      </c>
      <c r="B698" t="s">
        <v>108</v>
      </c>
      <c r="C698" t="s">
        <v>833</v>
      </c>
      <c r="D698" t="s">
        <v>1944</v>
      </c>
      <c r="E698" t="s">
        <v>3743</v>
      </c>
      <c r="F698" t="s">
        <v>5118</v>
      </c>
      <c r="G698" t="s">
        <v>5635</v>
      </c>
      <c r="H698">
        <v>10451</v>
      </c>
      <c r="I698" t="s">
        <v>5695</v>
      </c>
      <c r="J698" t="s">
        <v>5696</v>
      </c>
      <c r="K698" t="s">
        <v>5939</v>
      </c>
      <c r="L698" t="s">
        <v>6712</v>
      </c>
      <c r="M698" t="s">
        <v>6733</v>
      </c>
      <c r="O698" t="s">
        <v>6747</v>
      </c>
      <c r="P698" t="s">
        <v>5697</v>
      </c>
      <c r="R698" t="s">
        <v>6793</v>
      </c>
      <c r="S698" t="s">
        <v>6805</v>
      </c>
      <c r="U698">
        <v>0</v>
      </c>
      <c r="V698" t="s">
        <v>6833</v>
      </c>
      <c r="W698" t="s">
        <v>6839</v>
      </c>
      <c r="Y698" t="s">
        <v>7539</v>
      </c>
      <c r="AA698" t="s">
        <v>9609</v>
      </c>
      <c r="AB698">
        <v>7</v>
      </c>
      <c r="AC698" t="s">
        <v>10929</v>
      </c>
      <c r="AD698" t="s">
        <v>5741</v>
      </c>
      <c r="AE698">
        <v>40</v>
      </c>
      <c r="AF698">
        <v>1</v>
      </c>
      <c r="AG698">
        <v>0</v>
      </c>
      <c r="AH698">
        <v>0</v>
      </c>
      <c r="AK698" t="s">
        <v>10967</v>
      </c>
      <c r="AL698">
        <v>0</v>
      </c>
      <c r="AR698">
        <v>1.8</v>
      </c>
      <c r="AS698" t="s">
        <v>6819</v>
      </c>
      <c r="AT698" t="s">
        <v>11179</v>
      </c>
      <c r="AU698" t="s">
        <v>11228</v>
      </c>
      <c r="AV698" t="s">
        <v>11231</v>
      </c>
      <c r="AW698" t="s">
        <v>6811</v>
      </c>
    </row>
    <row r="699" spans="1:49">
      <c r="A699" s="1">
        <f>HYPERLINK("https://lsnyc.legalserver.org/matter/dynamic-profile/view/1900051","19-1900051")</f>
        <v>0</v>
      </c>
      <c r="B699" t="s">
        <v>186</v>
      </c>
      <c r="C699" t="s">
        <v>834</v>
      </c>
      <c r="D699" t="s">
        <v>2157</v>
      </c>
      <c r="E699" t="s">
        <v>3744</v>
      </c>
      <c r="F699" t="s">
        <v>5118</v>
      </c>
      <c r="G699" t="s">
        <v>5658</v>
      </c>
      <c r="H699">
        <v>11417</v>
      </c>
      <c r="I699" t="s">
        <v>5695</v>
      </c>
      <c r="J699" t="s">
        <v>5696</v>
      </c>
      <c r="K699" t="s">
        <v>5940</v>
      </c>
      <c r="L699" t="s">
        <v>6712</v>
      </c>
      <c r="M699" t="s">
        <v>6733</v>
      </c>
      <c r="O699" t="s">
        <v>6750</v>
      </c>
      <c r="P699" t="s">
        <v>5697</v>
      </c>
      <c r="R699" t="s">
        <v>6793</v>
      </c>
      <c r="U699">
        <v>1150</v>
      </c>
      <c r="V699" t="s">
        <v>6837</v>
      </c>
      <c r="W699" t="s">
        <v>6840</v>
      </c>
      <c r="Y699" t="s">
        <v>7540</v>
      </c>
      <c r="AA699" t="s">
        <v>9610</v>
      </c>
      <c r="AB699">
        <v>1</v>
      </c>
      <c r="AC699" t="s">
        <v>10930</v>
      </c>
      <c r="AD699" t="s">
        <v>5741</v>
      </c>
      <c r="AE699">
        <v>4</v>
      </c>
      <c r="AF699">
        <v>1</v>
      </c>
      <c r="AG699">
        <v>0</v>
      </c>
      <c r="AH699">
        <v>0</v>
      </c>
      <c r="AK699" t="s">
        <v>10966</v>
      </c>
      <c r="AL699">
        <v>0</v>
      </c>
      <c r="AR699">
        <v>2.15</v>
      </c>
      <c r="AS699" t="s">
        <v>11144</v>
      </c>
      <c r="AT699" t="s">
        <v>11184</v>
      </c>
      <c r="AU699" t="s">
        <v>11228</v>
      </c>
      <c r="AV699" t="s">
        <v>11231</v>
      </c>
      <c r="AW699" t="s">
        <v>10957</v>
      </c>
    </row>
    <row r="700" spans="1:49">
      <c r="A700" s="1">
        <f>HYPERLINK("https://lsnyc.legalserver.org/matter/dynamic-profile/view/1903861","19-1903861")</f>
        <v>0</v>
      </c>
      <c r="B700" t="s">
        <v>80</v>
      </c>
      <c r="C700" t="s">
        <v>835</v>
      </c>
      <c r="D700" t="s">
        <v>2158</v>
      </c>
      <c r="E700" t="s">
        <v>3745</v>
      </c>
      <c r="G700" t="s">
        <v>5647</v>
      </c>
      <c r="H700">
        <v>11691</v>
      </c>
      <c r="I700" t="s">
        <v>5695</v>
      </c>
      <c r="J700" t="s">
        <v>5696</v>
      </c>
      <c r="K700" t="s">
        <v>5738</v>
      </c>
      <c r="L700" t="s">
        <v>6712</v>
      </c>
      <c r="M700" t="s">
        <v>6733</v>
      </c>
      <c r="O700" t="s">
        <v>6745</v>
      </c>
      <c r="P700" t="s">
        <v>5697</v>
      </c>
      <c r="R700" t="s">
        <v>6793</v>
      </c>
      <c r="S700" t="s">
        <v>6801</v>
      </c>
      <c r="U700">
        <v>1300</v>
      </c>
      <c r="V700" t="s">
        <v>6837</v>
      </c>
      <c r="W700" t="s">
        <v>6842</v>
      </c>
      <c r="Y700" t="s">
        <v>7541</v>
      </c>
      <c r="Z700" t="s">
        <v>5741</v>
      </c>
      <c r="AB700">
        <v>2</v>
      </c>
      <c r="AC700" t="s">
        <v>10930</v>
      </c>
      <c r="AD700" t="s">
        <v>5741</v>
      </c>
      <c r="AE700">
        <v>-1</v>
      </c>
      <c r="AF700">
        <v>1</v>
      </c>
      <c r="AG700">
        <v>1</v>
      </c>
      <c r="AH700">
        <v>206.98</v>
      </c>
      <c r="AK700" t="s">
        <v>10966</v>
      </c>
      <c r="AL700">
        <v>35000</v>
      </c>
      <c r="AR700">
        <v>2.75</v>
      </c>
      <c r="AS700" t="s">
        <v>6810</v>
      </c>
      <c r="AT700" t="s">
        <v>11188</v>
      </c>
      <c r="AU700" t="s">
        <v>11228</v>
      </c>
      <c r="AV700" t="s">
        <v>11231</v>
      </c>
      <c r="AW700" t="s">
        <v>6807</v>
      </c>
    </row>
    <row r="701" spans="1:49">
      <c r="A701" s="1">
        <f>HYPERLINK("https://lsnyc.legalserver.org/matter/dynamic-profile/view/1906350","19-1906350")</f>
        <v>0</v>
      </c>
      <c r="B701" t="s">
        <v>85</v>
      </c>
      <c r="C701" t="s">
        <v>697</v>
      </c>
      <c r="D701" t="s">
        <v>2159</v>
      </c>
      <c r="E701" t="s">
        <v>3746</v>
      </c>
      <c r="F701" t="s">
        <v>5160</v>
      </c>
      <c r="G701" t="s">
        <v>5637</v>
      </c>
      <c r="H701">
        <v>11204</v>
      </c>
      <c r="I701" t="s">
        <v>5696</v>
      </c>
      <c r="J701" t="s">
        <v>5696</v>
      </c>
      <c r="L701" t="s">
        <v>6712</v>
      </c>
      <c r="M701" t="s">
        <v>6733</v>
      </c>
      <c r="O701" t="s">
        <v>6787</v>
      </c>
      <c r="R701" t="s">
        <v>6793</v>
      </c>
      <c r="U701">
        <v>0</v>
      </c>
      <c r="V701" t="s">
        <v>6835</v>
      </c>
      <c r="Y701" t="s">
        <v>7542</v>
      </c>
      <c r="AB701">
        <v>0</v>
      </c>
      <c r="AC701" t="s">
        <v>10929</v>
      </c>
      <c r="AD701" t="s">
        <v>5741</v>
      </c>
      <c r="AE701">
        <v>0</v>
      </c>
      <c r="AF701">
        <v>1</v>
      </c>
      <c r="AG701">
        <v>0</v>
      </c>
      <c r="AH701">
        <v>115.29</v>
      </c>
      <c r="AK701" t="s">
        <v>10969</v>
      </c>
      <c r="AL701">
        <v>14400</v>
      </c>
      <c r="AR701">
        <v>0</v>
      </c>
      <c r="AT701" t="s">
        <v>85</v>
      </c>
      <c r="AV701" t="s">
        <v>11231</v>
      </c>
      <c r="AW701" t="s">
        <v>6827</v>
      </c>
    </row>
    <row r="702" spans="1:49">
      <c r="A702" s="1">
        <f>HYPERLINK("https://lsnyc.legalserver.org/matter/dynamic-profile/view/1903978","19-1903978")</f>
        <v>0</v>
      </c>
      <c r="B702" t="s">
        <v>184</v>
      </c>
      <c r="C702" t="s">
        <v>836</v>
      </c>
      <c r="D702" t="s">
        <v>1641</v>
      </c>
      <c r="E702" t="s">
        <v>3747</v>
      </c>
      <c r="F702" t="s">
        <v>5276</v>
      </c>
      <c r="G702" t="s">
        <v>5652</v>
      </c>
      <c r="H702">
        <v>11692</v>
      </c>
      <c r="I702" t="s">
        <v>5695</v>
      </c>
      <c r="J702" t="s">
        <v>5696</v>
      </c>
      <c r="K702" t="s">
        <v>5941</v>
      </c>
      <c r="L702" t="s">
        <v>6713</v>
      </c>
      <c r="M702" t="s">
        <v>6733</v>
      </c>
      <c r="O702" t="s">
        <v>6745</v>
      </c>
      <c r="P702" t="s">
        <v>5697</v>
      </c>
      <c r="R702" t="s">
        <v>6793</v>
      </c>
      <c r="U702">
        <v>2206</v>
      </c>
      <c r="V702" t="s">
        <v>6837</v>
      </c>
      <c r="W702" t="s">
        <v>6840</v>
      </c>
      <c r="Y702" t="s">
        <v>7543</v>
      </c>
      <c r="AA702" t="s">
        <v>9611</v>
      </c>
      <c r="AB702">
        <v>3</v>
      </c>
      <c r="AC702" t="s">
        <v>10930</v>
      </c>
      <c r="AE702">
        <v>5</v>
      </c>
      <c r="AF702">
        <v>1</v>
      </c>
      <c r="AG702">
        <v>3</v>
      </c>
      <c r="AH702">
        <v>35.14</v>
      </c>
      <c r="AK702" t="s">
        <v>10966</v>
      </c>
      <c r="AL702">
        <v>9048</v>
      </c>
      <c r="AR702">
        <v>1.2</v>
      </c>
      <c r="AS702" t="s">
        <v>6825</v>
      </c>
      <c r="AT702" t="s">
        <v>184</v>
      </c>
      <c r="AU702" t="s">
        <v>11228</v>
      </c>
      <c r="AV702" t="s">
        <v>11231</v>
      </c>
      <c r="AW702" t="s">
        <v>6825</v>
      </c>
    </row>
    <row r="703" spans="1:49">
      <c r="A703" s="1">
        <f>HYPERLINK("https://lsnyc.legalserver.org/matter/dynamic-profile/view/1904747","19-1904747")</f>
        <v>0</v>
      </c>
      <c r="B703" t="s">
        <v>68</v>
      </c>
      <c r="C703" t="s">
        <v>354</v>
      </c>
      <c r="D703" t="s">
        <v>2160</v>
      </c>
      <c r="E703" t="s">
        <v>3748</v>
      </c>
      <c r="F703" t="s">
        <v>5346</v>
      </c>
      <c r="G703" t="s">
        <v>5637</v>
      </c>
      <c r="H703">
        <v>11226</v>
      </c>
      <c r="I703" t="s">
        <v>5695</v>
      </c>
      <c r="J703" t="s">
        <v>5696</v>
      </c>
      <c r="L703" t="s">
        <v>5740</v>
      </c>
      <c r="M703" t="s">
        <v>6733</v>
      </c>
      <c r="O703" t="s">
        <v>6748</v>
      </c>
      <c r="R703" t="s">
        <v>6793</v>
      </c>
      <c r="U703">
        <v>0</v>
      </c>
      <c r="V703" t="s">
        <v>6835</v>
      </c>
      <c r="Y703" t="s">
        <v>7544</v>
      </c>
      <c r="AA703" t="s">
        <v>9612</v>
      </c>
      <c r="AB703">
        <v>0</v>
      </c>
      <c r="AE703">
        <v>0</v>
      </c>
      <c r="AF703">
        <v>2</v>
      </c>
      <c r="AG703">
        <v>4</v>
      </c>
      <c r="AH703">
        <v>196.59</v>
      </c>
      <c r="AK703" t="s">
        <v>10966</v>
      </c>
      <c r="AL703">
        <v>68000</v>
      </c>
      <c r="AR703">
        <v>1.25</v>
      </c>
      <c r="AS703" t="s">
        <v>6810</v>
      </c>
      <c r="AT703" t="s">
        <v>68</v>
      </c>
      <c r="AV703" t="s">
        <v>11231</v>
      </c>
      <c r="AW703" t="s">
        <v>6809</v>
      </c>
    </row>
    <row r="704" spans="1:49">
      <c r="A704" s="1">
        <f>HYPERLINK("https://lsnyc.legalserver.org/matter/dynamic-profile/view/1906138","19-1906138")</f>
        <v>0</v>
      </c>
      <c r="B704" t="s">
        <v>214</v>
      </c>
      <c r="C704" t="s">
        <v>837</v>
      </c>
      <c r="D704" t="s">
        <v>2161</v>
      </c>
      <c r="E704" t="s">
        <v>3749</v>
      </c>
      <c r="F704" t="s">
        <v>5347</v>
      </c>
      <c r="G704" t="s">
        <v>5637</v>
      </c>
      <c r="H704">
        <v>11216</v>
      </c>
      <c r="I704" t="s">
        <v>5695</v>
      </c>
      <c r="J704" t="s">
        <v>5696</v>
      </c>
      <c r="K704" t="s">
        <v>5740</v>
      </c>
      <c r="L704" t="s">
        <v>5740</v>
      </c>
      <c r="M704" t="s">
        <v>6733</v>
      </c>
      <c r="O704" t="s">
        <v>6745</v>
      </c>
      <c r="P704" t="s">
        <v>5695</v>
      </c>
      <c r="R704" t="s">
        <v>6793</v>
      </c>
      <c r="S704" t="s">
        <v>6801</v>
      </c>
      <c r="T704" t="s">
        <v>6820</v>
      </c>
      <c r="U704">
        <v>0</v>
      </c>
      <c r="V704" t="s">
        <v>6835</v>
      </c>
      <c r="W704" t="s">
        <v>6850</v>
      </c>
      <c r="Y704" t="s">
        <v>7545</v>
      </c>
      <c r="Z704" t="s">
        <v>5773</v>
      </c>
      <c r="AA704" t="s">
        <v>9613</v>
      </c>
      <c r="AB704">
        <v>82</v>
      </c>
      <c r="AC704" t="s">
        <v>10929</v>
      </c>
      <c r="AD704" t="s">
        <v>5741</v>
      </c>
      <c r="AE704">
        <v>1</v>
      </c>
      <c r="AF704">
        <v>2</v>
      </c>
      <c r="AG704">
        <v>0</v>
      </c>
      <c r="AH704">
        <v>236.55</v>
      </c>
      <c r="AJ704" t="s">
        <v>10963</v>
      </c>
      <c r="AK704" t="s">
        <v>10966</v>
      </c>
      <c r="AL704">
        <v>40000</v>
      </c>
      <c r="AR704">
        <v>0</v>
      </c>
      <c r="AT704" t="s">
        <v>69</v>
      </c>
      <c r="AU704" t="s">
        <v>11228</v>
      </c>
      <c r="AV704" t="s">
        <v>11231</v>
      </c>
      <c r="AW704" t="s">
        <v>6820</v>
      </c>
    </row>
    <row r="705" spans="1:49">
      <c r="A705" s="1">
        <f>HYPERLINK("https://lsnyc.legalserver.org/matter/dynamic-profile/view/1898548","19-1898548")</f>
        <v>0</v>
      </c>
      <c r="B705" t="s">
        <v>209</v>
      </c>
      <c r="C705" t="s">
        <v>569</v>
      </c>
      <c r="D705" t="s">
        <v>2162</v>
      </c>
      <c r="E705" t="s">
        <v>3750</v>
      </c>
      <c r="F705" t="s">
        <v>5348</v>
      </c>
      <c r="G705" t="s">
        <v>5635</v>
      </c>
      <c r="H705">
        <v>10473</v>
      </c>
      <c r="I705" t="s">
        <v>5695</v>
      </c>
      <c r="J705" t="s">
        <v>5697</v>
      </c>
      <c r="L705" t="s">
        <v>5740</v>
      </c>
      <c r="M705" t="s">
        <v>6733</v>
      </c>
      <c r="O705" t="s">
        <v>6747</v>
      </c>
      <c r="P705" t="s">
        <v>5697</v>
      </c>
      <c r="R705" t="s">
        <v>6795</v>
      </c>
      <c r="U705">
        <v>286</v>
      </c>
      <c r="V705" t="s">
        <v>6833</v>
      </c>
      <c r="W705" t="s">
        <v>6841</v>
      </c>
      <c r="Y705" t="s">
        <v>7546</v>
      </c>
      <c r="AA705" t="s">
        <v>9614</v>
      </c>
      <c r="AB705">
        <v>0</v>
      </c>
      <c r="AC705" t="s">
        <v>10931</v>
      </c>
      <c r="AE705">
        <v>7</v>
      </c>
      <c r="AF705">
        <v>1</v>
      </c>
      <c r="AG705">
        <v>0</v>
      </c>
      <c r="AH705">
        <v>98.95999999999999</v>
      </c>
      <c r="AK705" t="s">
        <v>10967</v>
      </c>
      <c r="AL705">
        <v>12360</v>
      </c>
      <c r="AM705" t="s">
        <v>11049</v>
      </c>
      <c r="AR705">
        <v>9.800000000000001</v>
      </c>
      <c r="AS705" t="s">
        <v>6821</v>
      </c>
      <c r="AT705" t="s">
        <v>209</v>
      </c>
      <c r="AV705" t="s">
        <v>11231</v>
      </c>
      <c r="AW705" t="s">
        <v>11123</v>
      </c>
    </row>
    <row r="706" spans="1:49">
      <c r="A706" s="1">
        <f>HYPERLINK("https://lsnyc.legalserver.org/matter/dynamic-profile/view/1900667","19-1900667")</f>
        <v>0</v>
      </c>
      <c r="B706" t="s">
        <v>68</v>
      </c>
      <c r="C706" t="s">
        <v>838</v>
      </c>
      <c r="D706" t="s">
        <v>1717</v>
      </c>
      <c r="E706" t="s">
        <v>3751</v>
      </c>
      <c r="G706" t="s">
        <v>5636</v>
      </c>
      <c r="H706">
        <v>10305</v>
      </c>
      <c r="I706" t="s">
        <v>5696</v>
      </c>
      <c r="J706" t="s">
        <v>5696</v>
      </c>
      <c r="L706" t="s">
        <v>5740</v>
      </c>
      <c r="M706" t="s">
        <v>6733</v>
      </c>
      <c r="O706" t="s">
        <v>6756</v>
      </c>
      <c r="R706" t="s">
        <v>6795</v>
      </c>
      <c r="U706">
        <v>0</v>
      </c>
      <c r="V706" t="s">
        <v>6835</v>
      </c>
      <c r="Y706" t="s">
        <v>7547</v>
      </c>
      <c r="AA706" t="s">
        <v>9615</v>
      </c>
      <c r="AB706">
        <v>0</v>
      </c>
      <c r="AE706">
        <v>0</v>
      </c>
      <c r="AF706">
        <v>1</v>
      </c>
      <c r="AG706">
        <v>0</v>
      </c>
      <c r="AH706">
        <v>163.33</v>
      </c>
      <c r="AK706" t="s">
        <v>10967</v>
      </c>
      <c r="AL706">
        <v>20400</v>
      </c>
      <c r="AR706">
        <v>1.25</v>
      </c>
      <c r="AS706" t="s">
        <v>11172</v>
      </c>
      <c r="AT706" t="s">
        <v>68</v>
      </c>
      <c r="AV706" t="s">
        <v>11231</v>
      </c>
      <c r="AW706" t="s">
        <v>6895</v>
      </c>
    </row>
    <row r="707" spans="1:49">
      <c r="A707" s="1">
        <f>HYPERLINK("https://lsnyc.legalserver.org/matter/dynamic-profile/view/1903006","19-1903006")</f>
        <v>0</v>
      </c>
      <c r="B707" t="s">
        <v>85</v>
      </c>
      <c r="C707" t="s">
        <v>491</v>
      </c>
      <c r="D707" t="s">
        <v>2163</v>
      </c>
      <c r="E707" t="s">
        <v>3752</v>
      </c>
      <c r="F707" t="s">
        <v>5349</v>
      </c>
      <c r="G707" t="s">
        <v>5662</v>
      </c>
      <c r="H707">
        <v>11368</v>
      </c>
      <c r="I707" t="s">
        <v>5696</v>
      </c>
      <c r="J707" t="s">
        <v>5696</v>
      </c>
      <c r="L707" t="s">
        <v>5740</v>
      </c>
      <c r="M707" t="s">
        <v>6733</v>
      </c>
      <c r="O707" t="s">
        <v>6754</v>
      </c>
      <c r="R707" t="s">
        <v>6795</v>
      </c>
      <c r="U707">
        <v>0</v>
      </c>
      <c r="V707" t="s">
        <v>6835</v>
      </c>
      <c r="Y707" t="s">
        <v>7548</v>
      </c>
      <c r="AA707" t="s">
        <v>9616</v>
      </c>
      <c r="AB707">
        <v>0</v>
      </c>
      <c r="AC707" t="s">
        <v>10929</v>
      </c>
      <c r="AD707" t="s">
        <v>5741</v>
      </c>
      <c r="AE707">
        <v>0</v>
      </c>
      <c r="AF707">
        <v>1</v>
      </c>
      <c r="AG707">
        <v>0</v>
      </c>
      <c r="AH707">
        <v>79.06999999999999</v>
      </c>
      <c r="AK707" t="s">
        <v>10969</v>
      </c>
      <c r="AL707">
        <v>9876</v>
      </c>
      <c r="AR707">
        <v>0.75</v>
      </c>
      <c r="AS707" t="s">
        <v>11138</v>
      </c>
      <c r="AT707" t="s">
        <v>85</v>
      </c>
      <c r="AV707" t="s">
        <v>11231</v>
      </c>
      <c r="AW707" t="s">
        <v>11138</v>
      </c>
    </row>
    <row r="708" spans="1:49">
      <c r="A708" s="1">
        <f>HYPERLINK("https://lsnyc.legalserver.org/matter/dynamic-profile/view/1904943","19-1904943")</f>
        <v>0</v>
      </c>
      <c r="B708" t="s">
        <v>232</v>
      </c>
      <c r="C708" t="s">
        <v>839</v>
      </c>
      <c r="D708" t="s">
        <v>2164</v>
      </c>
      <c r="E708" t="s">
        <v>3753</v>
      </c>
      <c r="F708" t="s">
        <v>5144</v>
      </c>
      <c r="G708" t="s">
        <v>5665</v>
      </c>
      <c r="H708">
        <v>11377</v>
      </c>
      <c r="I708" t="s">
        <v>5695</v>
      </c>
      <c r="J708" t="s">
        <v>5696</v>
      </c>
      <c r="L708" t="s">
        <v>5740</v>
      </c>
      <c r="M708" t="s">
        <v>6733</v>
      </c>
      <c r="O708" t="s">
        <v>6757</v>
      </c>
      <c r="P708" t="s">
        <v>5697</v>
      </c>
      <c r="R708" t="s">
        <v>6794</v>
      </c>
      <c r="T708" t="s">
        <v>6812</v>
      </c>
      <c r="U708">
        <v>400</v>
      </c>
      <c r="V708" t="s">
        <v>6837</v>
      </c>
      <c r="Y708" t="s">
        <v>7549</v>
      </c>
      <c r="AA708" t="s">
        <v>9617</v>
      </c>
      <c r="AB708">
        <v>0</v>
      </c>
      <c r="AC708" t="s">
        <v>10931</v>
      </c>
      <c r="AE708">
        <v>-1</v>
      </c>
      <c r="AF708">
        <v>1</v>
      </c>
      <c r="AG708">
        <v>2</v>
      </c>
      <c r="AH708">
        <v>124.67</v>
      </c>
      <c r="AK708" t="s">
        <v>10966</v>
      </c>
      <c r="AL708">
        <v>26592</v>
      </c>
      <c r="AR708">
        <v>1.45</v>
      </c>
      <c r="AS708" t="s">
        <v>6820</v>
      </c>
      <c r="AT708" t="s">
        <v>232</v>
      </c>
      <c r="AV708" t="s">
        <v>11231</v>
      </c>
      <c r="AW708" t="s">
        <v>6812</v>
      </c>
    </row>
    <row r="709" spans="1:49">
      <c r="A709" s="1">
        <f>HYPERLINK("https://lsnyc.legalserver.org/matter/dynamic-profile/view/1906028","19-1906028")</f>
        <v>0</v>
      </c>
      <c r="B709" t="s">
        <v>68</v>
      </c>
      <c r="C709" t="s">
        <v>500</v>
      </c>
      <c r="D709" t="s">
        <v>2165</v>
      </c>
      <c r="E709" t="s">
        <v>3754</v>
      </c>
      <c r="F709" t="s">
        <v>5240</v>
      </c>
      <c r="G709" t="s">
        <v>5637</v>
      </c>
      <c r="H709">
        <v>11215</v>
      </c>
      <c r="I709" t="s">
        <v>5696</v>
      </c>
      <c r="J709" t="s">
        <v>5696</v>
      </c>
      <c r="L709" t="s">
        <v>5740</v>
      </c>
      <c r="M709" t="s">
        <v>6733</v>
      </c>
      <c r="O709" t="s">
        <v>6756</v>
      </c>
      <c r="R709" t="s">
        <v>6795</v>
      </c>
      <c r="U709">
        <v>1052</v>
      </c>
      <c r="V709" t="s">
        <v>6835</v>
      </c>
      <c r="Y709" t="s">
        <v>7550</v>
      </c>
      <c r="AA709" t="s">
        <v>9618</v>
      </c>
      <c r="AB709">
        <v>0</v>
      </c>
      <c r="AC709" t="s">
        <v>10929</v>
      </c>
      <c r="AE709">
        <v>12</v>
      </c>
      <c r="AF709">
        <v>2</v>
      </c>
      <c r="AG709">
        <v>1</v>
      </c>
      <c r="AH709">
        <v>229.72</v>
      </c>
      <c r="AK709" t="s">
        <v>10967</v>
      </c>
      <c r="AL709">
        <v>49000</v>
      </c>
      <c r="AR709">
        <v>1.5</v>
      </c>
      <c r="AS709" t="s">
        <v>6826</v>
      </c>
      <c r="AT709" t="s">
        <v>68</v>
      </c>
      <c r="AV709" t="s">
        <v>11231</v>
      </c>
      <c r="AW709" t="s">
        <v>6826</v>
      </c>
    </row>
    <row r="710" spans="1:49">
      <c r="A710" s="1">
        <f>HYPERLINK("https://lsnyc.legalserver.org/matter/dynamic-profile/view/1903768","19-1903768")</f>
        <v>0</v>
      </c>
      <c r="B710" t="s">
        <v>84</v>
      </c>
      <c r="C710" t="s">
        <v>840</v>
      </c>
      <c r="D710" t="s">
        <v>1657</v>
      </c>
      <c r="E710" t="s">
        <v>3755</v>
      </c>
      <c r="F710" t="s">
        <v>5109</v>
      </c>
      <c r="G710" t="s">
        <v>5637</v>
      </c>
      <c r="H710">
        <v>11207</v>
      </c>
      <c r="I710" t="s">
        <v>5697</v>
      </c>
      <c r="J710" t="s">
        <v>5696</v>
      </c>
      <c r="L710" t="s">
        <v>5740</v>
      </c>
      <c r="M710" t="s">
        <v>6733</v>
      </c>
      <c r="O710" t="s">
        <v>6745</v>
      </c>
      <c r="P710" t="s">
        <v>5697</v>
      </c>
      <c r="R710" t="s">
        <v>6793</v>
      </c>
      <c r="S710" t="s">
        <v>6801</v>
      </c>
      <c r="T710" t="s">
        <v>6811</v>
      </c>
      <c r="U710">
        <v>1515</v>
      </c>
      <c r="V710" t="s">
        <v>6835</v>
      </c>
      <c r="W710" t="s">
        <v>6843</v>
      </c>
      <c r="Y710" t="s">
        <v>7551</v>
      </c>
      <c r="AA710" t="s">
        <v>9619</v>
      </c>
      <c r="AB710">
        <v>4</v>
      </c>
      <c r="AC710" t="s">
        <v>10930</v>
      </c>
      <c r="AD710" t="s">
        <v>10950</v>
      </c>
      <c r="AE710">
        <v>1</v>
      </c>
      <c r="AF710">
        <v>1</v>
      </c>
      <c r="AG710">
        <v>2</v>
      </c>
      <c r="AH710">
        <v>112.52</v>
      </c>
      <c r="AL710">
        <v>24000</v>
      </c>
      <c r="AR710">
        <v>4.05</v>
      </c>
      <c r="AS710" t="s">
        <v>6808</v>
      </c>
      <c r="AT710" t="s">
        <v>84</v>
      </c>
      <c r="AV710" t="s">
        <v>11231</v>
      </c>
      <c r="AW710" t="s">
        <v>6811</v>
      </c>
    </row>
    <row r="711" spans="1:49">
      <c r="A711" s="1">
        <f>HYPERLINK("https://lsnyc.legalserver.org/matter/dynamic-profile/view/1904463","19-1904463")</f>
        <v>0</v>
      </c>
      <c r="B711" t="s">
        <v>56</v>
      </c>
      <c r="C711" t="s">
        <v>841</v>
      </c>
      <c r="D711" t="s">
        <v>662</v>
      </c>
      <c r="E711" t="s">
        <v>3756</v>
      </c>
      <c r="F711" t="s">
        <v>5350</v>
      </c>
      <c r="G711" t="s">
        <v>5637</v>
      </c>
      <c r="H711">
        <v>11238</v>
      </c>
      <c r="I711" t="s">
        <v>5696</v>
      </c>
      <c r="J711" t="s">
        <v>5696</v>
      </c>
      <c r="L711" t="s">
        <v>5740</v>
      </c>
      <c r="M711" t="s">
        <v>6733</v>
      </c>
      <c r="O711" t="s">
        <v>6786</v>
      </c>
      <c r="R711" t="s">
        <v>6793</v>
      </c>
      <c r="U711">
        <v>0</v>
      </c>
      <c r="V711" t="s">
        <v>6835</v>
      </c>
      <c r="Y711" t="s">
        <v>7552</v>
      </c>
      <c r="AA711" t="s">
        <v>9620</v>
      </c>
      <c r="AB711">
        <v>0</v>
      </c>
      <c r="AE711">
        <v>0</v>
      </c>
      <c r="AF711">
        <v>1</v>
      </c>
      <c r="AG711">
        <v>0</v>
      </c>
      <c r="AH711">
        <v>146.04</v>
      </c>
      <c r="AK711" t="s">
        <v>10966</v>
      </c>
      <c r="AL711">
        <v>18240</v>
      </c>
      <c r="AR711">
        <v>3.3</v>
      </c>
      <c r="AS711" t="s">
        <v>6826</v>
      </c>
      <c r="AT711" t="s">
        <v>11190</v>
      </c>
      <c r="AV711" t="s">
        <v>11231</v>
      </c>
      <c r="AW711" t="s">
        <v>6815</v>
      </c>
    </row>
    <row r="712" spans="1:49">
      <c r="A712" s="1">
        <f>HYPERLINK("https://lsnyc.legalserver.org/matter/dynamic-profile/view/1898841","19-1898841")</f>
        <v>0</v>
      </c>
      <c r="B712" t="s">
        <v>233</v>
      </c>
      <c r="C712" t="s">
        <v>842</v>
      </c>
      <c r="D712" t="s">
        <v>2166</v>
      </c>
      <c r="E712" t="s">
        <v>3757</v>
      </c>
      <c r="G712" t="s">
        <v>5644</v>
      </c>
      <c r="H712">
        <v>11433</v>
      </c>
      <c r="I712" t="s">
        <v>5697</v>
      </c>
      <c r="J712" t="s">
        <v>5697</v>
      </c>
      <c r="L712" t="s">
        <v>5740</v>
      </c>
      <c r="M712" t="s">
        <v>6733</v>
      </c>
      <c r="O712" t="s">
        <v>6746</v>
      </c>
      <c r="P712" t="s">
        <v>5697</v>
      </c>
      <c r="R712" t="s">
        <v>6796</v>
      </c>
      <c r="U712">
        <v>0</v>
      </c>
      <c r="V712" t="s">
        <v>6835</v>
      </c>
      <c r="Y712" t="s">
        <v>7553</v>
      </c>
      <c r="AA712" t="s">
        <v>9621</v>
      </c>
      <c r="AB712">
        <v>0</v>
      </c>
      <c r="AD712" t="s">
        <v>10944</v>
      </c>
      <c r="AE712">
        <v>0</v>
      </c>
      <c r="AF712">
        <v>1</v>
      </c>
      <c r="AG712">
        <v>0</v>
      </c>
      <c r="AH712">
        <v>144.88</v>
      </c>
      <c r="AK712" t="s">
        <v>10966</v>
      </c>
      <c r="AL712">
        <v>18096</v>
      </c>
      <c r="AR712">
        <v>3</v>
      </c>
      <c r="AS712" t="s">
        <v>11117</v>
      </c>
      <c r="AT712" t="s">
        <v>233</v>
      </c>
      <c r="AV712" t="s">
        <v>11231</v>
      </c>
      <c r="AW712" t="s">
        <v>10959</v>
      </c>
    </row>
    <row r="713" spans="1:49">
      <c r="A713" s="1">
        <f>HYPERLINK("https://lsnyc.legalserver.org/matter/dynamic-profile/view/1904206","19-1904206")</f>
        <v>0</v>
      </c>
      <c r="B713" t="s">
        <v>234</v>
      </c>
      <c r="C713" t="s">
        <v>843</v>
      </c>
      <c r="D713" t="s">
        <v>1857</v>
      </c>
      <c r="E713" t="s">
        <v>3758</v>
      </c>
      <c r="F713" t="s">
        <v>5180</v>
      </c>
      <c r="G713" t="s">
        <v>5638</v>
      </c>
      <c r="H713">
        <v>10024</v>
      </c>
      <c r="I713" t="s">
        <v>5695</v>
      </c>
      <c r="J713" t="s">
        <v>5696</v>
      </c>
      <c r="L713" t="s">
        <v>5740</v>
      </c>
      <c r="M713" t="s">
        <v>6733</v>
      </c>
      <c r="O713" t="s">
        <v>6745</v>
      </c>
      <c r="P713" t="s">
        <v>5697</v>
      </c>
      <c r="R713" t="s">
        <v>6793</v>
      </c>
      <c r="S713" t="s">
        <v>6801</v>
      </c>
      <c r="T713" t="s">
        <v>6818</v>
      </c>
      <c r="U713">
        <v>1300</v>
      </c>
      <c r="V713" t="s">
        <v>6836</v>
      </c>
      <c r="W713" t="s">
        <v>6845</v>
      </c>
      <c r="Y713" t="s">
        <v>7554</v>
      </c>
      <c r="AA713" t="s">
        <v>9622</v>
      </c>
      <c r="AB713">
        <v>10</v>
      </c>
      <c r="AC713" t="s">
        <v>10929</v>
      </c>
      <c r="AD713" t="s">
        <v>5741</v>
      </c>
      <c r="AE713">
        <v>30</v>
      </c>
      <c r="AF713">
        <v>2</v>
      </c>
      <c r="AG713">
        <v>0</v>
      </c>
      <c r="AH713">
        <v>532.23</v>
      </c>
      <c r="AK713" t="s">
        <v>10966</v>
      </c>
      <c r="AL713">
        <v>90000</v>
      </c>
      <c r="AR713">
        <v>11</v>
      </c>
      <c r="AS713" t="s">
        <v>6808</v>
      </c>
      <c r="AT713" t="s">
        <v>11219</v>
      </c>
      <c r="AU713" t="s">
        <v>11228</v>
      </c>
      <c r="AV713" t="s">
        <v>11231</v>
      </c>
      <c r="AW713" t="s">
        <v>6818</v>
      </c>
    </row>
    <row r="714" spans="1:49">
      <c r="A714" s="1">
        <f>HYPERLINK("https://lsnyc.legalserver.org/matter/dynamic-profile/view/1903459","19-1903459")</f>
        <v>0</v>
      </c>
      <c r="B714" t="s">
        <v>85</v>
      </c>
      <c r="C714" t="s">
        <v>844</v>
      </c>
      <c r="D714" t="s">
        <v>2167</v>
      </c>
      <c r="E714" t="s">
        <v>3759</v>
      </c>
      <c r="F714" t="s">
        <v>5351</v>
      </c>
      <c r="G714" t="s">
        <v>5637</v>
      </c>
      <c r="H714">
        <v>11206</v>
      </c>
      <c r="I714" t="s">
        <v>5696</v>
      </c>
      <c r="J714" t="s">
        <v>5696</v>
      </c>
      <c r="L714" t="s">
        <v>5740</v>
      </c>
      <c r="M714" t="s">
        <v>6733</v>
      </c>
      <c r="O714" t="s">
        <v>6754</v>
      </c>
      <c r="R714" t="s">
        <v>6795</v>
      </c>
      <c r="U714">
        <v>0</v>
      </c>
      <c r="V714" t="s">
        <v>6835</v>
      </c>
      <c r="Y714" t="s">
        <v>7555</v>
      </c>
      <c r="AA714" t="s">
        <v>9623</v>
      </c>
      <c r="AB714">
        <v>0</v>
      </c>
      <c r="AC714" t="s">
        <v>10929</v>
      </c>
      <c r="AD714" t="s">
        <v>10945</v>
      </c>
      <c r="AE714">
        <v>0</v>
      </c>
      <c r="AF714">
        <v>2</v>
      </c>
      <c r="AG714">
        <v>0</v>
      </c>
      <c r="AH714">
        <v>103.61</v>
      </c>
      <c r="AK714" t="s">
        <v>10966</v>
      </c>
      <c r="AL714">
        <v>17520</v>
      </c>
      <c r="AR714">
        <v>2.5</v>
      </c>
      <c r="AS714" t="s">
        <v>6824</v>
      </c>
      <c r="AT714" t="s">
        <v>85</v>
      </c>
      <c r="AV714" t="s">
        <v>11231</v>
      </c>
      <c r="AW714" t="s">
        <v>11136</v>
      </c>
    </row>
    <row r="715" spans="1:49">
      <c r="A715" s="1">
        <f>HYPERLINK("https://lsnyc.legalserver.org/matter/dynamic-profile/view/1903123","19-1903123")</f>
        <v>0</v>
      </c>
      <c r="B715" t="s">
        <v>85</v>
      </c>
      <c r="C715" t="s">
        <v>735</v>
      </c>
      <c r="D715" t="s">
        <v>2056</v>
      </c>
      <c r="E715" t="s">
        <v>3598</v>
      </c>
      <c r="F715" t="s">
        <v>5305</v>
      </c>
      <c r="G715" t="s">
        <v>5637</v>
      </c>
      <c r="H715">
        <v>11235</v>
      </c>
      <c r="I715" t="s">
        <v>5696</v>
      </c>
      <c r="J715" t="s">
        <v>5696</v>
      </c>
      <c r="L715" t="s">
        <v>5740</v>
      </c>
      <c r="M715" t="s">
        <v>6733</v>
      </c>
      <c r="O715" t="s">
        <v>6754</v>
      </c>
      <c r="R715" t="s">
        <v>6795</v>
      </c>
      <c r="U715">
        <v>0</v>
      </c>
      <c r="V715" t="s">
        <v>6835</v>
      </c>
      <c r="Y715" t="s">
        <v>7391</v>
      </c>
      <c r="AA715" t="s">
        <v>9499</v>
      </c>
      <c r="AB715">
        <v>0</v>
      </c>
      <c r="AC715" t="s">
        <v>10929</v>
      </c>
      <c r="AD715" t="s">
        <v>10945</v>
      </c>
      <c r="AE715">
        <v>0</v>
      </c>
      <c r="AF715">
        <v>1</v>
      </c>
      <c r="AG715">
        <v>0</v>
      </c>
      <c r="AH715">
        <v>85.51000000000001</v>
      </c>
      <c r="AK715" t="s">
        <v>10969</v>
      </c>
      <c r="AL715">
        <v>10680</v>
      </c>
      <c r="AR715">
        <v>2</v>
      </c>
      <c r="AS715" t="s">
        <v>10953</v>
      </c>
      <c r="AT715" t="s">
        <v>85</v>
      </c>
      <c r="AV715" t="s">
        <v>11231</v>
      </c>
      <c r="AW715" t="s">
        <v>11138</v>
      </c>
    </row>
    <row r="716" spans="1:49">
      <c r="A716" s="1">
        <f>HYPERLINK("https://lsnyc.legalserver.org/matter/dynamic-profile/view/1897329","19-1897329")</f>
        <v>0</v>
      </c>
      <c r="B716" t="s">
        <v>85</v>
      </c>
      <c r="C716" t="s">
        <v>845</v>
      </c>
      <c r="D716" t="s">
        <v>2168</v>
      </c>
      <c r="E716" t="s">
        <v>3760</v>
      </c>
      <c r="F716" t="s">
        <v>5233</v>
      </c>
      <c r="G716" t="s">
        <v>5637</v>
      </c>
      <c r="H716">
        <v>11204</v>
      </c>
      <c r="I716" t="s">
        <v>5696</v>
      </c>
      <c r="J716" t="s">
        <v>5696</v>
      </c>
      <c r="L716" t="s">
        <v>5740</v>
      </c>
      <c r="M716" t="s">
        <v>6733</v>
      </c>
      <c r="O716" t="s">
        <v>6754</v>
      </c>
      <c r="R716" t="s">
        <v>6795</v>
      </c>
      <c r="U716">
        <v>0</v>
      </c>
      <c r="V716" t="s">
        <v>6835</v>
      </c>
      <c r="Y716" t="s">
        <v>7556</v>
      </c>
      <c r="AA716" t="s">
        <v>9624</v>
      </c>
      <c r="AB716">
        <v>0</v>
      </c>
      <c r="AD716" t="s">
        <v>10945</v>
      </c>
      <c r="AE716">
        <v>0</v>
      </c>
      <c r="AF716">
        <v>2</v>
      </c>
      <c r="AG716">
        <v>0</v>
      </c>
      <c r="AH716">
        <v>61.81</v>
      </c>
      <c r="AL716">
        <v>10452</v>
      </c>
      <c r="AR716">
        <v>3.25</v>
      </c>
      <c r="AS716" t="s">
        <v>11135</v>
      </c>
      <c r="AT716" t="s">
        <v>85</v>
      </c>
      <c r="AV716" t="s">
        <v>11231</v>
      </c>
      <c r="AW716" t="s">
        <v>11145</v>
      </c>
    </row>
    <row r="717" spans="1:49">
      <c r="A717" s="1">
        <f>HYPERLINK("https://lsnyc.legalserver.org/matter/dynamic-profile/view/1896277","19-1896277")</f>
        <v>0</v>
      </c>
      <c r="B717" t="s">
        <v>117</v>
      </c>
      <c r="C717" t="s">
        <v>676</v>
      </c>
      <c r="D717" t="s">
        <v>2169</v>
      </c>
      <c r="E717" t="s">
        <v>3761</v>
      </c>
      <c r="F717" t="s">
        <v>5128</v>
      </c>
      <c r="G717" t="s">
        <v>5637</v>
      </c>
      <c r="H717">
        <v>11230</v>
      </c>
      <c r="I717" t="s">
        <v>5696</v>
      </c>
      <c r="J717" t="s">
        <v>5696</v>
      </c>
      <c r="L717" t="s">
        <v>5740</v>
      </c>
      <c r="M717" t="s">
        <v>6733</v>
      </c>
      <c r="O717" t="s">
        <v>6754</v>
      </c>
      <c r="R717" t="s">
        <v>6796</v>
      </c>
      <c r="U717">
        <v>0</v>
      </c>
      <c r="V717" t="s">
        <v>6835</v>
      </c>
      <c r="Y717" t="s">
        <v>7557</v>
      </c>
      <c r="AB717">
        <v>0</v>
      </c>
      <c r="AC717" t="s">
        <v>10929</v>
      </c>
      <c r="AD717" t="s">
        <v>10944</v>
      </c>
      <c r="AE717">
        <v>20</v>
      </c>
      <c r="AF717">
        <v>1</v>
      </c>
      <c r="AG717">
        <v>0</v>
      </c>
      <c r="AH717">
        <v>81.67</v>
      </c>
      <c r="AK717" t="s">
        <v>10969</v>
      </c>
      <c r="AL717">
        <v>10200</v>
      </c>
      <c r="AR717">
        <v>10.75</v>
      </c>
      <c r="AS717" t="s">
        <v>6819</v>
      </c>
      <c r="AT717" t="s">
        <v>85</v>
      </c>
      <c r="AV717" t="s">
        <v>11231</v>
      </c>
      <c r="AW717" t="s">
        <v>11167</v>
      </c>
    </row>
    <row r="718" spans="1:49">
      <c r="A718" s="1">
        <f>HYPERLINK("https://lsnyc.legalserver.org/matter/dynamic-profile/view/1904450","19-1904450")</f>
        <v>0</v>
      </c>
      <c r="B718" t="s">
        <v>85</v>
      </c>
      <c r="C718" t="s">
        <v>846</v>
      </c>
      <c r="D718" t="s">
        <v>2170</v>
      </c>
      <c r="E718" t="s">
        <v>3762</v>
      </c>
      <c r="F718" t="s">
        <v>5328</v>
      </c>
      <c r="G718" t="s">
        <v>5637</v>
      </c>
      <c r="H718">
        <v>11230</v>
      </c>
      <c r="I718" t="s">
        <v>5696</v>
      </c>
      <c r="J718" t="s">
        <v>5696</v>
      </c>
      <c r="L718" t="s">
        <v>5740</v>
      </c>
      <c r="M718" t="s">
        <v>6733</v>
      </c>
      <c r="O718" t="s">
        <v>6754</v>
      </c>
      <c r="R718" t="s">
        <v>6795</v>
      </c>
      <c r="U718">
        <v>0</v>
      </c>
      <c r="V718" t="s">
        <v>6835</v>
      </c>
      <c r="Y718" t="s">
        <v>7558</v>
      </c>
      <c r="AB718">
        <v>0</v>
      </c>
      <c r="AC718" t="s">
        <v>10929</v>
      </c>
      <c r="AD718" t="s">
        <v>10945</v>
      </c>
      <c r="AE718">
        <v>0</v>
      </c>
      <c r="AF718">
        <v>1</v>
      </c>
      <c r="AG718">
        <v>0</v>
      </c>
      <c r="AH718">
        <v>82.43000000000001</v>
      </c>
      <c r="AK718" t="s">
        <v>10969</v>
      </c>
      <c r="AL718">
        <v>10296</v>
      </c>
      <c r="AR718">
        <v>3.75</v>
      </c>
      <c r="AS718" t="s">
        <v>6814</v>
      </c>
      <c r="AT718" t="s">
        <v>85</v>
      </c>
      <c r="AV718" t="s">
        <v>11231</v>
      </c>
      <c r="AW718" t="s">
        <v>11136</v>
      </c>
    </row>
    <row r="719" spans="1:49">
      <c r="A719" s="1">
        <f>HYPERLINK("https://lsnyc.legalserver.org/matter/dynamic-profile/view/1902517","19-1902517")</f>
        <v>0</v>
      </c>
      <c r="B719" t="s">
        <v>85</v>
      </c>
      <c r="C719" t="s">
        <v>307</v>
      </c>
      <c r="D719" t="s">
        <v>2171</v>
      </c>
      <c r="E719" t="s">
        <v>3763</v>
      </c>
      <c r="F719">
        <v>612</v>
      </c>
      <c r="G719" t="s">
        <v>5637</v>
      </c>
      <c r="H719">
        <v>11235</v>
      </c>
      <c r="I719" t="s">
        <v>5696</v>
      </c>
      <c r="J719" t="s">
        <v>5696</v>
      </c>
      <c r="L719" t="s">
        <v>5740</v>
      </c>
      <c r="M719" t="s">
        <v>6733</v>
      </c>
      <c r="O719" t="s">
        <v>6754</v>
      </c>
      <c r="R719" t="s">
        <v>6796</v>
      </c>
      <c r="U719">
        <v>0</v>
      </c>
      <c r="V719" t="s">
        <v>6835</v>
      </c>
      <c r="Y719" t="s">
        <v>7559</v>
      </c>
      <c r="AB719">
        <v>0</v>
      </c>
      <c r="AC719" t="s">
        <v>10929</v>
      </c>
      <c r="AD719" t="s">
        <v>10944</v>
      </c>
      <c r="AE719">
        <v>0</v>
      </c>
      <c r="AF719">
        <v>2</v>
      </c>
      <c r="AG719">
        <v>0</v>
      </c>
      <c r="AH719">
        <v>102.4</v>
      </c>
      <c r="AK719" t="s">
        <v>10969</v>
      </c>
      <c r="AL719">
        <v>17316</v>
      </c>
      <c r="AR719">
        <v>1.5</v>
      </c>
      <c r="AS719" t="s">
        <v>11117</v>
      </c>
      <c r="AT719" t="s">
        <v>85</v>
      </c>
      <c r="AV719" t="s">
        <v>11231</v>
      </c>
      <c r="AW719" t="s">
        <v>11117</v>
      </c>
    </row>
    <row r="720" spans="1:49">
      <c r="A720" s="1">
        <f>HYPERLINK("https://lsnyc.legalserver.org/matter/dynamic-profile/view/1905394","19-1905394")</f>
        <v>0</v>
      </c>
      <c r="B720" t="s">
        <v>85</v>
      </c>
      <c r="C720" t="s">
        <v>356</v>
      </c>
      <c r="D720" t="s">
        <v>2172</v>
      </c>
      <c r="E720" t="s">
        <v>3764</v>
      </c>
      <c r="F720" t="s">
        <v>5116</v>
      </c>
      <c r="G720" t="s">
        <v>5637</v>
      </c>
      <c r="H720">
        <v>11201</v>
      </c>
      <c r="I720" t="s">
        <v>5696</v>
      </c>
      <c r="J720" t="s">
        <v>5696</v>
      </c>
      <c r="L720" t="s">
        <v>5740</v>
      </c>
      <c r="M720" t="s">
        <v>6733</v>
      </c>
      <c r="O720" t="s">
        <v>6754</v>
      </c>
      <c r="R720" t="s">
        <v>6795</v>
      </c>
      <c r="U720">
        <v>0</v>
      </c>
      <c r="V720" t="s">
        <v>6835</v>
      </c>
      <c r="Y720" t="s">
        <v>7560</v>
      </c>
      <c r="AB720">
        <v>0</v>
      </c>
      <c r="AC720" t="s">
        <v>10929</v>
      </c>
      <c r="AD720" t="s">
        <v>10945</v>
      </c>
      <c r="AE720">
        <v>0</v>
      </c>
      <c r="AF720">
        <v>1</v>
      </c>
      <c r="AG720">
        <v>0</v>
      </c>
      <c r="AH720">
        <v>76.86</v>
      </c>
      <c r="AL720">
        <v>9600</v>
      </c>
      <c r="AR720">
        <v>2.25</v>
      </c>
      <c r="AS720" t="s">
        <v>6819</v>
      </c>
      <c r="AT720" t="s">
        <v>85</v>
      </c>
      <c r="AV720" t="s">
        <v>11231</v>
      </c>
      <c r="AW720" t="s">
        <v>6814</v>
      </c>
    </row>
    <row r="721" spans="1:49">
      <c r="A721" s="1">
        <f>HYPERLINK("https://lsnyc.legalserver.org/matter/dynamic-profile/view/1899769","19-1899769")</f>
        <v>0</v>
      </c>
      <c r="B721" t="s">
        <v>85</v>
      </c>
      <c r="C721" t="s">
        <v>847</v>
      </c>
      <c r="D721" t="s">
        <v>970</v>
      </c>
      <c r="E721" t="s">
        <v>3765</v>
      </c>
      <c r="F721" t="s">
        <v>5352</v>
      </c>
      <c r="G721" t="s">
        <v>5637</v>
      </c>
      <c r="H721">
        <v>11212</v>
      </c>
      <c r="I721" t="s">
        <v>5696</v>
      </c>
      <c r="J721" t="s">
        <v>5696</v>
      </c>
      <c r="L721" t="s">
        <v>5740</v>
      </c>
      <c r="M721" t="s">
        <v>6733</v>
      </c>
      <c r="O721" t="s">
        <v>6754</v>
      </c>
      <c r="R721" t="s">
        <v>6795</v>
      </c>
      <c r="U721">
        <v>0</v>
      </c>
      <c r="V721" t="s">
        <v>6835</v>
      </c>
      <c r="Y721" t="s">
        <v>7561</v>
      </c>
      <c r="AB721">
        <v>0</v>
      </c>
      <c r="AC721" t="s">
        <v>10929</v>
      </c>
      <c r="AD721" t="s">
        <v>5741</v>
      </c>
      <c r="AE721">
        <v>0</v>
      </c>
      <c r="AF721">
        <v>2</v>
      </c>
      <c r="AG721">
        <v>0</v>
      </c>
      <c r="AH721">
        <v>69.98999999999999</v>
      </c>
      <c r="AL721">
        <v>11836</v>
      </c>
      <c r="AR721">
        <v>3.75</v>
      </c>
      <c r="AS721" t="s">
        <v>6824</v>
      </c>
      <c r="AT721" t="s">
        <v>85</v>
      </c>
      <c r="AV721" t="s">
        <v>11231</v>
      </c>
      <c r="AW721" t="s">
        <v>11146</v>
      </c>
    </row>
    <row r="722" spans="1:49">
      <c r="A722" s="1">
        <f>HYPERLINK("https://lsnyc.legalserver.org/matter/dynamic-profile/view/1905902","19-1905902")</f>
        <v>0</v>
      </c>
      <c r="B722" t="s">
        <v>165</v>
      </c>
      <c r="C722" t="s">
        <v>848</v>
      </c>
      <c r="D722" t="s">
        <v>2173</v>
      </c>
      <c r="E722" t="s">
        <v>3766</v>
      </c>
      <c r="F722" t="s">
        <v>5353</v>
      </c>
      <c r="G722" t="s">
        <v>5637</v>
      </c>
      <c r="H722">
        <v>11213</v>
      </c>
      <c r="I722" t="s">
        <v>5695</v>
      </c>
      <c r="J722" t="s">
        <v>5696</v>
      </c>
      <c r="K722" t="s">
        <v>5738</v>
      </c>
      <c r="L722" t="s">
        <v>6720</v>
      </c>
      <c r="M722" t="s">
        <v>6733</v>
      </c>
      <c r="O722" t="s">
        <v>6745</v>
      </c>
      <c r="P722" t="s">
        <v>5695</v>
      </c>
      <c r="R722" t="s">
        <v>6793</v>
      </c>
      <c r="S722" t="s">
        <v>6801</v>
      </c>
      <c r="U722">
        <v>540</v>
      </c>
      <c r="V722" t="s">
        <v>6835</v>
      </c>
      <c r="W722" t="s">
        <v>6843</v>
      </c>
      <c r="Y722" t="s">
        <v>7562</v>
      </c>
      <c r="Z722" t="s">
        <v>5741</v>
      </c>
      <c r="AA722" t="s">
        <v>9625</v>
      </c>
      <c r="AB722">
        <v>6</v>
      </c>
      <c r="AC722" t="s">
        <v>10929</v>
      </c>
      <c r="AD722" t="s">
        <v>5741</v>
      </c>
      <c r="AE722">
        <v>18</v>
      </c>
      <c r="AF722">
        <v>1</v>
      </c>
      <c r="AG722">
        <v>0</v>
      </c>
      <c r="AH722">
        <v>512.41</v>
      </c>
      <c r="AK722" t="s">
        <v>10966</v>
      </c>
      <c r="AL722">
        <v>64000</v>
      </c>
      <c r="AM722" t="s">
        <v>11050</v>
      </c>
      <c r="AR722">
        <v>0</v>
      </c>
      <c r="AT722" t="s">
        <v>69</v>
      </c>
      <c r="AU722" t="s">
        <v>11228</v>
      </c>
      <c r="AV722" t="s">
        <v>11231</v>
      </c>
      <c r="AW722" t="s">
        <v>6824</v>
      </c>
    </row>
    <row r="723" spans="1:49">
      <c r="A723" s="1">
        <f>HYPERLINK("https://lsnyc.legalserver.org/matter/dynamic-profile/view/1903783","19-1903783")</f>
        <v>0</v>
      </c>
      <c r="B723" t="s">
        <v>214</v>
      </c>
      <c r="C723" t="s">
        <v>849</v>
      </c>
      <c r="D723" t="s">
        <v>2174</v>
      </c>
      <c r="E723" t="s">
        <v>3767</v>
      </c>
      <c r="F723" t="s">
        <v>5099</v>
      </c>
      <c r="G723" t="s">
        <v>5637</v>
      </c>
      <c r="H723">
        <v>11208</v>
      </c>
      <c r="I723" t="s">
        <v>5695</v>
      </c>
      <c r="J723" t="s">
        <v>5696</v>
      </c>
      <c r="K723" t="s">
        <v>5727</v>
      </c>
      <c r="L723" t="s">
        <v>6720</v>
      </c>
      <c r="M723" t="s">
        <v>6733</v>
      </c>
      <c r="O723" t="s">
        <v>6745</v>
      </c>
      <c r="P723" t="s">
        <v>5697</v>
      </c>
      <c r="R723" t="s">
        <v>6793</v>
      </c>
      <c r="S723" t="s">
        <v>6801</v>
      </c>
      <c r="T723" t="s">
        <v>6811</v>
      </c>
      <c r="U723">
        <v>1350</v>
      </c>
      <c r="V723" t="s">
        <v>6835</v>
      </c>
      <c r="W723" t="s">
        <v>6843</v>
      </c>
      <c r="Y723" t="s">
        <v>7563</v>
      </c>
      <c r="Z723" t="s">
        <v>8951</v>
      </c>
      <c r="AA723" t="s">
        <v>9626</v>
      </c>
      <c r="AB723">
        <v>15</v>
      </c>
      <c r="AC723" t="s">
        <v>10929</v>
      </c>
      <c r="AD723" t="s">
        <v>5741</v>
      </c>
      <c r="AE723">
        <v>2</v>
      </c>
      <c r="AF723">
        <v>2</v>
      </c>
      <c r="AG723">
        <v>3</v>
      </c>
      <c r="AH723">
        <v>165.81</v>
      </c>
      <c r="AK723" t="s">
        <v>10966</v>
      </c>
      <c r="AL723">
        <v>50024</v>
      </c>
      <c r="AR723">
        <v>0.1</v>
      </c>
      <c r="AS723" t="s">
        <v>6807</v>
      </c>
      <c r="AT723" t="s">
        <v>69</v>
      </c>
      <c r="AU723" t="s">
        <v>11228</v>
      </c>
      <c r="AV723" t="s">
        <v>11231</v>
      </c>
      <c r="AW723" t="s">
        <v>6811</v>
      </c>
    </row>
    <row r="724" spans="1:49">
      <c r="A724" s="1">
        <f>HYPERLINK("https://lsnyc.legalserver.org/matter/dynamic-profile/view/1905728","19-1905728")</f>
        <v>0</v>
      </c>
      <c r="B724" t="s">
        <v>175</v>
      </c>
      <c r="C724" t="s">
        <v>544</v>
      </c>
      <c r="D724" t="s">
        <v>2175</v>
      </c>
      <c r="E724" t="s">
        <v>3768</v>
      </c>
      <c r="F724" t="s">
        <v>5215</v>
      </c>
      <c r="G724" t="s">
        <v>5637</v>
      </c>
      <c r="H724">
        <v>11233</v>
      </c>
      <c r="I724" t="s">
        <v>5695</v>
      </c>
      <c r="J724" t="s">
        <v>5696</v>
      </c>
      <c r="K724" t="s">
        <v>5727</v>
      </c>
      <c r="L724" t="s">
        <v>6720</v>
      </c>
      <c r="M724" t="s">
        <v>6733</v>
      </c>
      <c r="O724" t="s">
        <v>6745</v>
      </c>
      <c r="P724" t="s">
        <v>5695</v>
      </c>
      <c r="R724" t="s">
        <v>6793</v>
      </c>
      <c r="S724" t="s">
        <v>6801</v>
      </c>
      <c r="U724">
        <v>1200</v>
      </c>
      <c r="V724" t="s">
        <v>6835</v>
      </c>
      <c r="W724" t="s">
        <v>6843</v>
      </c>
      <c r="Y724" t="s">
        <v>7564</v>
      </c>
      <c r="Z724" t="s">
        <v>5741</v>
      </c>
      <c r="AA724" t="s">
        <v>9627</v>
      </c>
      <c r="AB724">
        <v>6</v>
      </c>
      <c r="AC724" t="s">
        <v>10929</v>
      </c>
      <c r="AD724" t="s">
        <v>5741</v>
      </c>
      <c r="AE724">
        <v>6</v>
      </c>
      <c r="AF724">
        <v>1</v>
      </c>
      <c r="AG724">
        <v>0</v>
      </c>
      <c r="AH724">
        <v>464.37</v>
      </c>
      <c r="AK724" t="s">
        <v>10966</v>
      </c>
      <c r="AL724">
        <v>58000</v>
      </c>
      <c r="AM724" t="s">
        <v>11051</v>
      </c>
      <c r="AR724">
        <v>0</v>
      </c>
      <c r="AT724" t="s">
        <v>69</v>
      </c>
      <c r="AU724" t="s">
        <v>11228</v>
      </c>
      <c r="AV724" t="s">
        <v>11231</v>
      </c>
      <c r="AW724" t="s">
        <v>6823</v>
      </c>
    </row>
    <row r="725" spans="1:49">
      <c r="A725" s="1">
        <f>HYPERLINK("https://lsnyc.legalserver.org/matter/dynamic-profile/view/1905731","19-1905731")</f>
        <v>0</v>
      </c>
      <c r="B725" t="s">
        <v>175</v>
      </c>
      <c r="C725" t="s">
        <v>544</v>
      </c>
      <c r="D725" t="s">
        <v>2175</v>
      </c>
      <c r="E725" t="s">
        <v>3768</v>
      </c>
      <c r="F725" t="s">
        <v>5215</v>
      </c>
      <c r="G725" t="s">
        <v>5637</v>
      </c>
      <c r="H725">
        <v>11233</v>
      </c>
      <c r="I725" t="s">
        <v>5695</v>
      </c>
      <c r="J725" t="s">
        <v>5696</v>
      </c>
      <c r="K725" t="s">
        <v>5738</v>
      </c>
      <c r="L725" t="s">
        <v>6720</v>
      </c>
      <c r="M725" t="s">
        <v>6733</v>
      </c>
      <c r="O725" t="s">
        <v>6745</v>
      </c>
      <c r="P725" t="s">
        <v>5695</v>
      </c>
      <c r="R725" t="s">
        <v>6793</v>
      </c>
      <c r="S725" t="s">
        <v>6801</v>
      </c>
      <c r="U725">
        <v>1200</v>
      </c>
      <c r="V725" t="s">
        <v>6835</v>
      </c>
      <c r="W725" t="s">
        <v>6843</v>
      </c>
      <c r="Y725" t="s">
        <v>7564</v>
      </c>
      <c r="Z725" t="s">
        <v>5773</v>
      </c>
      <c r="AA725" t="s">
        <v>9627</v>
      </c>
      <c r="AB725">
        <v>6</v>
      </c>
      <c r="AC725" t="s">
        <v>10929</v>
      </c>
      <c r="AD725" t="s">
        <v>5741</v>
      </c>
      <c r="AE725">
        <v>6</v>
      </c>
      <c r="AF725">
        <v>1</v>
      </c>
      <c r="AG725">
        <v>0</v>
      </c>
      <c r="AH725">
        <v>464.37</v>
      </c>
      <c r="AK725" t="s">
        <v>10966</v>
      </c>
      <c r="AL725">
        <v>58000</v>
      </c>
      <c r="AM725" t="s">
        <v>11051</v>
      </c>
      <c r="AR725">
        <v>0</v>
      </c>
      <c r="AT725" t="s">
        <v>69</v>
      </c>
      <c r="AU725" t="s">
        <v>11228</v>
      </c>
      <c r="AV725" t="s">
        <v>11231</v>
      </c>
      <c r="AW725" t="s">
        <v>6823</v>
      </c>
    </row>
    <row r="726" spans="1:49">
      <c r="A726" s="1">
        <f>HYPERLINK("https://lsnyc.legalserver.org/matter/dynamic-profile/view/1905734","19-1905734")</f>
        <v>0</v>
      </c>
      <c r="B726" t="s">
        <v>175</v>
      </c>
      <c r="C726" t="s">
        <v>544</v>
      </c>
      <c r="D726" t="s">
        <v>2175</v>
      </c>
      <c r="E726" t="s">
        <v>3768</v>
      </c>
      <c r="F726" t="s">
        <v>5215</v>
      </c>
      <c r="G726" t="s">
        <v>5637</v>
      </c>
      <c r="H726">
        <v>11233</v>
      </c>
      <c r="I726" t="s">
        <v>5695</v>
      </c>
      <c r="J726" t="s">
        <v>5696</v>
      </c>
      <c r="K726" t="s">
        <v>5738</v>
      </c>
      <c r="L726" t="s">
        <v>6720</v>
      </c>
      <c r="M726" t="s">
        <v>6733</v>
      </c>
      <c r="O726" t="s">
        <v>6745</v>
      </c>
      <c r="P726" t="s">
        <v>5695</v>
      </c>
      <c r="R726" t="s">
        <v>6793</v>
      </c>
      <c r="S726" t="s">
        <v>6801</v>
      </c>
      <c r="U726">
        <v>1200</v>
      </c>
      <c r="V726" t="s">
        <v>6835</v>
      </c>
      <c r="W726" t="s">
        <v>6843</v>
      </c>
      <c r="Y726" t="s">
        <v>7564</v>
      </c>
      <c r="Z726" t="s">
        <v>5773</v>
      </c>
      <c r="AA726" t="s">
        <v>9627</v>
      </c>
      <c r="AB726">
        <v>6</v>
      </c>
      <c r="AC726" t="s">
        <v>10929</v>
      </c>
      <c r="AD726" t="s">
        <v>5741</v>
      </c>
      <c r="AE726">
        <v>6</v>
      </c>
      <c r="AF726">
        <v>1</v>
      </c>
      <c r="AG726">
        <v>0</v>
      </c>
      <c r="AH726">
        <v>464.37</v>
      </c>
      <c r="AK726" t="s">
        <v>10966</v>
      </c>
      <c r="AL726">
        <v>58000</v>
      </c>
      <c r="AM726" t="s">
        <v>11051</v>
      </c>
      <c r="AR726">
        <v>0</v>
      </c>
      <c r="AT726" t="s">
        <v>69</v>
      </c>
      <c r="AU726" t="s">
        <v>11228</v>
      </c>
      <c r="AV726" t="s">
        <v>11231</v>
      </c>
      <c r="AW726" t="s">
        <v>6823</v>
      </c>
    </row>
    <row r="727" spans="1:49">
      <c r="A727" s="1">
        <f>HYPERLINK("https://lsnyc.legalserver.org/matter/dynamic-profile/view/1898630","19-1898630")</f>
        <v>0</v>
      </c>
      <c r="B727" t="s">
        <v>108</v>
      </c>
      <c r="C727" t="s">
        <v>850</v>
      </c>
      <c r="D727" t="s">
        <v>2176</v>
      </c>
      <c r="E727" t="s">
        <v>3769</v>
      </c>
      <c r="F727" t="s">
        <v>5354</v>
      </c>
      <c r="G727" t="s">
        <v>5635</v>
      </c>
      <c r="H727">
        <v>10454</v>
      </c>
      <c r="I727" t="s">
        <v>5697</v>
      </c>
      <c r="J727" t="s">
        <v>5697</v>
      </c>
      <c r="K727" t="s">
        <v>5773</v>
      </c>
      <c r="L727" t="s">
        <v>6720</v>
      </c>
      <c r="M727" t="s">
        <v>6733</v>
      </c>
      <c r="O727" t="s">
        <v>6748</v>
      </c>
      <c r="P727" t="s">
        <v>5697</v>
      </c>
      <c r="R727" t="s">
        <v>6793</v>
      </c>
      <c r="S727" t="s">
        <v>6801</v>
      </c>
      <c r="U727">
        <v>1334</v>
      </c>
      <c r="V727" t="s">
        <v>6833</v>
      </c>
      <c r="W727" t="s">
        <v>6852</v>
      </c>
      <c r="Y727" t="s">
        <v>7565</v>
      </c>
      <c r="AA727" t="s">
        <v>9628</v>
      </c>
      <c r="AB727">
        <v>0</v>
      </c>
      <c r="AC727" t="s">
        <v>10935</v>
      </c>
      <c r="AD727" t="s">
        <v>10944</v>
      </c>
      <c r="AE727">
        <v>8</v>
      </c>
      <c r="AF727">
        <v>2</v>
      </c>
      <c r="AG727">
        <v>2</v>
      </c>
      <c r="AH727">
        <v>0</v>
      </c>
      <c r="AK727" t="s">
        <v>10967</v>
      </c>
      <c r="AL727">
        <v>0</v>
      </c>
      <c r="AM727" t="s">
        <v>11052</v>
      </c>
      <c r="AR727">
        <v>1.5</v>
      </c>
      <c r="AS727" t="s">
        <v>6819</v>
      </c>
      <c r="AT727" t="s">
        <v>108</v>
      </c>
      <c r="AU727" t="s">
        <v>5741</v>
      </c>
      <c r="AV727" t="s">
        <v>11231</v>
      </c>
      <c r="AW727" t="s">
        <v>11123</v>
      </c>
    </row>
    <row r="728" spans="1:49">
      <c r="A728" s="1">
        <f>HYPERLINK("https://lsnyc.legalserver.org/matter/dynamic-profile/view/1905081","19-1905081")</f>
        <v>0</v>
      </c>
      <c r="B728" t="s">
        <v>165</v>
      </c>
      <c r="C728" t="s">
        <v>851</v>
      </c>
      <c r="D728" t="s">
        <v>2177</v>
      </c>
      <c r="E728" t="s">
        <v>3770</v>
      </c>
      <c r="F728" t="s">
        <v>5180</v>
      </c>
      <c r="G728" t="s">
        <v>5637</v>
      </c>
      <c r="H728">
        <v>11221</v>
      </c>
      <c r="I728" t="s">
        <v>5695</v>
      </c>
      <c r="J728" t="s">
        <v>5696</v>
      </c>
      <c r="K728" t="s">
        <v>5773</v>
      </c>
      <c r="L728" t="s">
        <v>6720</v>
      </c>
      <c r="M728" t="s">
        <v>6733</v>
      </c>
      <c r="O728" t="s">
        <v>6745</v>
      </c>
      <c r="P728" t="s">
        <v>5695</v>
      </c>
      <c r="R728" t="s">
        <v>6798</v>
      </c>
      <c r="S728" t="s">
        <v>6801</v>
      </c>
      <c r="U728">
        <v>700</v>
      </c>
      <c r="V728" t="s">
        <v>6835</v>
      </c>
      <c r="W728" t="s">
        <v>6838</v>
      </c>
      <c r="Y728" t="s">
        <v>7566</v>
      </c>
      <c r="Z728" t="s">
        <v>5741</v>
      </c>
      <c r="AB728">
        <v>13</v>
      </c>
      <c r="AC728" t="s">
        <v>10929</v>
      </c>
      <c r="AD728" t="s">
        <v>5741</v>
      </c>
      <c r="AE728">
        <v>14</v>
      </c>
      <c r="AF728">
        <v>2</v>
      </c>
      <c r="AG728">
        <v>2</v>
      </c>
      <c r="AH728">
        <v>427.18</v>
      </c>
      <c r="AK728" t="s">
        <v>10966</v>
      </c>
      <c r="AL728">
        <v>110000</v>
      </c>
      <c r="AM728" t="s">
        <v>11053</v>
      </c>
      <c r="AR728">
        <v>0</v>
      </c>
      <c r="AT728" t="s">
        <v>69</v>
      </c>
      <c r="AU728" t="s">
        <v>11228</v>
      </c>
      <c r="AV728" t="s">
        <v>11231</v>
      </c>
      <c r="AW728" t="s">
        <v>6814</v>
      </c>
    </row>
    <row r="729" spans="1:49">
      <c r="A729" s="1">
        <f>HYPERLINK("https://lsnyc.legalserver.org/matter/dynamic-profile/view/1896627","19-1896627")</f>
        <v>0</v>
      </c>
      <c r="B729" t="s">
        <v>235</v>
      </c>
      <c r="C729" t="s">
        <v>660</v>
      </c>
      <c r="D729" t="s">
        <v>2178</v>
      </c>
      <c r="E729" t="s">
        <v>3771</v>
      </c>
      <c r="F729" t="s">
        <v>5355</v>
      </c>
      <c r="G729" t="s">
        <v>5637</v>
      </c>
      <c r="H729">
        <v>11233</v>
      </c>
      <c r="I729" t="s">
        <v>5697</v>
      </c>
      <c r="J729" t="s">
        <v>5697</v>
      </c>
      <c r="L729" t="s">
        <v>6720</v>
      </c>
      <c r="M729" t="s">
        <v>6733</v>
      </c>
      <c r="O729" t="s">
        <v>6745</v>
      </c>
      <c r="P729" t="s">
        <v>5695</v>
      </c>
      <c r="R729" t="s">
        <v>6793</v>
      </c>
      <c r="S729" t="s">
        <v>6801</v>
      </c>
      <c r="U729">
        <v>1056</v>
      </c>
      <c r="V729" t="s">
        <v>6835</v>
      </c>
      <c r="Y729" t="s">
        <v>7567</v>
      </c>
      <c r="AB729">
        <v>359</v>
      </c>
      <c r="AC729" t="s">
        <v>10929</v>
      </c>
      <c r="AD729" t="s">
        <v>5741</v>
      </c>
      <c r="AE729">
        <v>9</v>
      </c>
      <c r="AF729">
        <v>2</v>
      </c>
      <c r="AG729">
        <v>0</v>
      </c>
      <c r="AH729">
        <v>37.21</v>
      </c>
      <c r="AK729" t="s">
        <v>10966</v>
      </c>
      <c r="AL729">
        <v>6292</v>
      </c>
      <c r="AR729">
        <v>0</v>
      </c>
      <c r="AT729" t="s">
        <v>67</v>
      </c>
      <c r="AV729" t="s">
        <v>11231</v>
      </c>
      <c r="AW729" t="s">
        <v>11122</v>
      </c>
    </row>
    <row r="730" spans="1:49">
      <c r="A730" s="1">
        <f>HYPERLINK("https://lsnyc.legalserver.org/matter/dynamic-profile/view/1903224","19-1903224")</f>
        <v>0</v>
      </c>
      <c r="B730" t="s">
        <v>236</v>
      </c>
      <c r="C730" t="s">
        <v>852</v>
      </c>
      <c r="D730" t="s">
        <v>2179</v>
      </c>
      <c r="E730" t="s">
        <v>3772</v>
      </c>
      <c r="F730" t="s">
        <v>5316</v>
      </c>
      <c r="G730" t="s">
        <v>5637</v>
      </c>
      <c r="H730">
        <v>11226</v>
      </c>
      <c r="I730" t="s">
        <v>5695</v>
      </c>
      <c r="J730" t="s">
        <v>5696</v>
      </c>
      <c r="K730" t="s">
        <v>5942</v>
      </c>
      <c r="L730" t="s">
        <v>6714</v>
      </c>
      <c r="M730" t="s">
        <v>6733</v>
      </c>
      <c r="O730" t="s">
        <v>6755</v>
      </c>
      <c r="P730" t="s">
        <v>5697</v>
      </c>
      <c r="R730" t="s">
        <v>6793</v>
      </c>
      <c r="S730" t="s">
        <v>6801</v>
      </c>
      <c r="T730" t="s">
        <v>6811</v>
      </c>
      <c r="U730">
        <v>1367</v>
      </c>
      <c r="V730" t="s">
        <v>6835</v>
      </c>
      <c r="W730" t="s">
        <v>6840</v>
      </c>
      <c r="Y730" t="s">
        <v>7568</v>
      </c>
      <c r="AA730" t="s">
        <v>9629</v>
      </c>
      <c r="AB730">
        <v>32</v>
      </c>
      <c r="AC730" t="s">
        <v>10929</v>
      </c>
      <c r="AD730" t="s">
        <v>5741</v>
      </c>
      <c r="AE730">
        <v>5</v>
      </c>
      <c r="AF730">
        <v>1</v>
      </c>
      <c r="AG730">
        <v>0</v>
      </c>
      <c r="AH730">
        <v>20.66</v>
      </c>
      <c r="AK730" t="s">
        <v>10966</v>
      </c>
      <c r="AL730">
        <v>2580</v>
      </c>
      <c r="AR730">
        <v>1</v>
      </c>
      <c r="AS730" t="s">
        <v>11139</v>
      </c>
      <c r="AT730" t="s">
        <v>11178</v>
      </c>
      <c r="AU730" t="s">
        <v>11228</v>
      </c>
      <c r="AV730" t="s">
        <v>11231</v>
      </c>
      <c r="AW730" t="s">
        <v>11139</v>
      </c>
    </row>
    <row r="731" spans="1:49">
      <c r="A731" s="1">
        <f>HYPERLINK("https://lsnyc.legalserver.org/matter/dynamic-profile/view/1900971","19-1900971")</f>
        <v>0</v>
      </c>
      <c r="B731" t="s">
        <v>237</v>
      </c>
      <c r="C731" t="s">
        <v>493</v>
      </c>
      <c r="D731" t="s">
        <v>2180</v>
      </c>
      <c r="E731" t="s">
        <v>3773</v>
      </c>
      <c r="F731" t="s">
        <v>5356</v>
      </c>
      <c r="G731" t="s">
        <v>5674</v>
      </c>
      <c r="H731">
        <v>11373</v>
      </c>
      <c r="I731" t="s">
        <v>5696</v>
      </c>
      <c r="J731" t="s">
        <v>5696</v>
      </c>
      <c r="K731" t="s">
        <v>5943</v>
      </c>
      <c r="L731" t="s">
        <v>6714</v>
      </c>
      <c r="M731" t="s">
        <v>6733</v>
      </c>
      <c r="O731" t="s">
        <v>6770</v>
      </c>
      <c r="R731" t="s">
        <v>6793</v>
      </c>
      <c r="U731">
        <v>1525</v>
      </c>
      <c r="V731" t="s">
        <v>6837</v>
      </c>
      <c r="W731" t="s">
        <v>6840</v>
      </c>
      <c r="Y731" t="s">
        <v>7569</v>
      </c>
      <c r="Z731" t="s">
        <v>8952</v>
      </c>
      <c r="AA731" t="s">
        <v>9630</v>
      </c>
      <c r="AB731">
        <v>75</v>
      </c>
      <c r="AC731" t="s">
        <v>10929</v>
      </c>
      <c r="AE731">
        <v>7</v>
      </c>
      <c r="AF731">
        <v>2</v>
      </c>
      <c r="AG731">
        <v>0</v>
      </c>
      <c r="AH731">
        <v>132.77</v>
      </c>
      <c r="AK731" t="s">
        <v>10967</v>
      </c>
      <c r="AL731">
        <v>22452</v>
      </c>
      <c r="AR731">
        <v>6</v>
      </c>
      <c r="AS731" t="s">
        <v>11147</v>
      </c>
      <c r="AT731" t="s">
        <v>237</v>
      </c>
      <c r="AV731" t="s">
        <v>11231</v>
      </c>
      <c r="AW731" t="s">
        <v>11120</v>
      </c>
    </row>
    <row r="732" spans="1:49">
      <c r="A732" s="1">
        <f>HYPERLINK("https://lsnyc.legalserver.org/matter/dynamic-profile/view/1901043","19-1901043")</f>
        <v>0</v>
      </c>
      <c r="B732" t="s">
        <v>237</v>
      </c>
      <c r="C732" t="s">
        <v>407</v>
      </c>
      <c r="D732" t="s">
        <v>2181</v>
      </c>
      <c r="E732" t="s">
        <v>3774</v>
      </c>
      <c r="F732" t="s">
        <v>5105</v>
      </c>
      <c r="G732" t="s">
        <v>5646</v>
      </c>
      <c r="H732">
        <v>11355</v>
      </c>
      <c r="I732" t="s">
        <v>5696</v>
      </c>
      <c r="J732" t="s">
        <v>5696</v>
      </c>
      <c r="K732" t="s">
        <v>5944</v>
      </c>
      <c r="L732" t="s">
        <v>6714</v>
      </c>
      <c r="M732" t="s">
        <v>6733</v>
      </c>
      <c r="O732" t="s">
        <v>6770</v>
      </c>
      <c r="R732" t="s">
        <v>6793</v>
      </c>
      <c r="U732">
        <v>1085.21</v>
      </c>
      <c r="V732" t="s">
        <v>6837</v>
      </c>
      <c r="W732" t="s">
        <v>6852</v>
      </c>
      <c r="Y732" t="s">
        <v>7570</v>
      </c>
      <c r="AA732" t="s">
        <v>9631</v>
      </c>
      <c r="AB732">
        <v>0</v>
      </c>
      <c r="AC732" t="s">
        <v>10929</v>
      </c>
      <c r="AE732">
        <v>0</v>
      </c>
      <c r="AF732">
        <v>3</v>
      </c>
      <c r="AG732">
        <v>1</v>
      </c>
      <c r="AH732">
        <v>72.11</v>
      </c>
      <c r="AK732" t="s">
        <v>10966</v>
      </c>
      <c r="AL732">
        <v>18567.6</v>
      </c>
      <c r="AR732">
        <v>22.6</v>
      </c>
      <c r="AS732" t="s">
        <v>6828</v>
      </c>
      <c r="AT732" t="s">
        <v>237</v>
      </c>
      <c r="AV732" t="s">
        <v>11231</v>
      </c>
      <c r="AW732" t="s">
        <v>11120</v>
      </c>
    </row>
    <row r="733" spans="1:49">
      <c r="A733" s="1">
        <f>HYPERLINK("https://lsnyc.legalserver.org/matter/dynamic-profile/view/1903380","19-1903380")</f>
        <v>0</v>
      </c>
      <c r="B733" t="s">
        <v>238</v>
      </c>
      <c r="C733" t="s">
        <v>853</v>
      </c>
      <c r="D733" t="s">
        <v>1854</v>
      </c>
      <c r="E733" t="s">
        <v>3775</v>
      </c>
      <c r="F733" t="s">
        <v>5248</v>
      </c>
      <c r="G733" t="s">
        <v>5637</v>
      </c>
      <c r="H733">
        <v>11206</v>
      </c>
      <c r="I733" t="s">
        <v>5695</v>
      </c>
      <c r="J733" t="s">
        <v>5696</v>
      </c>
      <c r="K733" t="s">
        <v>5741</v>
      </c>
      <c r="L733" t="s">
        <v>6715</v>
      </c>
      <c r="M733" t="s">
        <v>6733</v>
      </c>
      <c r="O733" t="s">
        <v>6756</v>
      </c>
      <c r="P733" t="s">
        <v>5697</v>
      </c>
      <c r="R733" t="s">
        <v>6794</v>
      </c>
      <c r="S733" t="s">
        <v>6801</v>
      </c>
      <c r="U733">
        <v>0</v>
      </c>
      <c r="V733" t="s">
        <v>6835</v>
      </c>
      <c r="W733" t="s">
        <v>6841</v>
      </c>
      <c r="Y733" t="s">
        <v>7571</v>
      </c>
      <c r="Z733" t="s">
        <v>8953</v>
      </c>
      <c r="AA733" t="s">
        <v>9632</v>
      </c>
      <c r="AB733">
        <v>0</v>
      </c>
      <c r="AD733" t="s">
        <v>6841</v>
      </c>
      <c r="AE733">
        <v>0</v>
      </c>
      <c r="AF733">
        <v>1</v>
      </c>
      <c r="AG733">
        <v>1</v>
      </c>
      <c r="AH733">
        <v>307.51</v>
      </c>
      <c r="AK733" t="s">
        <v>10966</v>
      </c>
      <c r="AL733">
        <v>52000</v>
      </c>
      <c r="AR733">
        <v>0</v>
      </c>
      <c r="AT733" t="s">
        <v>69</v>
      </c>
      <c r="AU733" t="s">
        <v>11228</v>
      </c>
      <c r="AV733" t="s">
        <v>11231</v>
      </c>
      <c r="AW733" t="s">
        <v>11136</v>
      </c>
    </row>
    <row r="734" spans="1:49">
      <c r="A734" s="1">
        <f>HYPERLINK("https://lsnyc.legalserver.org/matter/dynamic-profile/view/1903996","19-1903996")</f>
        <v>0</v>
      </c>
      <c r="B734" t="s">
        <v>111</v>
      </c>
      <c r="C734" t="s">
        <v>854</v>
      </c>
      <c r="D734" t="s">
        <v>2182</v>
      </c>
      <c r="E734" t="s">
        <v>3776</v>
      </c>
      <c r="F734" t="s">
        <v>5101</v>
      </c>
      <c r="G734" t="s">
        <v>5638</v>
      </c>
      <c r="H734">
        <v>10033</v>
      </c>
      <c r="I734" t="s">
        <v>5695</v>
      </c>
      <c r="J734" t="s">
        <v>5696</v>
      </c>
      <c r="L734" t="s">
        <v>6726</v>
      </c>
      <c r="M734" t="s">
        <v>6733</v>
      </c>
      <c r="O734" t="s">
        <v>6745</v>
      </c>
      <c r="P734" t="s">
        <v>5697</v>
      </c>
      <c r="R734" t="s">
        <v>6793</v>
      </c>
      <c r="S734" t="s">
        <v>6801</v>
      </c>
      <c r="T734" t="s">
        <v>6811</v>
      </c>
      <c r="U734">
        <v>2500</v>
      </c>
      <c r="V734" t="s">
        <v>6836</v>
      </c>
      <c r="W734" t="s">
        <v>6842</v>
      </c>
      <c r="Y734" t="s">
        <v>7572</v>
      </c>
      <c r="AA734" t="s">
        <v>9633</v>
      </c>
      <c r="AB734">
        <v>0</v>
      </c>
      <c r="AC734" t="s">
        <v>10930</v>
      </c>
      <c r="AD734" t="s">
        <v>5741</v>
      </c>
      <c r="AE734">
        <v>7</v>
      </c>
      <c r="AF734">
        <v>2</v>
      </c>
      <c r="AG734">
        <v>1</v>
      </c>
      <c r="AH734">
        <v>133.9</v>
      </c>
      <c r="AK734" t="s">
        <v>10966</v>
      </c>
      <c r="AL734">
        <v>28560</v>
      </c>
      <c r="AR734">
        <v>3.8</v>
      </c>
      <c r="AS734" t="s">
        <v>6825</v>
      </c>
      <c r="AT734" t="s">
        <v>11219</v>
      </c>
      <c r="AU734" t="s">
        <v>11228</v>
      </c>
      <c r="AV734" t="s">
        <v>11231</v>
      </c>
      <c r="AW734" t="s">
        <v>6825</v>
      </c>
    </row>
    <row r="735" spans="1:49">
      <c r="A735" s="1">
        <f>HYPERLINK("https://lsnyc.legalserver.org/matter/dynamic-profile/view/1906263","19-1906263")</f>
        <v>0</v>
      </c>
      <c r="B735" t="s">
        <v>60</v>
      </c>
      <c r="C735" t="s">
        <v>855</v>
      </c>
      <c r="D735" t="s">
        <v>2183</v>
      </c>
      <c r="E735" t="s">
        <v>3777</v>
      </c>
      <c r="F735" t="s">
        <v>5357</v>
      </c>
      <c r="G735" t="s">
        <v>5636</v>
      </c>
      <c r="H735">
        <v>10301</v>
      </c>
      <c r="I735" t="s">
        <v>5695</v>
      </c>
      <c r="J735" t="s">
        <v>5696</v>
      </c>
      <c r="K735" t="s">
        <v>5738</v>
      </c>
      <c r="L735" t="s">
        <v>6719</v>
      </c>
      <c r="M735" t="s">
        <v>6733</v>
      </c>
      <c r="O735" t="s">
        <v>6757</v>
      </c>
      <c r="P735" t="s">
        <v>5697</v>
      </c>
      <c r="R735" t="s">
        <v>6796</v>
      </c>
      <c r="S735" t="s">
        <v>6801</v>
      </c>
      <c r="T735" t="s">
        <v>6827</v>
      </c>
      <c r="U735">
        <v>98</v>
      </c>
      <c r="V735" t="s">
        <v>6834</v>
      </c>
      <c r="W735" t="s">
        <v>6846</v>
      </c>
      <c r="Y735" t="s">
        <v>7573</v>
      </c>
      <c r="AA735" t="s">
        <v>9634</v>
      </c>
      <c r="AB735">
        <v>2</v>
      </c>
      <c r="AC735" t="s">
        <v>10930</v>
      </c>
      <c r="AD735" t="s">
        <v>10944</v>
      </c>
      <c r="AE735">
        <v>3</v>
      </c>
      <c r="AF735">
        <v>4</v>
      </c>
      <c r="AG735">
        <v>0</v>
      </c>
      <c r="AH735">
        <v>40.12</v>
      </c>
      <c r="AK735" t="s">
        <v>10966</v>
      </c>
      <c r="AL735">
        <v>10332</v>
      </c>
      <c r="AR735">
        <v>1</v>
      </c>
      <c r="AS735" t="s">
        <v>6827</v>
      </c>
      <c r="AT735" t="s">
        <v>60</v>
      </c>
      <c r="AU735" t="s">
        <v>11228</v>
      </c>
      <c r="AV735" t="s">
        <v>11231</v>
      </c>
      <c r="AW735" t="s">
        <v>6827</v>
      </c>
    </row>
    <row r="736" spans="1:49">
      <c r="A736" s="1">
        <f>HYPERLINK("https://lsnyc.legalserver.org/matter/dynamic-profile/view/1896108","19-1896108")</f>
        <v>0</v>
      </c>
      <c r="B736" t="s">
        <v>116</v>
      </c>
      <c r="C736" t="s">
        <v>435</v>
      </c>
      <c r="D736" t="s">
        <v>2184</v>
      </c>
      <c r="E736" t="s">
        <v>3778</v>
      </c>
      <c r="G736" t="s">
        <v>5646</v>
      </c>
      <c r="H736">
        <v>11358</v>
      </c>
      <c r="I736" t="s">
        <v>5696</v>
      </c>
      <c r="J736" t="s">
        <v>5696</v>
      </c>
      <c r="M736" t="s">
        <v>6733</v>
      </c>
      <c r="O736" t="s">
        <v>6767</v>
      </c>
      <c r="R736" t="s">
        <v>6798</v>
      </c>
      <c r="U736">
        <v>0</v>
      </c>
      <c r="V736" t="s">
        <v>6837</v>
      </c>
      <c r="Y736" t="s">
        <v>7574</v>
      </c>
      <c r="AA736" t="s">
        <v>8917</v>
      </c>
      <c r="AB736">
        <v>0</v>
      </c>
      <c r="AE736">
        <v>0</v>
      </c>
      <c r="AF736">
        <v>2</v>
      </c>
      <c r="AG736">
        <v>0</v>
      </c>
      <c r="AH736">
        <v>99.34999999999999</v>
      </c>
      <c r="AK736" t="s">
        <v>10966</v>
      </c>
      <c r="AL736">
        <v>16800</v>
      </c>
      <c r="AR736">
        <v>2.75</v>
      </c>
      <c r="AS736" t="s">
        <v>10956</v>
      </c>
      <c r="AT736" t="s">
        <v>11181</v>
      </c>
      <c r="AV736" t="s">
        <v>11231</v>
      </c>
      <c r="AW736" t="s">
        <v>10962</v>
      </c>
    </row>
    <row r="737" spans="1:49">
      <c r="A737" s="1">
        <f>HYPERLINK("https://lsnyc.legalserver.org/matter/dynamic-profile/view/1899617","19-1899617")</f>
        <v>0</v>
      </c>
      <c r="B737" t="s">
        <v>117</v>
      </c>
      <c r="C737" t="s">
        <v>856</v>
      </c>
      <c r="D737" t="s">
        <v>2185</v>
      </c>
      <c r="E737" t="s">
        <v>3759</v>
      </c>
      <c r="F737" t="s">
        <v>5231</v>
      </c>
      <c r="G737" t="s">
        <v>5637</v>
      </c>
      <c r="H737">
        <v>11206</v>
      </c>
      <c r="I737" t="s">
        <v>5695</v>
      </c>
      <c r="J737" t="s">
        <v>5696</v>
      </c>
      <c r="M737" t="s">
        <v>6733</v>
      </c>
      <c r="O737" t="s">
        <v>6754</v>
      </c>
      <c r="R737" t="s">
        <v>6795</v>
      </c>
      <c r="U737">
        <v>212</v>
      </c>
      <c r="V737" t="s">
        <v>6835</v>
      </c>
      <c r="W737" t="s">
        <v>6849</v>
      </c>
      <c r="Y737" t="s">
        <v>7575</v>
      </c>
      <c r="AA737" t="s">
        <v>9635</v>
      </c>
      <c r="AB737">
        <v>8</v>
      </c>
      <c r="AC737" t="s">
        <v>10934</v>
      </c>
      <c r="AE737">
        <v>13</v>
      </c>
      <c r="AF737">
        <v>2</v>
      </c>
      <c r="AG737">
        <v>0</v>
      </c>
      <c r="AH737">
        <v>54</v>
      </c>
      <c r="AK737" t="s">
        <v>10968</v>
      </c>
      <c r="AL737">
        <v>9132</v>
      </c>
      <c r="AR737">
        <v>3.25</v>
      </c>
      <c r="AS737" t="s">
        <v>6821</v>
      </c>
      <c r="AT737" t="s">
        <v>11198</v>
      </c>
      <c r="AV737" t="s">
        <v>11231</v>
      </c>
      <c r="AW737" t="s">
        <v>11128</v>
      </c>
    </row>
    <row r="738" spans="1:49">
      <c r="A738" s="1">
        <f>HYPERLINK("https://lsnyc.legalserver.org/matter/dynamic-profile/view/1904280","19-1904280")</f>
        <v>0</v>
      </c>
      <c r="B738" t="s">
        <v>95</v>
      </c>
      <c r="C738" t="s">
        <v>335</v>
      </c>
      <c r="D738" t="s">
        <v>2111</v>
      </c>
      <c r="E738" t="s">
        <v>3779</v>
      </c>
      <c r="F738" t="s">
        <v>5161</v>
      </c>
      <c r="G738" t="s">
        <v>5637</v>
      </c>
      <c r="H738">
        <v>11207</v>
      </c>
      <c r="I738" t="s">
        <v>5695</v>
      </c>
      <c r="J738" t="s">
        <v>5696</v>
      </c>
      <c r="M738" t="s">
        <v>6733</v>
      </c>
      <c r="O738" t="s">
        <v>6756</v>
      </c>
      <c r="R738" t="s">
        <v>6793</v>
      </c>
      <c r="U738">
        <v>872</v>
      </c>
      <c r="V738" t="s">
        <v>6835</v>
      </c>
      <c r="W738" t="s">
        <v>6838</v>
      </c>
      <c r="Y738" t="s">
        <v>7576</v>
      </c>
      <c r="AA738" t="s">
        <v>9636</v>
      </c>
      <c r="AB738">
        <v>21</v>
      </c>
      <c r="AE738">
        <v>30</v>
      </c>
      <c r="AF738">
        <v>2</v>
      </c>
      <c r="AG738">
        <v>0</v>
      </c>
      <c r="AH738">
        <v>228.5</v>
      </c>
      <c r="AK738" t="s">
        <v>10967</v>
      </c>
      <c r="AL738">
        <v>38640</v>
      </c>
      <c r="AR738">
        <v>1.75</v>
      </c>
      <c r="AS738" t="s">
        <v>6827</v>
      </c>
      <c r="AT738" t="s">
        <v>11198</v>
      </c>
      <c r="AU738" t="s">
        <v>11228</v>
      </c>
      <c r="AV738" t="s">
        <v>11231</v>
      </c>
      <c r="AW738" t="s">
        <v>6813</v>
      </c>
    </row>
    <row r="739" spans="1:49">
      <c r="A739" s="1">
        <f>HYPERLINK("https://lsnyc.legalserver.org/matter/dynamic-profile/view/1899627","19-1899627")</f>
        <v>0</v>
      </c>
      <c r="B739" t="s">
        <v>85</v>
      </c>
      <c r="C739" t="s">
        <v>857</v>
      </c>
      <c r="D739" t="s">
        <v>2186</v>
      </c>
      <c r="E739" t="s">
        <v>3780</v>
      </c>
      <c r="F739">
        <v>3</v>
      </c>
      <c r="G739" t="s">
        <v>5637</v>
      </c>
      <c r="H739">
        <v>11219</v>
      </c>
      <c r="I739" t="s">
        <v>5695</v>
      </c>
      <c r="J739" t="s">
        <v>5696</v>
      </c>
      <c r="M739" t="s">
        <v>6733</v>
      </c>
      <c r="O739" t="s">
        <v>6754</v>
      </c>
      <c r="R739" t="s">
        <v>6793</v>
      </c>
      <c r="U739">
        <v>1545</v>
      </c>
      <c r="V739" t="s">
        <v>6835</v>
      </c>
      <c r="W739" t="s">
        <v>6838</v>
      </c>
      <c r="Y739" t="s">
        <v>7577</v>
      </c>
      <c r="AA739" t="s">
        <v>9637</v>
      </c>
      <c r="AB739">
        <v>3</v>
      </c>
      <c r="AE739">
        <v>15</v>
      </c>
      <c r="AF739">
        <v>1</v>
      </c>
      <c r="AG739">
        <v>0</v>
      </c>
      <c r="AH739">
        <v>65.43000000000001</v>
      </c>
      <c r="AK739" t="s">
        <v>10966</v>
      </c>
      <c r="AL739">
        <v>8172</v>
      </c>
      <c r="AR739">
        <v>2.5</v>
      </c>
      <c r="AS739" t="s">
        <v>11132</v>
      </c>
      <c r="AT739" t="s">
        <v>11198</v>
      </c>
      <c r="AU739" t="s">
        <v>11228</v>
      </c>
      <c r="AV739" t="s">
        <v>11231</v>
      </c>
      <c r="AW739" t="s">
        <v>11128</v>
      </c>
    </row>
    <row r="740" spans="1:49">
      <c r="A740" s="1">
        <f>HYPERLINK("https://lsnyc.legalserver.org/matter/dynamic-profile/view/1904196","19-1904196")</f>
        <v>0</v>
      </c>
      <c r="B740" t="s">
        <v>117</v>
      </c>
      <c r="C740" t="s">
        <v>330</v>
      </c>
      <c r="D740" t="s">
        <v>2187</v>
      </c>
      <c r="E740" t="s">
        <v>3781</v>
      </c>
      <c r="F740">
        <v>2</v>
      </c>
      <c r="G740" t="s">
        <v>5637</v>
      </c>
      <c r="H740">
        <v>11221</v>
      </c>
      <c r="I740" t="s">
        <v>5695</v>
      </c>
      <c r="J740" t="s">
        <v>5696</v>
      </c>
      <c r="M740" t="s">
        <v>6733</v>
      </c>
      <c r="O740" t="s">
        <v>6754</v>
      </c>
      <c r="R740" t="s">
        <v>6795</v>
      </c>
      <c r="U740">
        <v>1850</v>
      </c>
      <c r="V740" t="s">
        <v>6835</v>
      </c>
      <c r="W740" t="s">
        <v>6841</v>
      </c>
      <c r="Y740" t="s">
        <v>7578</v>
      </c>
      <c r="AA740" t="s">
        <v>9638</v>
      </c>
      <c r="AB740">
        <v>2</v>
      </c>
      <c r="AE740">
        <v>0</v>
      </c>
      <c r="AF740">
        <v>1</v>
      </c>
      <c r="AG740">
        <v>0</v>
      </c>
      <c r="AH740">
        <v>128.07</v>
      </c>
      <c r="AK740" t="s">
        <v>10966</v>
      </c>
      <c r="AL740">
        <v>15996</v>
      </c>
      <c r="AR740">
        <v>3.75</v>
      </c>
      <c r="AS740" t="s">
        <v>6828</v>
      </c>
      <c r="AT740" t="s">
        <v>11198</v>
      </c>
      <c r="AU740" t="s">
        <v>11228</v>
      </c>
      <c r="AV740" t="s">
        <v>11231</v>
      </c>
      <c r="AW740" t="s">
        <v>6818</v>
      </c>
    </row>
    <row r="741" spans="1:49">
      <c r="A741" s="1">
        <f>HYPERLINK("https://lsnyc.legalserver.org/matter/dynamic-profile/view/1903757","19-1903757")</f>
        <v>0</v>
      </c>
      <c r="B741" t="s">
        <v>117</v>
      </c>
      <c r="C741" t="s">
        <v>491</v>
      </c>
      <c r="D741" t="s">
        <v>2188</v>
      </c>
      <c r="E741" t="s">
        <v>3782</v>
      </c>
      <c r="F741" t="s">
        <v>5215</v>
      </c>
      <c r="G741" t="s">
        <v>5637</v>
      </c>
      <c r="H741">
        <v>11222</v>
      </c>
      <c r="I741" t="s">
        <v>5697</v>
      </c>
      <c r="J741" t="s">
        <v>5696</v>
      </c>
      <c r="M741" t="s">
        <v>6733</v>
      </c>
      <c r="O741" t="s">
        <v>6754</v>
      </c>
      <c r="R741" t="s">
        <v>6793</v>
      </c>
      <c r="U741">
        <v>707.79</v>
      </c>
      <c r="V741" t="s">
        <v>6835</v>
      </c>
      <c r="W741" t="s">
        <v>6838</v>
      </c>
      <c r="Y741" t="s">
        <v>7579</v>
      </c>
      <c r="AA741" t="s">
        <v>9639</v>
      </c>
      <c r="AB741">
        <v>6</v>
      </c>
      <c r="AC741" t="s">
        <v>10929</v>
      </c>
      <c r="AE741">
        <v>40</v>
      </c>
      <c r="AF741">
        <v>1</v>
      </c>
      <c r="AG741">
        <v>0</v>
      </c>
      <c r="AH741">
        <v>97.23</v>
      </c>
      <c r="AK741" t="s">
        <v>10966</v>
      </c>
      <c r="AL741">
        <v>12144</v>
      </c>
      <c r="AR741">
        <v>1</v>
      </c>
      <c r="AS741" t="s">
        <v>6811</v>
      </c>
      <c r="AT741" t="s">
        <v>11198</v>
      </c>
      <c r="AU741" t="s">
        <v>11228</v>
      </c>
      <c r="AV741" t="s">
        <v>11231</v>
      </c>
      <c r="AW741" t="s">
        <v>6811</v>
      </c>
    </row>
    <row r="742" spans="1:49">
      <c r="A742" s="1">
        <f>HYPERLINK("https://lsnyc.legalserver.org/matter/dynamic-profile/view/1904862","19-1904862")</f>
        <v>0</v>
      </c>
      <c r="B742" t="s">
        <v>68</v>
      </c>
      <c r="C742" t="s">
        <v>858</v>
      </c>
      <c r="D742" t="s">
        <v>1846</v>
      </c>
      <c r="E742" t="s">
        <v>3783</v>
      </c>
      <c r="F742" t="s">
        <v>5143</v>
      </c>
      <c r="G742" t="s">
        <v>5637</v>
      </c>
      <c r="H742">
        <v>11226</v>
      </c>
      <c r="I742" t="s">
        <v>5695</v>
      </c>
      <c r="J742" t="s">
        <v>5696</v>
      </c>
      <c r="M742" t="s">
        <v>6733</v>
      </c>
      <c r="O742" t="s">
        <v>6754</v>
      </c>
      <c r="R742" t="s">
        <v>6794</v>
      </c>
      <c r="T742" t="s">
        <v>6816</v>
      </c>
      <c r="U742">
        <v>1575</v>
      </c>
      <c r="V742" t="s">
        <v>6835</v>
      </c>
      <c r="W742" t="s">
        <v>6843</v>
      </c>
      <c r="Y742" t="s">
        <v>7580</v>
      </c>
      <c r="AA742" t="s">
        <v>9640</v>
      </c>
      <c r="AB742">
        <v>40</v>
      </c>
      <c r="AC742" t="s">
        <v>10934</v>
      </c>
      <c r="AE742">
        <v>16</v>
      </c>
      <c r="AF742">
        <v>1</v>
      </c>
      <c r="AG742">
        <v>0</v>
      </c>
      <c r="AH742">
        <v>15.85</v>
      </c>
      <c r="AK742" t="s">
        <v>10966</v>
      </c>
      <c r="AL742">
        <v>1980</v>
      </c>
      <c r="AR742">
        <v>0</v>
      </c>
      <c r="AT742" t="s">
        <v>11198</v>
      </c>
      <c r="AU742" t="s">
        <v>11228</v>
      </c>
      <c r="AV742" t="s">
        <v>11231</v>
      </c>
      <c r="AW742" t="s">
        <v>6816</v>
      </c>
    </row>
    <row r="743" spans="1:49">
      <c r="A743" s="1">
        <f>HYPERLINK("https://lsnyc.legalserver.org/matter/dynamic-profile/view/1904277","19-1904277")</f>
        <v>0</v>
      </c>
      <c r="B743" t="s">
        <v>207</v>
      </c>
      <c r="C743" t="s">
        <v>821</v>
      </c>
      <c r="D743" t="s">
        <v>1964</v>
      </c>
      <c r="E743" t="s">
        <v>3728</v>
      </c>
      <c r="F743" t="s">
        <v>5302</v>
      </c>
      <c r="G743" t="s">
        <v>5635</v>
      </c>
      <c r="H743">
        <v>10460</v>
      </c>
      <c r="I743" t="s">
        <v>5695</v>
      </c>
      <c r="J743" t="s">
        <v>5696</v>
      </c>
      <c r="K743" t="s">
        <v>5945</v>
      </c>
      <c r="M743" t="s">
        <v>6733</v>
      </c>
      <c r="O743" t="s">
        <v>6745</v>
      </c>
      <c r="R743" t="s">
        <v>6793</v>
      </c>
      <c r="U743">
        <v>1723.03</v>
      </c>
      <c r="V743" t="s">
        <v>6833</v>
      </c>
      <c r="W743" t="s">
        <v>6843</v>
      </c>
      <c r="Y743" t="s">
        <v>7523</v>
      </c>
      <c r="AA743" t="s">
        <v>9641</v>
      </c>
      <c r="AB743">
        <v>200</v>
      </c>
      <c r="AC743" t="s">
        <v>10932</v>
      </c>
      <c r="AD743" t="s">
        <v>10944</v>
      </c>
      <c r="AE743">
        <v>3</v>
      </c>
      <c r="AF743">
        <v>2</v>
      </c>
      <c r="AG743">
        <v>0</v>
      </c>
      <c r="AH743">
        <v>83.73999999999999</v>
      </c>
      <c r="AK743" t="s">
        <v>10966</v>
      </c>
      <c r="AL743">
        <v>14160</v>
      </c>
      <c r="AR743">
        <v>2</v>
      </c>
      <c r="AS743" t="s">
        <v>6827</v>
      </c>
      <c r="AT743" t="s">
        <v>11203</v>
      </c>
      <c r="AU743" t="s">
        <v>11228</v>
      </c>
      <c r="AV743" t="s">
        <v>11231</v>
      </c>
      <c r="AW743" t="s">
        <v>6813</v>
      </c>
    </row>
    <row r="744" spans="1:49">
      <c r="A744" s="1">
        <f>HYPERLINK("https://lsnyc.legalserver.org/matter/dynamic-profile/view/1896310","19-1896310")</f>
        <v>0</v>
      </c>
      <c r="B744" t="s">
        <v>99</v>
      </c>
      <c r="C744" t="s">
        <v>859</v>
      </c>
      <c r="D744" t="s">
        <v>2189</v>
      </c>
      <c r="E744" t="s">
        <v>3784</v>
      </c>
      <c r="F744" t="s">
        <v>5358</v>
      </c>
      <c r="G744" t="s">
        <v>5637</v>
      </c>
      <c r="H744">
        <v>11203</v>
      </c>
      <c r="I744" t="s">
        <v>5696</v>
      </c>
      <c r="J744" t="s">
        <v>5696</v>
      </c>
      <c r="M744" t="s">
        <v>6733</v>
      </c>
      <c r="O744" t="s">
        <v>6754</v>
      </c>
      <c r="R744" t="s">
        <v>6793</v>
      </c>
      <c r="U744">
        <v>1446</v>
      </c>
      <c r="V744" t="s">
        <v>6835</v>
      </c>
      <c r="W744" t="s">
        <v>6841</v>
      </c>
      <c r="Y744" t="s">
        <v>7581</v>
      </c>
      <c r="AA744" t="s">
        <v>9642</v>
      </c>
      <c r="AB744">
        <v>16</v>
      </c>
      <c r="AC744" t="s">
        <v>8953</v>
      </c>
      <c r="AD744" t="s">
        <v>5741</v>
      </c>
      <c r="AE744">
        <v>14</v>
      </c>
      <c r="AF744">
        <v>1</v>
      </c>
      <c r="AG744">
        <v>0</v>
      </c>
      <c r="AH744">
        <v>134.06</v>
      </c>
      <c r="AK744" t="s">
        <v>10966</v>
      </c>
      <c r="AL744">
        <v>16744</v>
      </c>
      <c r="AR744">
        <v>6.75</v>
      </c>
      <c r="AS744" t="s">
        <v>6821</v>
      </c>
      <c r="AT744" t="s">
        <v>11184</v>
      </c>
      <c r="AV744" t="s">
        <v>11231</v>
      </c>
      <c r="AW744" t="s">
        <v>11164</v>
      </c>
    </row>
    <row r="745" spans="1:49">
      <c r="A745" s="1">
        <f>HYPERLINK("https://lsnyc.legalserver.org/matter/dynamic-profile/view/1904896","19-1904896")</f>
        <v>0</v>
      </c>
      <c r="B745" t="s">
        <v>111</v>
      </c>
      <c r="C745" t="s">
        <v>453</v>
      </c>
      <c r="D745" t="s">
        <v>2190</v>
      </c>
      <c r="E745" t="s">
        <v>3785</v>
      </c>
      <c r="F745" t="s">
        <v>5359</v>
      </c>
      <c r="G745" t="s">
        <v>5638</v>
      </c>
      <c r="H745">
        <v>10034</v>
      </c>
      <c r="I745" t="s">
        <v>5695</v>
      </c>
      <c r="J745" t="s">
        <v>5696</v>
      </c>
      <c r="M745" t="s">
        <v>6733</v>
      </c>
      <c r="O745" t="s">
        <v>6745</v>
      </c>
      <c r="P745" t="s">
        <v>5697</v>
      </c>
      <c r="R745" t="s">
        <v>6793</v>
      </c>
      <c r="T745" t="s">
        <v>6812</v>
      </c>
      <c r="U745">
        <v>1036.77</v>
      </c>
      <c r="V745" t="s">
        <v>6836</v>
      </c>
      <c r="W745" t="s">
        <v>6842</v>
      </c>
      <c r="Y745" t="s">
        <v>7582</v>
      </c>
      <c r="AA745" t="s">
        <v>9643</v>
      </c>
      <c r="AB745">
        <v>65</v>
      </c>
      <c r="AC745" t="s">
        <v>10929</v>
      </c>
      <c r="AD745" t="s">
        <v>5741</v>
      </c>
      <c r="AE745">
        <v>4</v>
      </c>
      <c r="AF745">
        <v>1</v>
      </c>
      <c r="AG745">
        <v>0</v>
      </c>
      <c r="AH745">
        <v>76.86</v>
      </c>
      <c r="AK745" t="s">
        <v>10966</v>
      </c>
      <c r="AL745">
        <v>9600</v>
      </c>
      <c r="AR745">
        <v>1.2</v>
      </c>
      <c r="AS745" t="s">
        <v>6815</v>
      </c>
      <c r="AT745" t="s">
        <v>11201</v>
      </c>
      <c r="AU745" t="s">
        <v>11228</v>
      </c>
      <c r="AV745" t="s">
        <v>11231</v>
      </c>
      <c r="AW745" t="s">
        <v>6812</v>
      </c>
    </row>
    <row r="746" spans="1:49">
      <c r="A746" s="1">
        <f>HYPERLINK("https://lsnyc.legalserver.org/matter/dynamic-profile/view/1904895","19-1904895")</f>
        <v>0</v>
      </c>
      <c r="B746" t="s">
        <v>111</v>
      </c>
      <c r="C746" t="s">
        <v>307</v>
      </c>
      <c r="D746" t="s">
        <v>2191</v>
      </c>
      <c r="E746" t="s">
        <v>3786</v>
      </c>
      <c r="F746" t="s">
        <v>5137</v>
      </c>
      <c r="G746" t="s">
        <v>5638</v>
      </c>
      <c r="H746">
        <v>10034</v>
      </c>
      <c r="I746" t="s">
        <v>5695</v>
      </c>
      <c r="J746" t="s">
        <v>5696</v>
      </c>
      <c r="M746" t="s">
        <v>6733</v>
      </c>
      <c r="O746" t="s">
        <v>6745</v>
      </c>
      <c r="P746" t="s">
        <v>5697</v>
      </c>
      <c r="R746" t="s">
        <v>6793</v>
      </c>
      <c r="T746" t="s">
        <v>6812</v>
      </c>
      <c r="U746">
        <v>2350</v>
      </c>
      <c r="V746" t="s">
        <v>6836</v>
      </c>
      <c r="W746" t="s">
        <v>6842</v>
      </c>
      <c r="Y746" t="s">
        <v>7583</v>
      </c>
      <c r="AA746" t="s">
        <v>9644</v>
      </c>
      <c r="AB746">
        <v>41</v>
      </c>
      <c r="AC746" t="s">
        <v>10930</v>
      </c>
      <c r="AD746" t="s">
        <v>5741</v>
      </c>
      <c r="AE746">
        <v>3</v>
      </c>
      <c r="AF746">
        <v>1</v>
      </c>
      <c r="AG746">
        <v>0</v>
      </c>
      <c r="AH746">
        <v>192.15</v>
      </c>
      <c r="AK746" t="s">
        <v>10966</v>
      </c>
      <c r="AL746">
        <v>24000</v>
      </c>
      <c r="AR746">
        <v>1.6</v>
      </c>
      <c r="AS746" t="s">
        <v>6824</v>
      </c>
      <c r="AT746" t="s">
        <v>11201</v>
      </c>
      <c r="AU746" t="s">
        <v>11228</v>
      </c>
      <c r="AV746" t="s">
        <v>11231</v>
      </c>
      <c r="AW746" t="s">
        <v>6812</v>
      </c>
    </row>
    <row r="747" spans="1:49">
      <c r="A747" s="1">
        <f>HYPERLINK("https://lsnyc.legalserver.org/matter/dynamic-profile/view/1899726","19-1899726")</f>
        <v>0</v>
      </c>
      <c r="B747" t="s">
        <v>207</v>
      </c>
      <c r="C747" t="s">
        <v>537</v>
      </c>
      <c r="D747" t="s">
        <v>2192</v>
      </c>
      <c r="E747" t="s">
        <v>3787</v>
      </c>
      <c r="F747">
        <v>220</v>
      </c>
      <c r="G747" t="s">
        <v>5635</v>
      </c>
      <c r="H747">
        <v>10459</v>
      </c>
      <c r="I747" t="s">
        <v>5695</v>
      </c>
      <c r="J747" t="s">
        <v>5696</v>
      </c>
      <c r="M747" t="s">
        <v>6733</v>
      </c>
      <c r="O747" t="s">
        <v>6745</v>
      </c>
      <c r="P747" t="s">
        <v>5697</v>
      </c>
      <c r="R747" t="s">
        <v>6793</v>
      </c>
      <c r="U747">
        <v>1041</v>
      </c>
      <c r="V747" t="s">
        <v>6833</v>
      </c>
      <c r="W747" t="s">
        <v>6838</v>
      </c>
      <c r="Y747" t="s">
        <v>7584</v>
      </c>
      <c r="AA747" t="s">
        <v>9645</v>
      </c>
      <c r="AB747">
        <v>141</v>
      </c>
      <c r="AC747" t="s">
        <v>8953</v>
      </c>
      <c r="AD747" t="s">
        <v>10946</v>
      </c>
      <c r="AE747">
        <v>3</v>
      </c>
      <c r="AF747">
        <v>1</v>
      </c>
      <c r="AG747">
        <v>2</v>
      </c>
      <c r="AH747">
        <v>78.95</v>
      </c>
      <c r="AK747" t="s">
        <v>10967</v>
      </c>
      <c r="AL747">
        <v>16840</v>
      </c>
      <c r="AM747" t="s">
        <v>11054</v>
      </c>
      <c r="AR747">
        <v>0.8</v>
      </c>
      <c r="AS747" t="s">
        <v>11157</v>
      </c>
      <c r="AT747" t="s">
        <v>219</v>
      </c>
      <c r="AU747" t="s">
        <v>11228</v>
      </c>
      <c r="AV747" t="s">
        <v>11231</v>
      </c>
      <c r="AW747" t="s">
        <v>11122</v>
      </c>
    </row>
    <row r="748" spans="1:49">
      <c r="A748" s="1">
        <f>HYPERLINK("https://lsnyc.legalserver.org/matter/dynamic-profile/view/1898186","19-1898186")</f>
        <v>0</v>
      </c>
      <c r="B748" t="s">
        <v>239</v>
      </c>
      <c r="C748" t="s">
        <v>860</v>
      </c>
      <c r="D748" t="s">
        <v>2193</v>
      </c>
      <c r="E748" t="s">
        <v>3788</v>
      </c>
      <c r="G748" t="s">
        <v>5637</v>
      </c>
      <c r="H748">
        <v>11203</v>
      </c>
      <c r="I748" t="s">
        <v>5696</v>
      </c>
      <c r="J748" t="s">
        <v>5696</v>
      </c>
      <c r="M748" t="s">
        <v>6733</v>
      </c>
      <c r="O748" t="s">
        <v>6780</v>
      </c>
      <c r="R748" t="s">
        <v>6799</v>
      </c>
      <c r="U748">
        <v>0</v>
      </c>
      <c r="V748" t="s">
        <v>6835</v>
      </c>
      <c r="Y748" t="s">
        <v>7585</v>
      </c>
      <c r="AA748" t="s">
        <v>9646</v>
      </c>
      <c r="AB748">
        <v>0</v>
      </c>
      <c r="AE748">
        <v>0</v>
      </c>
      <c r="AF748">
        <v>3</v>
      </c>
      <c r="AG748">
        <v>0</v>
      </c>
      <c r="AH748">
        <v>552.3099999999999</v>
      </c>
      <c r="AK748" t="s">
        <v>10966</v>
      </c>
      <c r="AL748">
        <v>117808</v>
      </c>
      <c r="AR748">
        <v>5.8</v>
      </c>
      <c r="AS748" t="s">
        <v>6819</v>
      </c>
      <c r="AT748" t="s">
        <v>239</v>
      </c>
      <c r="AV748" t="s">
        <v>11231</v>
      </c>
      <c r="AW748" t="s">
        <v>10961</v>
      </c>
    </row>
    <row r="749" spans="1:49">
      <c r="A749" s="1">
        <f>HYPERLINK("https://lsnyc.legalserver.org/matter/dynamic-profile/view/1896037","19-1896037")</f>
        <v>0</v>
      </c>
      <c r="B749" t="s">
        <v>132</v>
      </c>
      <c r="C749" t="s">
        <v>861</v>
      </c>
      <c r="D749" t="s">
        <v>1717</v>
      </c>
      <c r="E749" t="s">
        <v>3789</v>
      </c>
      <c r="F749" t="s">
        <v>5137</v>
      </c>
      <c r="G749" t="s">
        <v>5637</v>
      </c>
      <c r="H749">
        <v>11238</v>
      </c>
      <c r="I749" t="s">
        <v>5696</v>
      </c>
      <c r="J749" t="s">
        <v>5696</v>
      </c>
      <c r="M749" t="s">
        <v>6733</v>
      </c>
      <c r="O749" t="s">
        <v>6746</v>
      </c>
      <c r="R749" t="s">
        <v>6793</v>
      </c>
      <c r="U749">
        <v>981.67</v>
      </c>
      <c r="V749" t="s">
        <v>6835</v>
      </c>
      <c r="W749" t="s">
        <v>6843</v>
      </c>
      <c r="Y749" t="s">
        <v>7586</v>
      </c>
      <c r="AA749" t="s">
        <v>9647</v>
      </c>
      <c r="AB749">
        <v>7</v>
      </c>
      <c r="AC749" t="s">
        <v>10929</v>
      </c>
      <c r="AD749" t="s">
        <v>5741</v>
      </c>
      <c r="AE749">
        <v>30</v>
      </c>
      <c r="AF749">
        <v>1</v>
      </c>
      <c r="AG749">
        <v>0</v>
      </c>
      <c r="AH749">
        <v>20.82</v>
      </c>
      <c r="AK749" t="s">
        <v>10966</v>
      </c>
      <c r="AL749">
        <v>2600</v>
      </c>
      <c r="AR749">
        <v>30.4</v>
      </c>
      <c r="AS749" t="s">
        <v>6827</v>
      </c>
      <c r="AT749" t="s">
        <v>11203</v>
      </c>
      <c r="AV749" t="s">
        <v>11231</v>
      </c>
      <c r="AW749" t="s">
        <v>10962</v>
      </c>
    </row>
    <row r="750" spans="1:49">
      <c r="A750" s="1">
        <f>HYPERLINK("https://lsnyc.legalserver.org/matter/dynamic-profile/view/1901197","19-1901197")</f>
        <v>0</v>
      </c>
      <c r="B750" t="s">
        <v>240</v>
      </c>
      <c r="C750" t="s">
        <v>708</v>
      </c>
      <c r="D750" t="s">
        <v>2194</v>
      </c>
      <c r="E750" t="s">
        <v>3790</v>
      </c>
      <c r="F750" t="s">
        <v>5252</v>
      </c>
      <c r="G750" t="s">
        <v>5637</v>
      </c>
      <c r="H750">
        <v>11226</v>
      </c>
      <c r="I750" t="s">
        <v>5696</v>
      </c>
      <c r="J750" t="s">
        <v>5696</v>
      </c>
      <c r="M750" t="s">
        <v>6733</v>
      </c>
      <c r="O750" t="s">
        <v>6764</v>
      </c>
      <c r="R750" t="s">
        <v>6795</v>
      </c>
      <c r="U750">
        <v>0</v>
      </c>
      <c r="V750" t="s">
        <v>6833</v>
      </c>
      <c r="Y750" t="s">
        <v>7587</v>
      </c>
      <c r="AA750" t="s">
        <v>9648</v>
      </c>
      <c r="AB750">
        <v>0</v>
      </c>
      <c r="AE750">
        <v>0</v>
      </c>
      <c r="AF750">
        <v>1</v>
      </c>
      <c r="AG750">
        <v>0</v>
      </c>
      <c r="AH750">
        <v>79.55</v>
      </c>
      <c r="AK750" t="s">
        <v>10966</v>
      </c>
      <c r="AL750">
        <v>9936</v>
      </c>
      <c r="AR750">
        <v>1.8</v>
      </c>
      <c r="AS750" t="s">
        <v>6821</v>
      </c>
      <c r="AT750" t="s">
        <v>240</v>
      </c>
      <c r="AV750" t="s">
        <v>11231</v>
      </c>
      <c r="AW750" t="s">
        <v>11162</v>
      </c>
    </row>
    <row r="751" spans="1:49">
      <c r="A751" s="1">
        <f>HYPERLINK("https://lsnyc.legalserver.org/matter/dynamic-profile/view/1904192","19-1904192")</f>
        <v>0</v>
      </c>
      <c r="B751" t="s">
        <v>117</v>
      </c>
      <c r="C751" t="s">
        <v>862</v>
      </c>
      <c r="D751" t="s">
        <v>2195</v>
      </c>
      <c r="E751" t="s">
        <v>3791</v>
      </c>
      <c r="F751" t="s">
        <v>5360</v>
      </c>
      <c r="G751" t="s">
        <v>5637</v>
      </c>
      <c r="H751">
        <v>11213</v>
      </c>
      <c r="I751" t="s">
        <v>5696</v>
      </c>
      <c r="J751" t="s">
        <v>5696</v>
      </c>
      <c r="M751" t="s">
        <v>6733</v>
      </c>
      <c r="O751" t="s">
        <v>6754</v>
      </c>
      <c r="R751" t="s">
        <v>6795</v>
      </c>
      <c r="U751">
        <v>490</v>
      </c>
      <c r="V751" t="s">
        <v>6835</v>
      </c>
      <c r="W751" t="s">
        <v>6852</v>
      </c>
      <c r="Y751" t="s">
        <v>7588</v>
      </c>
      <c r="AB751">
        <v>6</v>
      </c>
      <c r="AC751" t="s">
        <v>8953</v>
      </c>
      <c r="AE751">
        <v>20</v>
      </c>
      <c r="AF751">
        <v>1</v>
      </c>
      <c r="AG751">
        <v>0</v>
      </c>
      <c r="AH751">
        <v>72.06</v>
      </c>
      <c r="AK751" t="s">
        <v>10966</v>
      </c>
      <c r="AL751">
        <v>9000</v>
      </c>
      <c r="AR751">
        <v>1</v>
      </c>
      <c r="AS751" t="s">
        <v>6818</v>
      </c>
      <c r="AT751" t="s">
        <v>11198</v>
      </c>
      <c r="AV751" t="s">
        <v>11231</v>
      </c>
      <c r="AW751" t="s">
        <v>6818</v>
      </c>
    </row>
    <row r="752" spans="1:49">
      <c r="A752" s="1">
        <f>HYPERLINK("https://lsnyc.legalserver.org/matter/dynamic-profile/view/1897459","19-1897459")</f>
        <v>0</v>
      </c>
      <c r="B752" t="s">
        <v>85</v>
      </c>
      <c r="C752" t="s">
        <v>863</v>
      </c>
      <c r="D752" t="s">
        <v>2196</v>
      </c>
      <c r="E752" t="s">
        <v>3792</v>
      </c>
      <c r="F752" t="s">
        <v>5204</v>
      </c>
      <c r="G752" t="s">
        <v>5637</v>
      </c>
      <c r="H752">
        <v>11223</v>
      </c>
      <c r="I752" t="s">
        <v>5696</v>
      </c>
      <c r="J752" t="s">
        <v>5696</v>
      </c>
      <c r="M752" t="s">
        <v>6733</v>
      </c>
      <c r="O752" t="s">
        <v>6754</v>
      </c>
      <c r="R752" t="s">
        <v>6796</v>
      </c>
      <c r="U752">
        <v>0</v>
      </c>
      <c r="V752" t="s">
        <v>6835</v>
      </c>
      <c r="Y752" t="s">
        <v>7589</v>
      </c>
      <c r="AB752">
        <v>0</v>
      </c>
      <c r="AC752" t="s">
        <v>10929</v>
      </c>
      <c r="AD752" t="s">
        <v>10944</v>
      </c>
      <c r="AE752">
        <v>14</v>
      </c>
      <c r="AF752">
        <v>1</v>
      </c>
      <c r="AG752">
        <v>0</v>
      </c>
      <c r="AH752">
        <v>82.43000000000001</v>
      </c>
      <c r="AK752" t="s">
        <v>10969</v>
      </c>
      <c r="AL752">
        <v>10296</v>
      </c>
      <c r="AR752">
        <v>1.5</v>
      </c>
      <c r="AS752" t="s">
        <v>11165</v>
      </c>
      <c r="AT752" t="s">
        <v>85</v>
      </c>
      <c r="AV752" t="s">
        <v>11231</v>
      </c>
      <c r="AW752" t="s">
        <v>11165</v>
      </c>
    </row>
    <row r="753" spans="1:49">
      <c r="A753" s="1">
        <f>HYPERLINK("https://lsnyc.legalserver.org/matter/dynamic-profile/view/1900657","19-1900657")</f>
        <v>0</v>
      </c>
      <c r="B753" t="s">
        <v>85</v>
      </c>
      <c r="C753" t="s">
        <v>864</v>
      </c>
      <c r="D753" t="s">
        <v>2197</v>
      </c>
      <c r="E753" t="s">
        <v>3793</v>
      </c>
      <c r="F753" t="s">
        <v>5361</v>
      </c>
      <c r="G753" t="s">
        <v>5637</v>
      </c>
      <c r="H753">
        <v>11204</v>
      </c>
      <c r="I753" t="s">
        <v>5696</v>
      </c>
      <c r="J753" t="s">
        <v>5696</v>
      </c>
      <c r="M753" t="s">
        <v>6733</v>
      </c>
      <c r="O753" t="s">
        <v>6756</v>
      </c>
      <c r="R753" t="s">
        <v>6795</v>
      </c>
      <c r="U753">
        <v>0</v>
      </c>
      <c r="V753" t="s">
        <v>6835</v>
      </c>
      <c r="Y753" t="s">
        <v>7590</v>
      </c>
      <c r="AB753">
        <v>0</v>
      </c>
      <c r="AE753">
        <v>0</v>
      </c>
      <c r="AF753">
        <v>1</v>
      </c>
      <c r="AG753">
        <v>0</v>
      </c>
      <c r="AH753">
        <v>124.9</v>
      </c>
      <c r="AK753" t="s">
        <v>10967</v>
      </c>
      <c r="AL753">
        <v>15600</v>
      </c>
      <c r="AR753">
        <v>10.5</v>
      </c>
      <c r="AS753" t="s">
        <v>6823</v>
      </c>
      <c r="AT753" t="s">
        <v>117</v>
      </c>
      <c r="AV753" t="s">
        <v>11231</v>
      </c>
      <c r="AW753" t="s">
        <v>6895</v>
      </c>
    </row>
    <row r="754" spans="1:49">
      <c r="A754" s="1">
        <f>HYPERLINK("https://lsnyc.legalserver.org/matter/dynamic-profile/view/1896929","19-1896929")</f>
        <v>0</v>
      </c>
      <c r="B754" t="s">
        <v>169</v>
      </c>
      <c r="C754" t="s">
        <v>865</v>
      </c>
      <c r="D754" t="s">
        <v>2198</v>
      </c>
      <c r="E754" t="s">
        <v>3794</v>
      </c>
      <c r="G754" t="s">
        <v>5657</v>
      </c>
      <c r="H754">
        <v>11412</v>
      </c>
      <c r="I754" t="s">
        <v>5696</v>
      </c>
      <c r="J754" t="s">
        <v>5696</v>
      </c>
      <c r="M754" t="s">
        <v>6733</v>
      </c>
      <c r="O754" t="s">
        <v>6778</v>
      </c>
      <c r="R754" t="s">
        <v>6798</v>
      </c>
      <c r="U754">
        <v>0</v>
      </c>
      <c r="V754" t="s">
        <v>6837</v>
      </c>
      <c r="Y754" t="s">
        <v>7591</v>
      </c>
      <c r="AB754">
        <v>0</v>
      </c>
      <c r="AE754">
        <v>0</v>
      </c>
      <c r="AF754">
        <v>3</v>
      </c>
      <c r="AG754">
        <v>2</v>
      </c>
      <c r="AH754">
        <v>47.33</v>
      </c>
      <c r="AL754">
        <v>14280</v>
      </c>
      <c r="AR754">
        <v>2.5</v>
      </c>
      <c r="AS754" t="s">
        <v>6811</v>
      </c>
      <c r="AT754" t="s">
        <v>169</v>
      </c>
      <c r="AV754" t="s">
        <v>11231</v>
      </c>
      <c r="AW754" t="s">
        <v>11130</v>
      </c>
    </row>
    <row r="755" spans="1:49">
      <c r="A755" s="1">
        <f>HYPERLINK("https://lsnyc.legalserver.org/matter/dynamic-profile/view/1903044","19-1903044")</f>
        <v>0</v>
      </c>
      <c r="B755" t="s">
        <v>117</v>
      </c>
      <c r="C755" t="s">
        <v>866</v>
      </c>
      <c r="D755" t="s">
        <v>1657</v>
      </c>
      <c r="E755" t="s">
        <v>3795</v>
      </c>
      <c r="F755" t="s">
        <v>5316</v>
      </c>
      <c r="G755" t="s">
        <v>5637</v>
      </c>
      <c r="H755">
        <v>11207</v>
      </c>
      <c r="I755" t="s">
        <v>5696</v>
      </c>
      <c r="J755" t="s">
        <v>5696</v>
      </c>
      <c r="M755" t="s">
        <v>6733</v>
      </c>
      <c r="O755" t="s">
        <v>6754</v>
      </c>
      <c r="R755" t="s">
        <v>6795</v>
      </c>
      <c r="U755">
        <v>0</v>
      </c>
      <c r="V755" t="s">
        <v>6835</v>
      </c>
      <c r="Y755" t="s">
        <v>7592</v>
      </c>
      <c r="AB755">
        <v>0</v>
      </c>
      <c r="AE755">
        <v>0</v>
      </c>
      <c r="AF755">
        <v>1</v>
      </c>
      <c r="AG755">
        <v>0</v>
      </c>
      <c r="AH755">
        <v>86.47</v>
      </c>
      <c r="AL755">
        <v>10800</v>
      </c>
      <c r="AR755">
        <v>1.5</v>
      </c>
      <c r="AS755" t="s">
        <v>11138</v>
      </c>
      <c r="AT755" t="s">
        <v>117</v>
      </c>
      <c r="AV755" t="s">
        <v>11231</v>
      </c>
      <c r="AW755" t="s">
        <v>11138</v>
      </c>
    </row>
    <row r="756" spans="1:49">
      <c r="A756" s="1">
        <f>HYPERLINK("https://lsnyc.legalserver.org/matter/dynamic-profile/view/1896919","19-1896919")</f>
        <v>0</v>
      </c>
      <c r="B756" t="s">
        <v>169</v>
      </c>
      <c r="C756" t="s">
        <v>867</v>
      </c>
      <c r="D756" t="s">
        <v>1845</v>
      </c>
      <c r="E756" t="s">
        <v>3796</v>
      </c>
      <c r="G756" t="s">
        <v>5672</v>
      </c>
      <c r="H756">
        <v>11411</v>
      </c>
      <c r="I756" t="s">
        <v>5696</v>
      </c>
      <c r="J756" t="s">
        <v>5696</v>
      </c>
      <c r="M756" t="s">
        <v>6733</v>
      </c>
      <c r="O756" t="s">
        <v>6778</v>
      </c>
      <c r="R756" t="s">
        <v>6798</v>
      </c>
      <c r="U756">
        <v>0</v>
      </c>
      <c r="V756" t="s">
        <v>6837</v>
      </c>
      <c r="Y756" t="s">
        <v>7593</v>
      </c>
      <c r="AB756">
        <v>0</v>
      </c>
      <c r="AE756">
        <v>0</v>
      </c>
      <c r="AF756">
        <v>2</v>
      </c>
      <c r="AG756">
        <v>2</v>
      </c>
      <c r="AH756">
        <v>174.76</v>
      </c>
      <c r="AL756">
        <v>45000</v>
      </c>
      <c r="AR756">
        <v>2.2</v>
      </c>
      <c r="AS756" t="s">
        <v>6821</v>
      </c>
      <c r="AT756" t="s">
        <v>169</v>
      </c>
      <c r="AV756" t="s">
        <v>11231</v>
      </c>
      <c r="AW756" t="s">
        <v>11130</v>
      </c>
    </row>
    <row r="757" spans="1:49">
      <c r="A757" s="1">
        <f>HYPERLINK("https://lsnyc.legalserver.org/matter/dynamic-profile/view/1904698","19-1904698")</f>
        <v>0</v>
      </c>
      <c r="B757" t="s">
        <v>207</v>
      </c>
      <c r="C757" t="s">
        <v>868</v>
      </c>
      <c r="D757" t="s">
        <v>2199</v>
      </c>
      <c r="E757" t="s">
        <v>3797</v>
      </c>
      <c r="F757">
        <v>12</v>
      </c>
      <c r="G757" t="s">
        <v>5635</v>
      </c>
      <c r="H757">
        <v>10451</v>
      </c>
      <c r="I757" t="s">
        <v>5695</v>
      </c>
      <c r="J757" t="s">
        <v>5696</v>
      </c>
      <c r="L757" t="s">
        <v>6722</v>
      </c>
      <c r="M757" t="s">
        <v>6734</v>
      </c>
      <c r="O757" t="s">
        <v>6745</v>
      </c>
      <c r="P757" t="s">
        <v>5695</v>
      </c>
      <c r="R757" t="s">
        <v>6793</v>
      </c>
      <c r="U757">
        <v>0</v>
      </c>
      <c r="V757" t="s">
        <v>6833</v>
      </c>
      <c r="W757" t="s">
        <v>6842</v>
      </c>
      <c r="Y757" t="s">
        <v>7594</v>
      </c>
      <c r="AA757" t="s">
        <v>9649</v>
      </c>
      <c r="AB757">
        <v>13</v>
      </c>
      <c r="AC757" t="s">
        <v>10929</v>
      </c>
      <c r="AD757" t="s">
        <v>5741</v>
      </c>
      <c r="AE757">
        <v>5</v>
      </c>
      <c r="AF757">
        <v>3</v>
      </c>
      <c r="AG757">
        <v>0</v>
      </c>
      <c r="AH757">
        <v>234.41</v>
      </c>
      <c r="AK757" t="s">
        <v>10966</v>
      </c>
      <c r="AL757">
        <v>50000</v>
      </c>
      <c r="AR757">
        <v>1.75</v>
      </c>
      <c r="AS757" t="s">
        <v>6816</v>
      </c>
      <c r="AT757" t="s">
        <v>93</v>
      </c>
      <c r="AU757" t="s">
        <v>11228</v>
      </c>
      <c r="AV757" t="s">
        <v>11231</v>
      </c>
      <c r="AW757" t="s">
        <v>6809</v>
      </c>
    </row>
    <row r="758" spans="1:49">
      <c r="A758" s="1">
        <f>HYPERLINK("https://lsnyc.legalserver.org/matter/dynamic-profile/view/1905196","19-1905196")</f>
        <v>0</v>
      </c>
      <c r="B758" t="s">
        <v>234</v>
      </c>
      <c r="C758" t="s">
        <v>361</v>
      </c>
      <c r="D758" t="s">
        <v>1718</v>
      </c>
      <c r="E758" t="s">
        <v>3758</v>
      </c>
      <c r="F758" t="s">
        <v>5105</v>
      </c>
      <c r="G758" t="s">
        <v>5638</v>
      </c>
      <c r="H758">
        <v>10024</v>
      </c>
      <c r="I758" t="s">
        <v>5695</v>
      </c>
      <c r="J758" t="s">
        <v>5696</v>
      </c>
      <c r="L758" t="s">
        <v>6711</v>
      </c>
      <c r="M758" t="s">
        <v>6734</v>
      </c>
      <c r="O758" t="s">
        <v>6745</v>
      </c>
      <c r="P758" t="s">
        <v>5695</v>
      </c>
      <c r="R758" t="s">
        <v>6793</v>
      </c>
      <c r="S758" t="s">
        <v>6801</v>
      </c>
      <c r="T758" t="s">
        <v>6814</v>
      </c>
      <c r="U758">
        <v>875</v>
      </c>
      <c r="V758" t="s">
        <v>6836</v>
      </c>
      <c r="W758" t="s">
        <v>6845</v>
      </c>
      <c r="Y758" t="s">
        <v>7595</v>
      </c>
      <c r="AA758" t="s">
        <v>9650</v>
      </c>
      <c r="AB758">
        <v>10</v>
      </c>
      <c r="AC758" t="s">
        <v>10929</v>
      </c>
      <c r="AD758" t="s">
        <v>10945</v>
      </c>
      <c r="AE758">
        <v>48</v>
      </c>
      <c r="AF758">
        <v>2</v>
      </c>
      <c r="AG758">
        <v>0</v>
      </c>
      <c r="AH758">
        <v>15.97</v>
      </c>
      <c r="AK758" t="s">
        <v>10966</v>
      </c>
      <c r="AL758">
        <v>2700</v>
      </c>
      <c r="AR758">
        <v>0</v>
      </c>
      <c r="AT758" t="s">
        <v>11219</v>
      </c>
      <c r="AU758" t="s">
        <v>11228</v>
      </c>
      <c r="AV758" t="s">
        <v>11231</v>
      </c>
      <c r="AW758" t="s">
        <v>6808</v>
      </c>
    </row>
    <row r="759" spans="1:49">
      <c r="A759" s="1">
        <f>HYPERLINK("https://lsnyc.legalserver.org/matter/dynamic-profile/view/1902407","19-1902407")</f>
        <v>0</v>
      </c>
      <c r="B759" t="s">
        <v>109</v>
      </c>
      <c r="C759" t="s">
        <v>334</v>
      </c>
      <c r="D759" t="s">
        <v>2200</v>
      </c>
      <c r="E759" t="s">
        <v>3798</v>
      </c>
      <c r="F759" t="s">
        <v>5362</v>
      </c>
      <c r="G759" t="s">
        <v>5635</v>
      </c>
      <c r="H759">
        <v>10466</v>
      </c>
      <c r="I759" t="s">
        <v>5695</v>
      </c>
      <c r="J759" t="s">
        <v>5696</v>
      </c>
      <c r="K759" t="s">
        <v>5946</v>
      </c>
      <c r="L759" t="s">
        <v>6712</v>
      </c>
      <c r="M759" t="s">
        <v>6734</v>
      </c>
      <c r="O759" t="s">
        <v>6748</v>
      </c>
      <c r="P759" t="s">
        <v>5697</v>
      </c>
      <c r="R759" t="s">
        <v>6793</v>
      </c>
      <c r="U759">
        <v>700</v>
      </c>
      <c r="V759" t="s">
        <v>6833</v>
      </c>
      <c r="W759" t="s">
        <v>6843</v>
      </c>
      <c r="Y759" t="s">
        <v>7596</v>
      </c>
      <c r="AA759" t="s">
        <v>8917</v>
      </c>
      <c r="AB759">
        <v>0</v>
      </c>
      <c r="AD759" t="s">
        <v>5741</v>
      </c>
      <c r="AE759">
        <v>1</v>
      </c>
      <c r="AF759">
        <v>1</v>
      </c>
      <c r="AG759">
        <v>0</v>
      </c>
      <c r="AH759">
        <v>72.86</v>
      </c>
      <c r="AK759" t="s">
        <v>10966</v>
      </c>
      <c r="AL759">
        <v>9100</v>
      </c>
      <c r="AM759" t="s">
        <v>11055</v>
      </c>
      <c r="AR759">
        <v>2.5</v>
      </c>
      <c r="AS759" t="s">
        <v>11116</v>
      </c>
      <c r="AT759" t="s">
        <v>11179</v>
      </c>
      <c r="AU759" t="s">
        <v>11228</v>
      </c>
      <c r="AV759" t="s">
        <v>11231</v>
      </c>
      <c r="AW759" t="s">
        <v>11140</v>
      </c>
    </row>
    <row r="760" spans="1:49">
      <c r="A760" s="1">
        <f>HYPERLINK("https://lsnyc.legalserver.org/matter/dynamic-profile/view/1900451","19-1900451")</f>
        <v>0</v>
      </c>
      <c r="B760" t="s">
        <v>215</v>
      </c>
      <c r="C760" t="s">
        <v>869</v>
      </c>
      <c r="D760" t="s">
        <v>1511</v>
      </c>
      <c r="E760" t="s">
        <v>3799</v>
      </c>
      <c r="F760" t="s">
        <v>5363</v>
      </c>
      <c r="G760" t="s">
        <v>5637</v>
      </c>
      <c r="H760">
        <v>11213</v>
      </c>
      <c r="I760" t="s">
        <v>5697</v>
      </c>
      <c r="J760" t="s">
        <v>5696</v>
      </c>
      <c r="K760" t="s">
        <v>5947</v>
      </c>
      <c r="L760" t="s">
        <v>6712</v>
      </c>
      <c r="M760" t="s">
        <v>6734</v>
      </c>
      <c r="O760" t="s">
        <v>6746</v>
      </c>
      <c r="R760" t="s">
        <v>6793</v>
      </c>
      <c r="U760">
        <v>551.34</v>
      </c>
      <c r="V760" t="s">
        <v>6835</v>
      </c>
      <c r="W760" t="s">
        <v>6838</v>
      </c>
      <c r="Y760" t="s">
        <v>7457</v>
      </c>
      <c r="AA760" t="s">
        <v>9651</v>
      </c>
      <c r="AB760">
        <v>4</v>
      </c>
      <c r="AE760">
        <v>13</v>
      </c>
      <c r="AF760">
        <v>1</v>
      </c>
      <c r="AG760">
        <v>0</v>
      </c>
      <c r="AH760">
        <v>229.4</v>
      </c>
      <c r="AI760" t="s">
        <v>10953</v>
      </c>
      <c r="AJ760" t="s">
        <v>10963</v>
      </c>
      <c r="AK760" t="s">
        <v>10966</v>
      </c>
      <c r="AL760">
        <v>28652</v>
      </c>
      <c r="AR760">
        <v>9.300000000000001</v>
      </c>
      <c r="AS760" t="s">
        <v>11173</v>
      </c>
      <c r="AT760" t="s">
        <v>11198</v>
      </c>
      <c r="AV760" t="s">
        <v>11231</v>
      </c>
      <c r="AW760" t="s">
        <v>11160</v>
      </c>
    </row>
    <row r="761" spans="1:49">
      <c r="A761" s="1">
        <f>HYPERLINK("https://lsnyc.legalserver.org/matter/dynamic-profile/view/1906189","19-1906189")</f>
        <v>0</v>
      </c>
      <c r="B761" t="s">
        <v>95</v>
      </c>
      <c r="C761" t="s">
        <v>870</v>
      </c>
      <c r="D761" t="s">
        <v>2201</v>
      </c>
      <c r="E761" t="s">
        <v>3800</v>
      </c>
      <c r="F761" t="s">
        <v>5364</v>
      </c>
      <c r="G761" t="s">
        <v>5637</v>
      </c>
      <c r="H761">
        <v>11203</v>
      </c>
      <c r="I761" t="s">
        <v>5695</v>
      </c>
      <c r="J761" t="s">
        <v>5696</v>
      </c>
      <c r="K761" t="s">
        <v>5948</v>
      </c>
      <c r="L761" t="s">
        <v>6712</v>
      </c>
      <c r="M761" t="s">
        <v>6734</v>
      </c>
      <c r="O761" t="s">
        <v>6755</v>
      </c>
      <c r="R761" t="s">
        <v>6793</v>
      </c>
      <c r="U761">
        <v>514</v>
      </c>
      <c r="V761" t="s">
        <v>6835</v>
      </c>
      <c r="W761" t="s">
        <v>6840</v>
      </c>
      <c r="Y761" t="s">
        <v>7597</v>
      </c>
      <c r="AA761" t="s">
        <v>9652</v>
      </c>
      <c r="AB761">
        <v>127</v>
      </c>
      <c r="AD761" t="s">
        <v>5741</v>
      </c>
      <c r="AE761">
        <v>31</v>
      </c>
      <c r="AF761">
        <v>1</v>
      </c>
      <c r="AG761">
        <v>0</v>
      </c>
      <c r="AH761">
        <v>83.47</v>
      </c>
      <c r="AK761" t="s">
        <v>10966</v>
      </c>
      <c r="AL761">
        <v>10426</v>
      </c>
      <c r="AR761">
        <v>0</v>
      </c>
      <c r="AT761" t="s">
        <v>11178</v>
      </c>
      <c r="AU761" t="s">
        <v>11228</v>
      </c>
      <c r="AV761" t="s">
        <v>11231</v>
      </c>
      <c r="AW761" t="s">
        <v>6827</v>
      </c>
    </row>
    <row r="762" spans="1:49">
      <c r="A762" s="1">
        <f>HYPERLINK("https://lsnyc.legalserver.org/matter/dynamic-profile/view/1905951","19-1905951")</f>
        <v>0</v>
      </c>
      <c r="B762" t="s">
        <v>233</v>
      </c>
      <c r="C762" t="s">
        <v>574</v>
      </c>
      <c r="D762" t="s">
        <v>2202</v>
      </c>
      <c r="E762" t="s">
        <v>3801</v>
      </c>
      <c r="F762" t="s">
        <v>5283</v>
      </c>
      <c r="G762" t="s">
        <v>5637</v>
      </c>
      <c r="H762">
        <v>11226</v>
      </c>
      <c r="I762" t="s">
        <v>5695</v>
      </c>
      <c r="J762" t="s">
        <v>5696</v>
      </c>
      <c r="K762" t="s">
        <v>5949</v>
      </c>
      <c r="L762" t="s">
        <v>6712</v>
      </c>
      <c r="M762" t="s">
        <v>6734</v>
      </c>
      <c r="O762" t="s">
        <v>6753</v>
      </c>
      <c r="R762" t="s">
        <v>6793</v>
      </c>
      <c r="U762">
        <v>550</v>
      </c>
      <c r="V762" t="s">
        <v>6835</v>
      </c>
      <c r="W762" t="s">
        <v>6840</v>
      </c>
      <c r="Y762" t="s">
        <v>7598</v>
      </c>
      <c r="AA762" t="s">
        <v>9653</v>
      </c>
      <c r="AB762">
        <v>0</v>
      </c>
      <c r="AE762">
        <v>34</v>
      </c>
      <c r="AF762">
        <v>4</v>
      </c>
      <c r="AG762">
        <v>0</v>
      </c>
      <c r="AH762">
        <v>202.55</v>
      </c>
      <c r="AK762" t="s">
        <v>10966</v>
      </c>
      <c r="AL762">
        <v>52156.08</v>
      </c>
      <c r="AR762">
        <v>0</v>
      </c>
      <c r="AT762" t="s">
        <v>11178</v>
      </c>
      <c r="AU762" t="s">
        <v>11228</v>
      </c>
      <c r="AV762" t="s">
        <v>11231</v>
      </c>
      <c r="AW762" t="s">
        <v>6826</v>
      </c>
    </row>
    <row r="763" spans="1:49">
      <c r="A763" s="1">
        <f>HYPERLINK("https://lsnyc.legalserver.org/matter/dynamic-profile/view/1903928","19-1903928")</f>
        <v>0</v>
      </c>
      <c r="B763" t="s">
        <v>138</v>
      </c>
      <c r="C763" t="s">
        <v>871</v>
      </c>
      <c r="D763" t="s">
        <v>2203</v>
      </c>
      <c r="E763" t="s">
        <v>3802</v>
      </c>
      <c r="F763" t="s">
        <v>5100</v>
      </c>
      <c r="G763" t="s">
        <v>5637</v>
      </c>
      <c r="H763">
        <v>11239</v>
      </c>
      <c r="I763" t="s">
        <v>5695</v>
      </c>
      <c r="J763" t="s">
        <v>5696</v>
      </c>
      <c r="K763" t="s">
        <v>5950</v>
      </c>
      <c r="L763" t="s">
        <v>6712</v>
      </c>
      <c r="M763" t="s">
        <v>6734</v>
      </c>
      <c r="O763" t="s">
        <v>6745</v>
      </c>
      <c r="R763" t="s">
        <v>6793</v>
      </c>
      <c r="U763">
        <v>100</v>
      </c>
      <c r="V763" t="s">
        <v>6835</v>
      </c>
      <c r="W763" t="s">
        <v>6840</v>
      </c>
      <c r="Y763" t="s">
        <v>7093</v>
      </c>
      <c r="AA763" t="s">
        <v>9654</v>
      </c>
      <c r="AB763">
        <v>20</v>
      </c>
      <c r="AE763">
        <v>3</v>
      </c>
      <c r="AF763">
        <v>1</v>
      </c>
      <c r="AG763">
        <v>0</v>
      </c>
      <c r="AH763">
        <v>74.08</v>
      </c>
      <c r="AK763" t="s">
        <v>10966</v>
      </c>
      <c r="AL763">
        <v>9252</v>
      </c>
      <c r="AR763">
        <v>0.8</v>
      </c>
      <c r="AS763" t="s">
        <v>6807</v>
      </c>
      <c r="AT763" t="s">
        <v>11178</v>
      </c>
      <c r="AU763" t="s">
        <v>11228</v>
      </c>
      <c r="AV763" t="s">
        <v>11231</v>
      </c>
      <c r="AW763" t="s">
        <v>6807</v>
      </c>
    </row>
    <row r="764" spans="1:49">
      <c r="A764" s="1">
        <f>HYPERLINK("https://lsnyc.legalserver.org/matter/dynamic-profile/view/1903276","19-1903276")</f>
        <v>0</v>
      </c>
      <c r="B764" t="s">
        <v>241</v>
      </c>
      <c r="C764" t="s">
        <v>872</v>
      </c>
      <c r="D764" t="s">
        <v>2204</v>
      </c>
      <c r="E764" t="s">
        <v>3803</v>
      </c>
      <c r="F764">
        <v>1</v>
      </c>
      <c r="G764" t="s">
        <v>5637</v>
      </c>
      <c r="H764">
        <v>11225</v>
      </c>
      <c r="I764" t="s">
        <v>5696</v>
      </c>
      <c r="J764" t="s">
        <v>5696</v>
      </c>
      <c r="K764" t="s">
        <v>5951</v>
      </c>
      <c r="L764" t="s">
        <v>6712</v>
      </c>
      <c r="M764" t="s">
        <v>6734</v>
      </c>
      <c r="O764" t="s">
        <v>6755</v>
      </c>
      <c r="R764" t="s">
        <v>6793</v>
      </c>
      <c r="U764">
        <v>1500</v>
      </c>
      <c r="V764" t="s">
        <v>6835</v>
      </c>
      <c r="W764" t="s">
        <v>6854</v>
      </c>
      <c r="Y764" t="s">
        <v>7599</v>
      </c>
      <c r="AA764" t="s">
        <v>9655</v>
      </c>
      <c r="AB764">
        <v>0</v>
      </c>
      <c r="AD764" t="s">
        <v>5741</v>
      </c>
      <c r="AE764">
        <v>22</v>
      </c>
      <c r="AF764">
        <v>1</v>
      </c>
      <c r="AG764">
        <v>0</v>
      </c>
      <c r="AH764">
        <v>211.37</v>
      </c>
      <c r="AL764">
        <v>26400</v>
      </c>
      <c r="AR764">
        <v>3.7</v>
      </c>
      <c r="AS764" t="s">
        <v>6826</v>
      </c>
      <c r="AT764" t="s">
        <v>11178</v>
      </c>
      <c r="AV764" t="s">
        <v>11231</v>
      </c>
      <c r="AW764" t="s">
        <v>11139</v>
      </c>
    </row>
    <row r="765" spans="1:49">
      <c r="A765" s="1">
        <f>HYPERLINK("https://lsnyc.legalserver.org/matter/dynamic-profile/view/1906087","19-1906087")</f>
        <v>0</v>
      </c>
      <c r="B765" t="s">
        <v>138</v>
      </c>
      <c r="C765" t="s">
        <v>873</v>
      </c>
      <c r="D765" t="s">
        <v>2205</v>
      </c>
      <c r="E765" t="s">
        <v>3804</v>
      </c>
      <c r="F765">
        <v>3</v>
      </c>
      <c r="G765" t="s">
        <v>5637</v>
      </c>
      <c r="H765">
        <v>11204</v>
      </c>
      <c r="I765" t="s">
        <v>5695</v>
      </c>
      <c r="J765" t="s">
        <v>5696</v>
      </c>
      <c r="K765" t="s">
        <v>5952</v>
      </c>
      <c r="L765" t="s">
        <v>6712</v>
      </c>
      <c r="M765" t="s">
        <v>6734</v>
      </c>
      <c r="O765" t="s">
        <v>6746</v>
      </c>
      <c r="P765" t="s">
        <v>5697</v>
      </c>
      <c r="R765" t="s">
        <v>6793</v>
      </c>
      <c r="U765">
        <v>0</v>
      </c>
      <c r="V765" t="s">
        <v>6835</v>
      </c>
      <c r="Y765" t="s">
        <v>7600</v>
      </c>
      <c r="AA765" t="s">
        <v>9656</v>
      </c>
      <c r="AB765">
        <v>0</v>
      </c>
      <c r="AE765">
        <v>0</v>
      </c>
      <c r="AF765">
        <v>2</v>
      </c>
      <c r="AG765">
        <v>2</v>
      </c>
      <c r="AH765">
        <v>17.67</v>
      </c>
      <c r="AK765" t="s">
        <v>10966</v>
      </c>
      <c r="AL765">
        <v>4550</v>
      </c>
      <c r="AR765">
        <v>0</v>
      </c>
      <c r="AT765" t="s">
        <v>11197</v>
      </c>
      <c r="AU765" t="s">
        <v>11228</v>
      </c>
      <c r="AV765" t="s">
        <v>11231</v>
      </c>
      <c r="AW765" t="s">
        <v>6820</v>
      </c>
    </row>
    <row r="766" spans="1:49">
      <c r="A766" s="1">
        <f>HYPERLINK("https://lsnyc.legalserver.org/matter/dynamic-profile/view/1906325","19-1906325")</f>
        <v>0</v>
      </c>
      <c r="B766" t="s">
        <v>182</v>
      </c>
      <c r="C766" t="s">
        <v>874</v>
      </c>
      <c r="D766" t="s">
        <v>2206</v>
      </c>
      <c r="E766" t="s">
        <v>3805</v>
      </c>
      <c r="F766" t="s">
        <v>5244</v>
      </c>
      <c r="G766" t="s">
        <v>5637</v>
      </c>
      <c r="H766">
        <v>11234</v>
      </c>
      <c r="I766" t="s">
        <v>5696</v>
      </c>
      <c r="J766" t="s">
        <v>5696</v>
      </c>
      <c r="K766" t="s">
        <v>5953</v>
      </c>
      <c r="L766" t="s">
        <v>6712</v>
      </c>
      <c r="M766" t="s">
        <v>6734</v>
      </c>
      <c r="O766" t="s">
        <v>6746</v>
      </c>
      <c r="R766" t="s">
        <v>6793</v>
      </c>
      <c r="U766">
        <v>0</v>
      </c>
      <c r="V766" t="s">
        <v>6835</v>
      </c>
      <c r="W766" t="s">
        <v>6840</v>
      </c>
      <c r="Y766" t="s">
        <v>7601</v>
      </c>
      <c r="AA766" t="s">
        <v>9657</v>
      </c>
      <c r="AB766">
        <v>0</v>
      </c>
      <c r="AE766">
        <v>0</v>
      </c>
      <c r="AF766">
        <v>2</v>
      </c>
      <c r="AG766">
        <v>3</v>
      </c>
      <c r="AH766">
        <v>0</v>
      </c>
      <c r="AK766" t="s">
        <v>10966</v>
      </c>
      <c r="AL766">
        <v>0</v>
      </c>
      <c r="AR766">
        <v>0</v>
      </c>
      <c r="AT766" t="s">
        <v>280</v>
      </c>
      <c r="AV766" t="s">
        <v>11231</v>
      </c>
      <c r="AW766" t="s">
        <v>6827</v>
      </c>
    </row>
    <row r="767" spans="1:49">
      <c r="A767" s="1">
        <f>HYPERLINK("https://lsnyc.legalserver.org/matter/dynamic-profile/view/1906296","19-1906296")</f>
        <v>0</v>
      </c>
      <c r="B767" t="s">
        <v>95</v>
      </c>
      <c r="C767" t="s">
        <v>415</v>
      </c>
      <c r="D767" t="s">
        <v>1762</v>
      </c>
      <c r="E767" t="s">
        <v>3806</v>
      </c>
      <c r="F767" t="s">
        <v>5365</v>
      </c>
      <c r="G767" t="s">
        <v>5637</v>
      </c>
      <c r="H767">
        <v>11226</v>
      </c>
      <c r="I767" t="s">
        <v>5695</v>
      </c>
      <c r="J767" t="s">
        <v>5696</v>
      </c>
      <c r="K767" t="s">
        <v>5954</v>
      </c>
      <c r="L767" t="s">
        <v>6712</v>
      </c>
      <c r="M767" t="s">
        <v>6734</v>
      </c>
      <c r="O767" t="s">
        <v>6755</v>
      </c>
      <c r="R767" t="s">
        <v>6793</v>
      </c>
      <c r="U767">
        <v>800</v>
      </c>
      <c r="V767" t="s">
        <v>6835</v>
      </c>
      <c r="W767" t="s">
        <v>6840</v>
      </c>
      <c r="Y767" t="s">
        <v>7602</v>
      </c>
      <c r="AA767" t="s">
        <v>9658</v>
      </c>
      <c r="AB767">
        <v>2</v>
      </c>
      <c r="AE767">
        <v>-2</v>
      </c>
      <c r="AF767">
        <v>1</v>
      </c>
      <c r="AG767">
        <v>0</v>
      </c>
      <c r="AH767">
        <v>120.32</v>
      </c>
      <c r="AK767" t="s">
        <v>10966</v>
      </c>
      <c r="AL767">
        <v>15028</v>
      </c>
      <c r="AR767">
        <v>0</v>
      </c>
      <c r="AT767" t="s">
        <v>11178</v>
      </c>
      <c r="AU767" t="s">
        <v>11228</v>
      </c>
      <c r="AV767" t="s">
        <v>11231</v>
      </c>
      <c r="AW767" t="s">
        <v>6827</v>
      </c>
    </row>
    <row r="768" spans="1:49">
      <c r="A768" s="1">
        <f>HYPERLINK("https://lsnyc.legalserver.org/matter/dynamic-profile/view/1905325","19-1905325")</f>
        <v>0</v>
      </c>
      <c r="B768" t="s">
        <v>242</v>
      </c>
      <c r="C768" t="s">
        <v>875</v>
      </c>
      <c r="D768" t="s">
        <v>2034</v>
      </c>
      <c r="E768" t="s">
        <v>3807</v>
      </c>
      <c r="F768" t="s">
        <v>5118</v>
      </c>
      <c r="G768" t="s">
        <v>5637</v>
      </c>
      <c r="H768">
        <v>11236</v>
      </c>
      <c r="I768" t="s">
        <v>5695</v>
      </c>
      <c r="J768" t="s">
        <v>5696</v>
      </c>
      <c r="K768" t="s">
        <v>5955</v>
      </c>
      <c r="L768" t="s">
        <v>6712</v>
      </c>
      <c r="M768" t="s">
        <v>6734</v>
      </c>
      <c r="O768" t="s">
        <v>6755</v>
      </c>
      <c r="R768" t="s">
        <v>6793</v>
      </c>
      <c r="U768">
        <v>1550</v>
      </c>
      <c r="V768" t="s">
        <v>6835</v>
      </c>
      <c r="Y768" t="s">
        <v>7603</v>
      </c>
      <c r="AA768" t="s">
        <v>9659</v>
      </c>
      <c r="AB768">
        <v>0</v>
      </c>
      <c r="AD768" t="s">
        <v>6841</v>
      </c>
      <c r="AE768">
        <v>1</v>
      </c>
      <c r="AF768">
        <v>2</v>
      </c>
      <c r="AG768">
        <v>3</v>
      </c>
      <c r="AH768">
        <v>21.54</v>
      </c>
      <c r="AK768" t="s">
        <v>10966</v>
      </c>
      <c r="AL768">
        <v>6500</v>
      </c>
      <c r="AR768">
        <v>0.2</v>
      </c>
      <c r="AS768" t="s">
        <v>6823</v>
      </c>
      <c r="AT768" t="s">
        <v>11178</v>
      </c>
      <c r="AU768" t="s">
        <v>11228</v>
      </c>
      <c r="AV768" t="s">
        <v>11231</v>
      </c>
      <c r="AW768" t="s">
        <v>6828</v>
      </c>
    </row>
    <row r="769" spans="1:49">
      <c r="A769" s="1">
        <f>HYPERLINK("https://lsnyc.legalserver.org/matter/dynamic-profile/view/1904783","19-1904783")</f>
        <v>0</v>
      </c>
      <c r="B769" t="s">
        <v>95</v>
      </c>
      <c r="C769" t="s">
        <v>874</v>
      </c>
      <c r="D769" t="s">
        <v>2207</v>
      </c>
      <c r="E769" t="s">
        <v>3808</v>
      </c>
      <c r="G769" t="s">
        <v>5637</v>
      </c>
      <c r="H769">
        <v>11209</v>
      </c>
      <c r="I769" t="s">
        <v>5697</v>
      </c>
      <c r="J769" t="s">
        <v>5696</v>
      </c>
      <c r="L769" t="s">
        <v>6712</v>
      </c>
      <c r="M769" t="s">
        <v>6734</v>
      </c>
      <c r="O769" t="s">
        <v>6746</v>
      </c>
      <c r="R769" t="s">
        <v>6793</v>
      </c>
      <c r="T769" t="s">
        <v>6816</v>
      </c>
      <c r="U769">
        <v>0</v>
      </c>
      <c r="V769" t="s">
        <v>6835</v>
      </c>
      <c r="W769" t="s">
        <v>6838</v>
      </c>
      <c r="Y769" t="s">
        <v>7604</v>
      </c>
      <c r="AA769" t="s">
        <v>9660</v>
      </c>
      <c r="AB769">
        <v>3</v>
      </c>
      <c r="AC769" t="s">
        <v>8953</v>
      </c>
      <c r="AD769" t="s">
        <v>5741</v>
      </c>
      <c r="AE769">
        <v>5</v>
      </c>
      <c r="AF769">
        <v>1</v>
      </c>
      <c r="AG769">
        <v>1</v>
      </c>
      <c r="AH769">
        <v>47.31</v>
      </c>
      <c r="AK769" t="s">
        <v>10966</v>
      </c>
      <c r="AL769">
        <v>8000</v>
      </c>
      <c r="AR769">
        <v>0.7</v>
      </c>
      <c r="AS769" t="s">
        <v>6808</v>
      </c>
      <c r="AT769" t="s">
        <v>11198</v>
      </c>
      <c r="AV769" t="s">
        <v>11231</v>
      </c>
      <c r="AW769" t="s">
        <v>6816</v>
      </c>
    </row>
    <row r="770" spans="1:49">
      <c r="A770" s="1">
        <f>HYPERLINK("https://lsnyc.legalserver.org/matter/dynamic-profile/view/1904143","19-1904143")</f>
        <v>0</v>
      </c>
      <c r="B770" t="s">
        <v>71</v>
      </c>
      <c r="C770" t="s">
        <v>479</v>
      </c>
      <c r="D770" t="s">
        <v>2208</v>
      </c>
      <c r="E770" t="s">
        <v>3809</v>
      </c>
      <c r="F770">
        <v>1</v>
      </c>
      <c r="G770" t="s">
        <v>5637</v>
      </c>
      <c r="H770">
        <v>11221</v>
      </c>
      <c r="I770" t="s">
        <v>5695</v>
      </c>
      <c r="J770" t="s">
        <v>5696</v>
      </c>
      <c r="K770" t="s">
        <v>5956</v>
      </c>
      <c r="L770" t="s">
        <v>6712</v>
      </c>
      <c r="M770" t="s">
        <v>6734</v>
      </c>
      <c r="O770" t="s">
        <v>6755</v>
      </c>
      <c r="R770" t="s">
        <v>6793</v>
      </c>
      <c r="U770">
        <v>1557</v>
      </c>
      <c r="V770" t="s">
        <v>6835</v>
      </c>
      <c r="W770" t="s">
        <v>6854</v>
      </c>
      <c r="Y770" t="s">
        <v>7605</v>
      </c>
      <c r="AA770" t="s">
        <v>9661</v>
      </c>
      <c r="AB770">
        <v>0</v>
      </c>
      <c r="AE770">
        <v>-1</v>
      </c>
      <c r="AF770">
        <v>3</v>
      </c>
      <c r="AG770">
        <v>0</v>
      </c>
      <c r="AH770">
        <v>90.81</v>
      </c>
      <c r="AK770" t="s">
        <v>10966</v>
      </c>
      <c r="AL770">
        <v>19370</v>
      </c>
      <c r="AR770">
        <v>0.6</v>
      </c>
      <c r="AS770" t="s">
        <v>6828</v>
      </c>
      <c r="AT770" t="s">
        <v>11197</v>
      </c>
      <c r="AU770" t="s">
        <v>11228</v>
      </c>
      <c r="AV770" t="s">
        <v>11231</v>
      </c>
      <c r="AW770" t="s">
        <v>6818</v>
      </c>
    </row>
    <row r="771" spans="1:49">
      <c r="A771" s="1">
        <f>HYPERLINK("https://lsnyc.legalserver.org/matter/dynamic-profile/view/1906273","19-1906273")</f>
        <v>0</v>
      </c>
      <c r="B771" t="s">
        <v>67</v>
      </c>
      <c r="C771" t="s">
        <v>876</v>
      </c>
      <c r="D771" t="s">
        <v>2209</v>
      </c>
      <c r="E771" t="s">
        <v>3810</v>
      </c>
      <c r="F771" t="s">
        <v>5366</v>
      </c>
      <c r="G771" t="s">
        <v>5637</v>
      </c>
      <c r="H771">
        <v>11233</v>
      </c>
      <c r="I771" t="s">
        <v>5695</v>
      </c>
      <c r="J771" t="s">
        <v>5696</v>
      </c>
      <c r="K771" t="s">
        <v>5957</v>
      </c>
      <c r="L771" t="s">
        <v>6712</v>
      </c>
      <c r="M771" t="s">
        <v>6734</v>
      </c>
      <c r="O771" t="s">
        <v>6745</v>
      </c>
      <c r="P771" t="s">
        <v>5697</v>
      </c>
      <c r="R771" t="s">
        <v>6793</v>
      </c>
      <c r="T771" t="s">
        <v>6821</v>
      </c>
      <c r="U771">
        <v>0</v>
      </c>
      <c r="V771" t="s">
        <v>6835</v>
      </c>
      <c r="W771" t="s">
        <v>6841</v>
      </c>
      <c r="Y771" t="s">
        <v>7606</v>
      </c>
      <c r="AA771" t="s">
        <v>9662</v>
      </c>
      <c r="AB771">
        <v>3</v>
      </c>
      <c r="AC771" t="s">
        <v>10930</v>
      </c>
      <c r="AD771" t="s">
        <v>10950</v>
      </c>
      <c r="AE771">
        <v>0</v>
      </c>
      <c r="AF771">
        <v>3</v>
      </c>
      <c r="AG771">
        <v>3</v>
      </c>
      <c r="AH771">
        <v>75.17</v>
      </c>
      <c r="AK771" t="s">
        <v>10966</v>
      </c>
      <c r="AL771">
        <v>26000</v>
      </c>
      <c r="AR771">
        <v>0</v>
      </c>
      <c r="AT771" t="s">
        <v>67</v>
      </c>
      <c r="AU771" t="s">
        <v>11228</v>
      </c>
      <c r="AV771" t="s">
        <v>11231</v>
      </c>
      <c r="AW771" t="s">
        <v>6827</v>
      </c>
    </row>
    <row r="772" spans="1:49">
      <c r="A772" s="1">
        <f>HYPERLINK("https://lsnyc.legalserver.org/matter/dynamic-profile/view/1903864","19-1903864")</f>
        <v>0</v>
      </c>
      <c r="B772" t="s">
        <v>138</v>
      </c>
      <c r="C772" t="s">
        <v>877</v>
      </c>
      <c r="D772" t="s">
        <v>1833</v>
      </c>
      <c r="E772" t="s">
        <v>3811</v>
      </c>
      <c r="F772" t="s">
        <v>5367</v>
      </c>
      <c r="G772" t="s">
        <v>5637</v>
      </c>
      <c r="H772">
        <v>11226</v>
      </c>
      <c r="I772" t="s">
        <v>5695</v>
      </c>
      <c r="J772" t="s">
        <v>5696</v>
      </c>
      <c r="K772" t="s">
        <v>5958</v>
      </c>
      <c r="L772" t="s">
        <v>6712</v>
      </c>
      <c r="M772" t="s">
        <v>6734</v>
      </c>
      <c r="O772" t="s">
        <v>6755</v>
      </c>
      <c r="R772" t="s">
        <v>6793</v>
      </c>
      <c r="U772">
        <v>994</v>
      </c>
      <c r="V772" t="s">
        <v>6835</v>
      </c>
      <c r="W772" t="s">
        <v>6840</v>
      </c>
      <c r="Y772" t="s">
        <v>7607</v>
      </c>
      <c r="AA772" t="s">
        <v>9663</v>
      </c>
      <c r="AB772">
        <v>5</v>
      </c>
      <c r="AD772" t="s">
        <v>5741</v>
      </c>
      <c r="AE772">
        <v>11</v>
      </c>
      <c r="AF772">
        <v>1</v>
      </c>
      <c r="AG772">
        <v>0</v>
      </c>
      <c r="AH772">
        <v>261.04</v>
      </c>
      <c r="AK772" t="s">
        <v>10966</v>
      </c>
      <c r="AL772">
        <v>32604</v>
      </c>
      <c r="AR772">
        <v>8.199999999999999</v>
      </c>
      <c r="AS772" t="s">
        <v>6826</v>
      </c>
      <c r="AT772" t="s">
        <v>11178</v>
      </c>
      <c r="AU772" t="s">
        <v>11228</v>
      </c>
      <c r="AV772" t="s">
        <v>11231</v>
      </c>
      <c r="AW772" t="s">
        <v>6807</v>
      </c>
    </row>
    <row r="773" spans="1:49">
      <c r="A773" s="1">
        <f>HYPERLINK("https://lsnyc.legalserver.org/matter/dynamic-profile/view/1902921","19-1902921")</f>
        <v>0</v>
      </c>
      <c r="B773" t="s">
        <v>243</v>
      </c>
      <c r="C773" t="s">
        <v>878</v>
      </c>
      <c r="D773" t="s">
        <v>2210</v>
      </c>
      <c r="E773" t="s">
        <v>3812</v>
      </c>
      <c r="F773" t="s">
        <v>5283</v>
      </c>
      <c r="G773" t="s">
        <v>5644</v>
      </c>
      <c r="H773">
        <v>11436</v>
      </c>
      <c r="I773" t="s">
        <v>5695</v>
      </c>
      <c r="J773" t="s">
        <v>5696</v>
      </c>
      <c r="K773" t="s">
        <v>5959</v>
      </c>
      <c r="L773" t="s">
        <v>6712</v>
      </c>
      <c r="M773" t="s">
        <v>6734</v>
      </c>
      <c r="O773" t="s">
        <v>6750</v>
      </c>
      <c r="P773" t="s">
        <v>5697</v>
      </c>
      <c r="R773" t="s">
        <v>6793</v>
      </c>
      <c r="U773">
        <v>1500</v>
      </c>
      <c r="V773" t="s">
        <v>6837</v>
      </c>
      <c r="W773" t="s">
        <v>6840</v>
      </c>
      <c r="Y773" t="s">
        <v>7608</v>
      </c>
      <c r="AA773" t="s">
        <v>9664</v>
      </c>
      <c r="AB773">
        <v>1</v>
      </c>
      <c r="AC773" t="s">
        <v>10930</v>
      </c>
      <c r="AD773" t="s">
        <v>5741</v>
      </c>
      <c r="AE773">
        <v>1</v>
      </c>
      <c r="AF773">
        <v>4</v>
      </c>
      <c r="AG773">
        <v>0</v>
      </c>
      <c r="AH773">
        <v>117.16</v>
      </c>
      <c r="AK773" t="s">
        <v>10966</v>
      </c>
      <c r="AL773">
        <v>30168</v>
      </c>
      <c r="AR773">
        <v>1</v>
      </c>
      <c r="AS773" t="s">
        <v>11131</v>
      </c>
      <c r="AT773" t="s">
        <v>11184</v>
      </c>
      <c r="AU773" t="s">
        <v>11228</v>
      </c>
      <c r="AV773" t="s">
        <v>11231</v>
      </c>
      <c r="AW773" t="s">
        <v>11131</v>
      </c>
    </row>
    <row r="774" spans="1:49">
      <c r="A774" s="1">
        <f>HYPERLINK("https://lsnyc.legalserver.org/matter/dynamic-profile/view/1905014","19-1905014")</f>
        <v>0</v>
      </c>
      <c r="B774" t="s">
        <v>204</v>
      </c>
      <c r="C774" t="s">
        <v>879</v>
      </c>
      <c r="D774" t="s">
        <v>2211</v>
      </c>
      <c r="E774" t="s">
        <v>3813</v>
      </c>
      <c r="F774" t="s">
        <v>5276</v>
      </c>
      <c r="G774" t="s">
        <v>5651</v>
      </c>
      <c r="H774">
        <v>11418</v>
      </c>
      <c r="I774" t="s">
        <v>5695</v>
      </c>
      <c r="J774" t="s">
        <v>5696</v>
      </c>
      <c r="K774" t="s">
        <v>5960</v>
      </c>
      <c r="L774" t="s">
        <v>6712</v>
      </c>
      <c r="M774" t="s">
        <v>6734</v>
      </c>
      <c r="O774" t="s">
        <v>6745</v>
      </c>
      <c r="P774" t="s">
        <v>5695</v>
      </c>
      <c r="R774" t="s">
        <v>6793</v>
      </c>
      <c r="U774">
        <v>850</v>
      </c>
      <c r="V774" t="s">
        <v>6837</v>
      </c>
      <c r="W774" t="s">
        <v>6840</v>
      </c>
      <c r="Y774" t="s">
        <v>7609</v>
      </c>
      <c r="Z774" t="s">
        <v>8954</v>
      </c>
      <c r="AA774" t="s">
        <v>9665</v>
      </c>
      <c r="AB774">
        <v>3</v>
      </c>
      <c r="AC774" t="s">
        <v>10936</v>
      </c>
      <c r="AD774" t="s">
        <v>6841</v>
      </c>
      <c r="AE774">
        <v>25</v>
      </c>
      <c r="AF774">
        <v>2</v>
      </c>
      <c r="AG774">
        <v>0</v>
      </c>
      <c r="AH774">
        <v>143.06</v>
      </c>
      <c r="AK774" t="s">
        <v>10966</v>
      </c>
      <c r="AL774">
        <v>24192</v>
      </c>
      <c r="AR774">
        <v>1.8</v>
      </c>
      <c r="AS774" t="s">
        <v>6819</v>
      </c>
      <c r="AT774" t="s">
        <v>11184</v>
      </c>
      <c r="AU774" t="s">
        <v>11228</v>
      </c>
      <c r="AV774" t="s">
        <v>11231</v>
      </c>
      <c r="AW774" t="s">
        <v>6812</v>
      </c>
    </row>
    <row r="775" spans="1:49">
      <c r="A775" s="1">
        <f>HYPERLINK("https://lsnyc.legalserver.org/matter/dynamic-profile/view/1905464","19-1905464")</f>
        <v>0</v>
      </c>
      <c r="B775" t="s">
        <v>68</v>
      </c>
      <c r="C775" t="s">
        <v>880</v>
      </c>
      <c r="D775" t="s">
        <v>2212</v>
      </c>
      <c r="E775" t="s">
        <v>3814</v>
      </c>
      <c r="F775" t="s">
        <v>5098</v>
      </c>
      <c r="G775" t="s">
        <v>5637</v>
      </c>
      <c r="H775">
        <v>11206</v>
      </c>
      <c r="I775" t="s">
        <v>5695</v>
      </c>
      <c r="J775" t="s">
        <v>5696</v>
      </c>
      <c r="K775" t="s">
        <v>5961</v>
      </c>
      <c r="L775" t="s">
        <v>6712</v>
      </c>
      <c r="M775" t="s">
        <v>6734</v>
      </c>
      <c r="O775" t="s">
        <v>6754</v>
      </c>
      <c r="R775" t="s">
        <v>6793</v>
      </c>
      <c r="T775" t="s">
        <v>6822</v>
      </c>
      <c r="U775">
        <v>1200</v>
      </c>
      <c r="V775" t="s">
        <v>6835</v>
      </c>
      <c r="W775" t="s">
        <v>6843</v>
      </c>
      <c r="Y775" t="s">
        <v>7610</v>
      </c>
      <c r="AA775" t="s">
        <v>9666</v>
      </c>
      <c r="AB775">
        <v>2</v>
      </c>
      <c r="AC775" t="s">
        <v>10930</v>
      </c>
      <c r="AE775">
        <v>2</v>
      </c>
      <c r="AF775">
        <v>2</v>
      </c>
      <c r="AG775">
        <v>0</v>
      </c>
      <c r="AH775">
        <v>99.93000000000001</v>
      </c>
      <c r="AK775" t="s">
        <v>10966</v>
      </c>
      <c r="AL775">
        <v>16898</v>
      </c>
      <c r="AR775">
        <v>2</v>
      </c>
      <c r="AS775" t="s">
        <v>6819</v>
      </c>
      <c r="AT775" t="s">
        <v>11198</v>
      </c>
      <c r="AU775" t="s">
        <v>11228</v>
      </c>
      <c r="AV775" t="s">
        <v>11231</v>
      </c>
      <c r="AW775" t="s">
        <v>6822</v>
      </c>
    </row>
    <row r="776" spans="1:49">
      <c r="A776" s="1">
        <f>HYPERLINK("https://lsnyc.legalserver.org/matter/dynamic-profile/view/1898859","19-1898859")</f>
        <v>0</v>
      </c>
      <c r="B776" t="s">
        <v>244</v>
      </c>
      <c r="C776" t="s">
        <v>633</v>
      </c>
      <c r="D776" t="s">
        <v>2213</v>
      </c>
      <c r="E776" t="s">
        <v>3815</v>
      </c>
      <c r="F776" t="s">
        <v>5093</v>
      </c>
      <c r="G776" t="s">
        <v>5638</v>
      </c>
      <c r="H776">
        <v>10040</v>
      </c>
      <c r="I776" t="s">
        <v>5695</v>
      </c>
      <c r="J776" t="s">
        <v>5695</v>
      </c>
      <c r="K776" t="s">
        <v>5962</v>
      </c>
      <c r="L776" t="s">
        <v>6712</v>
      </c>
      <c r="M776" t="s">
        <v>6734</v>
      </c>
      <c r="O776" t="s">
        <v>6759</v>
      </c>
      <c r="P776" t="s">
        <v>5697</v>
      </c>
      <c r="R776" t="s">
        <v>6793</v>
      </c>
      <c r="U776">
        <v>1430</v>
      </c>
      <c r="V776" t="s">
        <v>6836</v>
      </c>
      <c r="W776" t="s">
        <v>6840</v>
      </c>
      <c r="Y776" t="s">
        <v>7611</v>
      </c>
      <c r="AA776" t="s">
        <v>9667</v>
      </c>
      <c r="AB776">
        <v>0</v>
      </c>
      <c r="AC776" t="s">
        <v>10936</v>
      </c>
      <c r="AD776" t="s">
        <v>5741</v>
      </c>
      <c r="AE776">
        <v>30</v>
      </c>
      <c r="AF776">
        <v>2</v>
      </c>
      <c r="AG776">
        <v>0</v>
      </c>
      <c r="AH776">
        <v>92.25</v>
      </c>
      <c r="AK776" t="s">
        <v>10966</v>
      </c>
      <c r="AL776">
        <v>15600</v>
      </c>
      <c r="AR776">
        <v>2.2</v>
      </c>
      <c r="AS776" t="s">
        <v>11161</v>
      </c>
      <c r="AT776" t="s">
        <v>305</v>
      </c>
      <c r="AV776" t="s">
        <v>11231</v>
      </c>
      <c r="AW776" t="s">
        <v>10959</v>
      </c>
    </row>
    <row r="777" spans="1:49">
      <c r="A777" s="1">
        <f>HYPERLINK("https://lsnyc.legalserver.org/matter/dynamic-profile/view/1902815","19-1902815")</f>
        <v>0</v>
      </c>
      <c r="B777" t="s">
        <v>186</v>
      </c>
      <c r="C777" t="s">
        <v>881</v>
      </c>
      <c r="D777" t="s">
        <v>2214</v>
      </c>
      <c r="E777" t="s">
        <v>3816</v>
      </c>
      <c r="G777" t="s">
        <v>5672</v>
      </c>
      <c r="H777">
        <v>11411</v>
      </c>
      <c r="I777" t="s">
        <v>5695</v>
      </c>
      <c r="J777" t="s">
        <v>5696</v>
      </c>
      <c r="K777" t="s">
        <v>5963</v>
      </c>
      <c r="L777" t="s">
        <v>6712</v>
      </c>
      <c r="M777" t="s">
        <v>6734</v>
      </c>
      <c r="O777" t="s">
        <v>6750</v>
      </c>
      <c r="P777" t="s">
        <v>5697</v>
      </c>
      <c r="R777" t="s">
        <v>6793</v>
      </c>
      <c r="U777">
        <v>270</v>
      </c>
      <c r="V777" t="s">
        <v>6837</v>
      </c>
      <c r="W777" t="s">
        <v>6840</v>
      </c>
      <c r="Y777" t="s">
        <v>7612</v>
      </c>
      <c r="Z777" t="s">
        <v>8955</v>
      </c>
      <c r="AA777" t="s">
        <v>9668</v>
      </c>
      <c r="AB777">
        <v>1</v>
      </c>
      <c r="AC777" t="s">
        <v>10934</v>
      </c>
      <c r="AD777" t="s">
        <v>10944</v>
      </c>
      <c r="AE777">
        <v>6</v>
      </c>
      <c r="AF777">
        <v>3</v>
      </c>
      <c r="AG777">
        <v>1</v>
      </c>
      <c r="AH777">
        <v>11.51</v>
      </c>
      <c r="AK777" t="s">
        <v>10966</v>
      </c>
      <c r="AL777">
        <v>2962.8</v>
      </c>
      <c r="AR777">
        <v>1.6</v>
      </c>
      <c r="AS777" t="s">
        <v>6807</v>
      </c>
      <c r="AT777" t="s">
        <v>11184</v>
      </c>
      <c r="AU777" t="s">
        <v>11228</v>
      </c>
      <c r="AV777" t="s">
        <v>11231</v>
      </c>
      <c r="AW777" t="s">
        <v>11133</v>
      </c>
    </row>
    <row r="778" spans="1:49">
      <c r="A778" s="1">
        <f>HYPERLINK("https://lsnyc.legalserver.org/matter/dynamic-profile/view/1905822","19-1905822")</f>
        <v>0</v>
      </c>
      <c r="B778" t="s">
        <v>191</v>
      </c>
      <c r="C778" t="s">
        <v>882</v>
      </c>
      <c r="D778" t="s">
        <v>2215</v>
      </c>
      <c r="E778" t="s">
        <v>3817</v>
      </c>
      <c r="F778" t="s">
        <v>5368</v>
      </c>
      <c r="G778" t="s">
        <v>5675</v>
      </c>
      <c r="H778">
        <v>11427</v>
      </c>
      <c r="I778" t="s">
        <v>5695</v>
      </c>
      <c r="J778" t="s">
        <v>5696</v>
      </c>
      <c r="K778" t="s">
        <v>5964</v>
      </c>
      <c r="L778" t="s">
        <v>6712</v>
      </c>
      <c r="M778" t="s">
        <v>6734</v>
      </c>
      <c r="O778" t="s">
        <v>6750</v>
      </c>
      <c r="P778" t="s">
        <v>5697</v>
      </c>
      <c r="R778" t="s">
        <v>6793</v>
      </c>
      <c r="T778" t="s">
        <v>6824</v>
      </c>
      <c r="U778">
        <v>775</v>
      </c>
      <c r="V778" t="s">
        <v>6837</v>
      </c>
      <c r="W778" t="s">
        <v>6840</v>
      </c>
      <c r="Y778" t="s">
        <v>7613</v>
      </c>
      <c r="Z778" t="s">
        <v>8956</v>
      </c>
      <c r="AA778" t="s">
        <v>9669</v>
      </c>
      <c r="AB778">
        <v>2</v>
      </c>
      <c r="AC778" t="s">
        <v>8953</v>
      </c>
      <c r="AD778" t="s">
        <v>5741</v>
      </c>
      <c r="AE778">
        <v>22</v>
      </c>
      <c r="AF778">
        <v>1</v>
      </c>
      <c r="AG778">
        <v>0</v>
      </c>
      <c r="AH778">
        <v>18.94</v>
      </c>
      <c r="AK778" t="s">
        <v>10966</v>
      </c>
      <c r="AL778">
        <v>2366</v>
      </c>
      <c r="AR778">
        <v>1.3</v>
      </c>
      <c r="AS778" t="s">
        <v>6824</v>
      </c>
      <c r="AT778" t="s">
        <v>11182</v>
      </c>
      <c r="AU778" t="s">
        <v>11228</v>
      </c>
      <c r="AV778" t="s">
        <v>11231</v>
      </c>
      <c r="AW778" t="s">
        <v>6824</v>
      </c>
    </row>
    <row r="779" spans="1:49">
      <c r="A779" s="1">
        <f>HYPERLINK("https://lsnyc.legalserver.org/matter/dynamic-profile/view/1904957","19-1904957")</f>
        <v>0</v>
      </c>
      <c r="B779" t="s">
        <v>63</v>
      </c>
      <c r="C779" t="s">
        <v>883</v>
      </c>
      <c r="D779" t="s">
        <v>2216</v>
      </c>
      <c r="E779" t="s">
        <v>3818</v>
      </c>
      <c r="F779" t="s">
        <v>5369</v>
      </c>
      <c r="G779" t="s">
        <v>5644</v>
      </c>
      <c r="H779">
        <v>11433</v>
      </c>
      <c r="I779" t="s">
        <v>5695</v>
      </c>
      <c r="J779" t="s">
        <v>5696</v>
      </c>
      <c r="K779" t="s">
        <v>5965</v>
      </c>
      <c r="L779" t="s">
        <v>6712</v>
      </c>
      <c r="M779" t="s">
        <v>6734</v>
      </c>
      <c r="O779" t="s">
        <v>6752</v>
      </c>
      <c r="P779" t="s">
        <v>5697</v>
      </c>
      <c r="R779" t="s">
        <v>6793</v>
      </c>
      <c r="S779" t="s">
        <v>6801</v>
      </c>
      <c r="U779">
        <v>1000</v>
      </c>
      <c r="V779" t="s">
        <v>6837</v>
      </c>
      <c r="W779" t="s">
        <v>6843</v>
      </c>
      <c r="Y779" t="s">
        <v>7614</v>
      </c>
      <c r="Z779" t="s">
        <v>8957</v>
      </c>
      <c r="AA779" t="s">
        <v>9670</v>
      </c>
      <c r="AB779">
        <v>2</v>
      </c>
      <c r="AC779" t="s">
        <v>10930</v>
      </c>
      <c r="AD779" t="s">
        <v>5741</v>
      </c>
      <c r="AE779">
        <v>3</v>
      </c>
      <c r="AF779">
        <v>1</v>
      </c>
      <c r="AG779">
        <v>0</v>
      </c>
      <c r="AH779">
        <v>19.05</v>
      </c>
      <c r="AK779" t="s">
        <v>10966</v>
      </c>
      <c r="AL779">
        <v>2379</v>
      </c>
      <c r="AR779">
        <v>1.65</v>
      </c>
      <c r="AS779" t="s">
        <v>6826</v>
      </c>
      <c r="AT779" t="s">
        <v>11182</v>
      </c>
      <c r="AU779" t="s">
        <v>11228</v>
      </c>
      <c r="AV779" t="s">
        <v>11231</v>
      </c>
      <c r="AW779" t="s">
        <v>6812</v>
      </c>
    </row>
    <row r="780" spans="1:49">
      <c r="A780" s="1">
        <f>HYPERLINK("https://lsnyc.legalserver.org/matter/dynamic-profile/view/1898829","19-1898829")</f>
        <v>0</v>
      </c>
      <c r="B780" t="s">
        <v>55</v>
      </c>
      <c r="C780" t="s">
        <v>512</v>
      </c>
      <c r="D780" t="s">
        <v>2217</v>
      </c>
      <c r="E780" t="s">
        <v>3819</v>
      </c>
      <c r="F780" t="s">
        <v>5196</v>
      </c>
      <c r="G780" t="s">
        <v>5638</v>
      </c>
      <c r="H780">
        <v>10009</v>
      </c>
      <c r="I780" t="s">
        <v>5695</v>
      </c>
      <c r="J780" t="s">
        <v>5695</v>
      </c>
      <c r="K780" t="s">
        <v>5966</v>
      </c>
      <c r="L780" t="s">
        <v>6712</v>
      </c>
      <c r="M780" t="s">
        <v>6734</v>
      </c>
      <c r="O780" t="s">
        <v>6759</v>
      </c>
      <c r="P780" t="s">
        <v>5697</v>
      </c>
      <c r="R780" t="s">
        <v>6793</v>
      </c>
      <c r="U780">
        <v>151</v>
      </c>
      <c r="V780" t="s">
        <v>6836</v>
      </c>
      <c r="W780" t="s">
        <v>6840</v>
      </c>
      <c r="Y780" t="s">
        <v>7615</v>
      </c>
      <c r="Z780" t="s">
        <v>8958</v>
      </c>
      <c r="AA780" t="s">
        <v>9671</v>
      </c>
      <c r="AB780">
        <v>0</v>
      </c>
      <c r="AC780" t="s">
        <v>10929</v>
      </c>
      <c r="AD780" t="s">
        <v>10944</v>
      </c>
      <c r="AE780">
        <v>3</v>
      </c>
      <c r="AF780">
        <v>1</v>
      </c>
      <c r="AG780">
        <v>0</v>
      </c>
      <c r="AH780">
        <v>74.65000000000001</v>
      </c>
      <c r="AK780" t="s">
        <v>10966</v>
      </c>
      <c r="AL780">
        <v>9324</v>
      </c>
      <c r="AR780">
        <v>27.35</v>
      </c>
      <c r="AS780" t="s">
        <v>6814</v>
      </c>
      <c r="AT780" t="s">
        <v>305</v>
      </c>
      <c r="AV780" t="s">
        <v>11231</v>
      </c>
      <c r="AW780" t="s">
        <v>10959</v>
      </c>
    </row>
    <row r="781" spans="1:49">
      <c r="A781" s="1">
        <f>HYPERLINK("https://lsnyc.legalserver.org/matter/dynamic-profile/view/1904999","19-1904999")</f>
        <v>0</v>
      </c>
      <c r="B781" t="s">
        <v>184</v>
      </c>
      <c r="C781" t="s">
        <v>884</v>
      </c>
      <c r="D781" t="s">
        <v>2218</v>
      </c>
      <c r="E781" t="s">
        <v>3820</v>
      </c>
      <c r="F781" t="s">
        <v>5283</v>
      </c>
      <c r="G781" t="s">
        <v>5649</v>
      </c>
      <c r="H781">
        <v>11385</v>
      </c>
      <c r="I781" t="s">
        <v>5695</v>
      </c>
      <c r="J781" t="s">
        <v>5696</v>
      </c>
      <c r="K781" t="s">
        <v>5967</v>
      </c>
      <c r="L781" t="s">
        <v>6712</v>
      </c>
      <c r="M781" t="s">
        <v>6734</v>
      </c>
      <c r="O781" t="s">
        <v>6752</v>
      </c>
      <c r="P781" t="s">
        <v>5697</v>
      </c>
      <c r="R781" t="s">
        <v>6793</v>
      </c>
      <c r="U781">
        <v>700</v>
      </c>
      <c r="V781" t="s">
        <v>6837</v>
      </c>
      <c r="W781" t="s">
        <v>6840</v>
      </c>
      <c r="Y781" t="s">
        <v>7616</v>
      </c>
      <c r="Z781" t="s">
        <v>5741</v>
      </c>
      <c r="AA781" t="s">
        <v>9672</v>
      </c>
      <c r="AB781">
        <v>3</v>
      </c>
      <c r="AC781" t="s">
        <v>10930</v>
      </c>
      <c r="AD781" t="s">
        <v>5741</v>
      </c>
      <c r="AE781">
        <v>2</v>
      </c>
      <c r="AF781">
        <v>1</v>
      </c>
      <c r="AG781">
        <v>0</v>
      </c>
      <c r="AH781">
        <v>80.06</v>
      </c>
      <c r="AK781" t="s">
        <v>10966</v>
      </c>
      <c r="AL781">
        <v>10000</v>
      </c>
      <c r="AR781">
        <v>2.5</v>
      </c>
      <c r="AS781" t="s">
        <v>6823</v>
      </c>
      <c r="AT781" t="s">
        <v>11184</v>
      </c>
      <c r="AU781" t="s">
        <v>11228</v>
      </c>
      <c r="AV781" t="s">
        <v>11231</v>
      </c>
      <c r="AW781" t="s">
        <v>6812</v>
      </c>
    </row>
    <row r="782" spans="1:49">
      <c r="A782" s="1">
        <f>HYPERLINK("https://lsnyc.legalserver.org/matter/dynamic-profile/view/1896149","19-1896149")</f>
        <v>0</v>
      </c>
      <c r="B782" t="s">
        <v>88</v>
      </c>
      <c r="C782" t="s">
        <v>885</v>
      </c>
      <c r="D782" t="s">
        <v>2219</v>
      </c>
      <c r="E782" t="s">
        <v>3821</v>
      </c>
      <c r="F782">
        <v>3</v>
      </c>
      <c r="G782" t="s">
        <v>5637</v>
      </c>
      <c r="H782">
        <v>11208</v>
      </c>
      <c r="I782" t="s">
        <v>5695</v>
      </c>
      <c r="J782" t="s">
        <v>5695</v>
      </c>
      <c r="L782" t="s">
        <v>6712</v>
      </c>
      <c r="M782" t="s">
        <v>6734</v>
      </c>
      <c r="O782" t="s">
        <v>6745</v>
      </c>
      <c r="P782" t="s">
        <v>5697</v>
      </c>
      <c r="R782" t="s">
        <v>6793</v>
      </c>
      <c r="U782">
        <v>1300</v>
      </c>
      <c r="V782" t="s">
        <v>6835</v>
      </c>
      <c r="Y782" t="s">
        <v>7617</v>
      </c>
      <c r="AA782" t="s">
        <v>9673</v>
      </c>
      <c r="AB782">
        <v>0</v>
      </c>
      <c r="AE782">
        <v>9</v>
      </c>
      <c r="AF782">
        <v>2</v>
      </c>
      <c r="AG782">
        <v>0</v>
      </c>
      <c r="AH782">
        <v>484.92</v>
      </c>
      <c r="AK782" t="s">
        <v>10966</v>
      </c>
      <c r="AL782">
        <v>82000</v>
      </c>
      <c r="AM782" t="s">
        <v>11056</v>
      </c>
      <c r="AR782">
        <v>1</v>
      </c>
      <c r="AS782" t="s">
        <v>11141</v>
      </c>
      <c r="AT782" t="s">
        <v>278</v>
      </c>
      <c r="AV782" t="s">
        <v>11231</v>
      </c>
      <c r="AW782" t="s">
        <v>11167</v>
      </c>
    </row>
    <row r="783" spans="1:49">
      <c r="A783" s="1">
        <f>HYPERLINK("https://lsnyc.legalserver.org/matter/dynamic-profile/view/1902180","19-1902180")</f>
        <v>0</v>
      </c>
      <c r="B783" t="s">
        <v>63</v>
      </c>
      <c r="C783" t="s">
        <v>512</v>
      </c>
      <c r="D783" t="s">
        <v>2109</v>
      </c>
      <c r="E783" t="s">
        <v>3822</v>
      </c>
      <c r="G783" t="s">
        <v>5644</v>
      </c>
      <c r="H783">
        <v>11434</v>
      </c>
      <c r="I783" t="s">
        <v>5695</v>
      </c>
      <c r="J783" t="s">
        <v>5696</v>
      </c>
      <c r="K783" t="s">
        <v>5968</v>
      </c>
      <c r="L783" t="s">
        <v>6712</v>
      </c>
      <c r="M783" t="s">
        <v>6734</v>
      </c>
      <c r="O783" t="s">
        <v>6752</v>
      </c>
      <c r="P783" t="s">
        <v>5697</v>
      </c>
      <c r="R783" t="s">
        <v>6793</v>
      </c>
      <c r="S783" t="s">
        <v>6801</v>
      </c>
      <c r="U783">
        <v>1600</v>
      </c>
      <c r="V783" t="s">
        <v>6837</v>
      </c>
      <c r="W783" t="s">
        <v>6839</v>
      </c>
      <c r="Y783" t="s">
        <v>7618</v>
      </c>
      <c r="AA783" t="s">
        <v>9674</v>
      </c>
      <c r="AB783">
        <v>2</v>
      </c>
      <c r="AC783" t="s">
        <v>10930</v>
      </c>
      <c r="AD783" t="s">
        <v>5741</v>
      </c>
      <c r="AE783">
        <v>5</v>
      </c>
      <c r="AF783">
        <v>1</v>
      </c>
      <c r="AG783">
        <v>0</v>
      </c>
      <c r="AH783">
        <v>177.74</v>
      </c>
      <c r="AK783" t="s">
        <v>10966</v>
      </c>
      <c r="AL783">
        <v>22200</v>
      </c>
      <c r="AR783">
        <v>2.5</v>
      </c>
      <c r="AS783" t="s">
        <v>6815</v>
      </c>
      <c r="AT783" t="s">
        <v>11183</v>
      </c>
      <c r="AU783" t="s">
        <v>11228</v>
      </c>
      <c r="AV783" t="s">
        <v>11231</v>
      </c>
      <c r="AW783" t="s">
        <v>11163</v>
      </c>
    </row>
    <row r="784" spans="1:49">
      <c r="A784" s="1">
        <f>HYPERLINK("https://lsnyc.legalserver.org/matter/dynamic-profile/view/1903519","19-1903519")</f>
        <v>0</v>
      </c>
      <c r="B784" t="s">
        <v>217</v>
      </c>
      <c r="C784" t="s">
        <v>886</v>
      </c>
      <c r="D784" t="s">
        <v>2005</v>
      </c>
      <c r="E784" t="s">
        <v>3823</v>
      </c>
      <c r="G784" t="s">
        <v>5644</v>
      </c>
      <c r="H784">
        <v>11433</v>
      </c>
      <c r="I784" t="s">
        <v>5695</v>
      </c>
      <c r="J784" t="s">
        <v>5696</v>
      </c>
      <c r="K784" t="s">
        <v>5969</v>
      </c>
      <c r="L784" t="s">
        <v>6712</v>
      </c>
      <c r="M784" t="s">
        <v>6734</v>
      </c>
      <c r="O784" t="s">
        <v>6752</v>
      </c>
      <c r="P784" t="s">
        <v>5695</v>
      </c>
      <c r="R784" t="s">
        <v>6793</v>
      </c>
      <c r="U784">
        <v>800</v>
      </c>
      <c r="V784" t="s">
        <v>6837</v>
      </c>
      <c r="W784" t="s">
        <v>6839</v>
      </c>
      <c r="Y784" t="s">
        <v>7619</v>
      </c>
      <c r="AA784" t="s">
        <v>9675</v>
      </c>
      <c r="AB784">
        <v>2</v>
      </c>
      <c r="AD784" t="s">
        <v>10946</v>
      </c>
      <c r="AE784">
        <v>4</v>
      </c>
      <c r="AF784">
        <v>1</v>
      </c>
      <c r="AG784">
        <v>0</v>
      </c>
      <c r="AH784">
        <v>69.84999999999999</v>
      </c>
      <c r="AK784" t="s">
        <v>10966</v>
      </c>
      <c r="AL784">
        <v>8724</v>
      </c>
      <c r="AR784">
        <v>19</v>
      </c>
      <c r="AS784" t="s">
        <v>6827</v>
      </c>
      <c r="AT784" t="s">
        <v>11184</v>
      </c>
      <c r="AU784" t="s">
        <v>11228</v>
      </c>
      <c r="AV784" t="s">
        <v>11231</v>
      </c>
      <c r="AW784" t="s">
        <v>11147</v>
      </c>
    </row>
    <row r="785" spans="1:49">
      <c r="A785" s="1">
        <f>HYPERLINK("https://lsnyc.legalserver.org/matter/dynamic-profile/view/1905955","19-1905955")</f>
        <v>0</v>
      </c>
      <c r="B785" t="s">
        <v>245</v>
      </c>
      <c r="C785" t="s">
        <v>887</v>
      </c>
      <c r="D785" t="s">
        <v>2220</v>
      </c>
      <c r="E785" t="s">
        <v>3824</v>
      </c>
      <c r="F785" t="s">
        <v>5161</v>
      </c>
      <c r="G785" t="s">
        <v>5638</v>
      </c>
      <c r="H785">
        <v>10030</v>
      </c>
      <c r="I785" t="s">
        <v>5695</v>
      </c>
      <c r="J785" t="s">
        <v>5696</v>
      </c>
      <c r="K785" t="s">
        <v>5970</v>
      </c>
      <c r="L785" t="s">
        <v>6712</v>
      </c>
      <c r="M785" t="s">
        <v>6734</v>
      </c>
      <c r="O785" t="s">
        <v>6745</v>
      </c>
      <c r="P785" t="s">
        <v>5697</v>
      </c>
      <c r="R785" t="s">
        <v>6793</v>
      </c>
      <c r="S785" t="s">
        <v>6801</v>
      </c>
      <c r="U785">
        <v>143</v>
      </c>
      <c r="V785" t="s">
        <v>6836</v>
      </c>
      <c r="W785" t="s">
        <v>6839</v>
      </c>
      <c r="Y785" t="s">
        <v>7620</v>
      </c>
      <c r="AA785" t="s">
        <v>9676</v>
      </c>
      <c r="AB785">
        <v>0</v>
      </c>
      <c r="AC785" t="s">
        <v>10934</v>
      </c>
      <c r="AD785" t="s">
        <v>10951</v>
      </c>
      <c r="AE785">
        <v>40</v>
      </c>
      <c r="AF785">
        <v>1</v>
      </c>
      <c r="AG785">
        <v>0</v>
      </c>
      <c r="AH785">
        <v>126.47</v>
      </c>
      <c r="AK785" t="s">
        <v>10966</v>
      </c>
      <c r="AL785">
        <v>15796</v>
      </c>
      <c r="AR785">
        <v>0</v>
      </c>
      <c r="AT785" t="s">
        <v>305</v>
      </c>
      <c r="AU785" t="s">
        <v>11228</v>
      </c>
      <c r="AV785" t="s">
        <v>11231</v>
      </c>
      <c r="AW785" t="s">
        <v>6826</v>
      </c>
    </row>
    <row r="786" spans="1:49">
      <c r="A786" s="1">
        <f>HYPERLINK("https://lsnyc.legalserver.org/matter/dynamic-profile/view/1904681","19-1904681")</f>
        <v>0</v>
      </c>
      <c r="B786" t="s">
        <v>246</v>
      </c>
      <c r="C786" t="s">
        <v>505</v>
      </c>
      <c r="D786" t="s">
        <v>2221</v>
      </c>
      <c r="E786" t="s">
        <v>3825</v>
      </c>
      <c r="F786" t="s">
        <v>5110</v>
      </c>
      <c r="G786" t="s">
        <v>5658</v>
      </c>
      <c r="H786">
        <v>11416</v>
      </c>
      <c r="I786" t="s">
        <v>5695</v>
      </c>
      <c r="J786" t="s">
        <v>5696</v>
      </c>
      <c r="K786" t="s">
        <v>5971</v>
      </c>
      <c r="L786" t="s">
        <v>6712</v>
      </c>
      <c r="M786" t="s">
        <v>6734</v>
      </c>
      <c r="O786" t="s">
        <v>6750</v>
      </c>
      <c r="P786" t="s">
        <v>5697</v>
      </c>
      <c r="R786" t="s">
        <v>6793</v>
      </c>
      <c r="T786" t="s">
        <v>6809</v>
      </c>
      <c r="U786">
        <v>850</v>
      </c>
      <c r="V786" t="s">
        <v>6837</v>
      </c>
      <c r="W786" t="s">
        <v>6840</v>
      </c>
      <c r="Y786" t="s">
        <v>7621</v>
      </c>
      <c r="Z786" t="s">
        <v>8959</v>
      </c>
      <c r="AA786" t="s">
        <v>9677</v>
      </c>
      <c r="AB786">
        <v>0</v>
      </c>
      <c r="AC786" t="s">
        <v>8953</v>
      </c>
      <c r="AD786" t="s">
        <v>5741</v>
      </c>
      <c r="AE786">
        <v>0</v>
      </c>
      <c r="AF786">
        <v>1</v>
      </c>
      <c r="AG786">
        <v>0</v>
      </c>
      <c r="AH786">
        <v>124.04</v>
      </c>
      <c r="AK786" t="s">
        <v>10966</v>
      </c>
      <c r="AL786">
        <v>15492</v>
      </c>
      <c r="AR786">
        <v>0.3</v>
      </c>
      <c r="AS786" t="s">
        <v>6809</v>
      </c>
      <c r="AT786" t="s">
        <v>11182</v>
      </c>
      <c r="AU786" t="s">
        <v>11228</v>
      </c>
      <c r="AV786" t="s">
        <v>11231</v>
      </c>
      <c r="AW786" t="s">
        <v>6809</v>
      </c>
    </row>
    <row r="787" spans="1:49">
      <c r="A787" s="1">
        <f>HYPERLINK("https://lsnyc.legalserver.org/matter/dynamic-profile/view/1902515","19-1902515")</f>
        <v>0</v>
      </c>
      <c r="B787" t="s">
        <v>71</v>
      </c>
      <c r="C787" t="s">
        <v>888</v>
      </c>
      <c r="D787" t="s">
        <v>2222</v>
      </c>
      <c r="E787" t="s">
        <v>3826</v>
      </c>
      <c r="F787" t="s">
        <v>5357</v>
      </c>
      <c r="G787" t="s">
        <v>5637</v>
      </c>
      <c r="H787">
        <v>11234</v>
      </c>
      <c r="I787" t="s">
        <v>5695</v>
      </c>
      <c r="J787" t="s">
        <v>5696</v>
      </c>
      <c r="K787" t="s">
        <v>5972</v>
      </c>
      <c r="L787" t="s">
        <v>6712</v>
      </c>
      <c r="M787" t="s">
        <v>6734</v>
      </c>
      <c r="O787" t="s">
        <v>6746</v>
      </c>
      <c r="R787" t="s">
        <v>6793</v>
      </c>
      <c r="U787">
        <v>2900</v>
      </c>
      <c r="V787" t="s">
        <v>6835</v>
      </c>
      <c r="W787" t="s">
        <v>6840</v>
      </c>
      <c r="Y787" t="s">
        <v>7622</v>
      </c>
      <c r="AA787" t="s">
        <v>9678</v>
      </c>
      <c r="AB787">
        <v>0</v>
      </c>
      <c r="AE787">
        <v>0</v>
      </c>
      <c r="AF787">
        <v>1</v>
      </c>
      <c r="AG787">
        <v>3</v>
      </c>
      <c r="AH787">
        <v>0</v>
      </c>
      <c r="AK787" t="s">
        <v>10966</v>
      </c>
      <c r="AL787">
        <v>0</v>
      </c>
      <c r="AR787">
        <v>8.449999999999999</v>
      </c>
      <c r="AS787" t="s">
        <v>6828</v>
      </c>
      <c r="AT787" t="s">
        <v>11190</v>
      </c>
      <c r="AV787" t="s">
        <v>11231</v>
      </c>
      <c r="AW787" t="s">
        <v>11116</v>
      </c>
    </row>
    <row r="788" spans="1:49">
      <c r="A788" s="1">
        <f>HYPERLINK("https://lsnyc.legalserver.org/matter/dynamic-profile/view/1904043","19-1904043")</f>
        <v>0</v>
      </c>
      <c r="B788" t="s">
        <v>246</v>
      </c>
      <c r="C788" t="s">
        <v>517</v>
      </c>
      <c r="D788" t="s">
        <v>1762</v>
      </c>
      <c r="E788" t="s">
        <v>3827</v>
      </c>
      <c r="F788" t="s">
        <v>5368</v>
      </c>
      <c r="G788" t="s">
        <v>5644</v>
      </c>
      <c r="H788">
        <v>11435</v>
      </c>
      <c r="I788" t="s">
        <v>5695</v>
      </c>
      <c r="J788" t="s">
        <v>5696</v>
      </c>
      <c r="K788" t="s">
        <v>5973</v>
      </c>
      <c r="L788" t="s">
        <v>6712</v>
      </c>
      <c r="M788" t="s">
        <v>6734</v>
      </c>
      <c r="O788" t="s">
        <v>6750</v>
      </c>
      <c r="P788" t="s">
        <v>5697</v>
      </c>
      <c r="R788" t="s">
        <v>6793</v>
      </c>
      <c r="T788" t="s">
        <v>6817</v>
      </c>
      <c r="U788">
        <v>2200</v>
      </c>
      <c r="V788" t="s">
        <v>6837</v>
      </c>
      <c r="W788" t="s">
        <v>6840</v>
      </c>
      <c r="Y788" t="s">
        <v>7623</v>
      </c>
      <c r="AA788" t="s">
        <v>9679</v>
      </c>
      <c r="AB788">
        <v>2</v>
      </c>
      <c r="AC788" t="s">
        <v>8953</v>
      </c>
      <c r="AD788" t="s">
        <v>5741</v>
      </c>
      <c r="AE788">
        <v>1</v>
      </c>
      <c r="AF788">
        <v>2</v>
      </c>
      <c r="AG788">
        <v>0</v>
      </c>
      <c r="AH788">
        <v>0</v>
      </c>
      <c r="AK788" t="s">
        <v>10966</v>
      </c>
      <c r="AL788">
        <v>0</v>
      </c>
      <c r="AR788">
        <v>0.3</v>
      </c>
      <c r="AS788" t="s">
        <v>6817</v>
      </c>
      <c r="AT788" t="s">
        <v>11182</v>
      </c>
      <c r="AU788" t="s">
        <v>11228</v>
      </c>
      <c r="AV788" t="s">
        <v>11231</v>
      </c>
      <c r="AW788" t="s">
        <v>6817</v>
      </c>
    </row>
    <row r="789" spans="1:49">
      <c r="A789" s="1">
        <f>HYPERLINK("https://lsnyc.legalserver.org/matter/dynamic-profile/view/1896825","19-1896825")</f>
        <v>0</v>
      </c>
      <c r="B789" t="s">
        <v>84</v>
      </c>
      <c r="C789" t="s">
        <v>329</v>
      </c>
      <c r="D789" t="s">
        <v>1697</v>
      </c>
      <c r="E789" t="s">
        <v>3828</v>
      </c>
      <c r="F789">
        <v>1</v>
      </c>
      <c r="G789" t="s">
        <v>5637</v>
      </c>
      <c r="H789">
        <v>11208</v>
      </c>
      <c r="I789" t="s">
        <v>5697</v>
      </c>
      <c r="J789" t="s">
        <v>5697</v>
      </c>
      <c r="K789" t="s">
        <v>5974</v>
      </c>
      <c r="L789" t="s">
        <v>6712</v>
      </c>
      <c r="M789" t="s">
        <v>6734</v>
      </c>
      <c r="O789" t="s">
        <v>6745</v>
      </c>
      <c r="P789" t="s">
        <v>5697</v>
      </c>
      <c r="R789" t="s">
        <v>6793</v>
      </c>
      <c r="S789" t="s">
        <v>6801</v>
      </c>
      <c r="U789">
        <v>1550</v>
      </c>
      <c r="V789" t="s">
        <v>6835</v>
      </c>
      <c r="W789" t="s">
        <v>6844</v>
      </c>
      <c r="Y789" t="s">
        <v>7624</v>
      </c>
      <c r="Z789" t="s">
        <v>8960</v>
      </c>
      <c r="AA789" t="s">
        <v>9680</v>
      </c>
      <c r="AB789">
        <v>2</v>
      </c>
      <c r="AC789" t="s">
        <v>10930</v>
      </c>
      <c r="AD789" t="s">
        <v>5741</v>
      </c>
      <c r="AE789">
        <v>5</v>
      </c>
      <c r="AF789">
        <v>5</v>
      </c>
      <c r="AG789">
        <v>1</v>
      </c>
      <c r="AH789">
        <v>99.73999999999999</v>
      </c>
      <c r="AK789" t="s">
        <v>10966</v>
      </c>
      <c r="AL789">
        <v>34500</v>
      </c>
      <c r="AR789">
        <v>2.5</v>
      </c>
      <c r="AS789" t="s">
        <v>11147</v>
      </c>
      <c r="AT789" t="s">
        <v>69</v>
      </c>
      <c r="AU789" t="s">
        <v>5741</v>
      </c>
      <c r="AV789" t="s">
        <v>11231</v>
      </c>
      <c r="AW789" t="s">
        <v>11232</v>
      </c>
    </row>
    <row r="790" spans="1:49">
      <c r="A790" s="1">
        <f>HYPERLINK("https://lsnyc.legalserver.org/matter/dynamic-profile/view/1905133","19-1905133")</f>
        <v>0</v>
      </c>
      <c r="B790" t="s">
        <v>63</v>
      </c>
      <c r="C790" t="s">
        <v>889</v>
      </c>
      <c r="D790" t="s">
        <v>1887</v>
      </c>
      <c r="E790" t="s">
        <v>3829</v>
      </c>
      <c r="F790" t="s">
        <v>5154</v>
      </c>
      <c r="G790" t="s">
        <v>5676</v>
      </c>
      <c r="H790">
        <v>11385</v>
      </c>
      <c r="I790" t="s">
        <v>5695</v>
      </c>
      <c r="J790" t="s">
        <v>5696</v>
      </c>
      <c r="K790" t="s">
        <v>5975</v>
      </c>
      <c r="L790" t="s">
        <v>6712</v>
      </c>
      <c r="M790" t="s">
        <v>6734</v>
      </c>
      <c r="O790" t="s">
        <v>6752</v>
      </c>
      <c r="P790" t="s">
        <v>5697</v>
      </c>
      <c r="R790" t="s">
        <v>6793</v>
      </c>
      <c r="S790" t="s">
        <v>6801</v>
      </c>
      <c r="U790">
        <v>0</v>
      </c>
      <c r="V790" t="s">
        <v>6837</v>
      </c>
      <c r="W790" t="s">
        <v>6839</v>
      </c>
      <c r="Y790" t="s">
        <v>7625</v>
      </c>
      <c r="Z790" t="s">
        <v>8961</v>
      </c>
      <c r="AA790" t="s">
        <v>9681</v>
      </c>
      <c r="AB790">
        <v>75</v>
      </c>
      <c r="AC790" t="s">
        <v>10929</v>
      </c>
      <c r="AD790" t="s">
        <v>5741</v>
      </c>
      <c r="AE790">
        <v>2</v>
      </c>
      <c r="AF790">
        <v>2</v>
      </c>
      <c r="AG790">
        <v>3</v>
      </c>
      <c r="AH790">
        <v>150.29</v>
      </c>
      <c r="AK790" t="s">
        <v>10967</v>
      </c>
      <c r="AL790">
        <v>45344</v>
      </c>
      <c r="AR790">
        <v>1</v>
      </c>
      <c r="AS790" t="s">
        <v>6814</v>
      </c>
      <c r="AT790" t="s">
        <v>63</v>
      </c>
      <c r="AU790" t="s">
        <v>11228</v>
      </c>
      <c r="AV790" t="s">
        <v>11231</v>
      </c>
      <c r="AW790" t="s">
        <v>6814</v>
      </c>
    </row>
    <row r="791" spans="1:49">
      <c r="A791" s="1">
        <f>HYPERLINK("https://lsnyc.legalserver.org/matter/dynamic-profile/view/1904688","19-1904688")</f>
        <v>0</v>
      </c>
      <c r="B791" t="s">
        <v>212</v>
      </c>
      <c r="C791" t="s">
        <v>445</v>
      </c>
      <c r="D791" t="s">
        <v>2223</v>
      </c>
      <c r="E791" t="s">
        <v>3830</v>
      </c>
      <c r="F791" t="s">
        <v>5267</v>
      </c>
      <c r="G791" t="s">
        <v>5638</v>
      </c>
      <c r="H791">
        <v>10128</v>
      </c>
      <c r="I791" t="s">
        <v>5695</v>
      </c>
      <c r="J791" t="s">
        <v>5696</v>
      </c>
      <c r="K791" t="s">
        <v>5976</v>
      </c>
      <c r="L791" t="s">
        <v>6712</v>
      </c>
      <c r="M791" t="s">
        <v>6734</v>
      </c>
      <c r="O791" t="s">
        <v>6745</v>
      </c>
      <c r="P791" t="s">
        <v>5697</v>
      </c>
      <c r="R791" t="s">
        <v>6793</v>
      </c>
      <c r="T791" t="s">
        <v>6809</v>
      </c>
      <c r="U791">
        <v>918</v>
      </c>
      <c r="V791" t="s">
        <v>6836</v>
      </c>
      <c r="W791" t="s">
        <v>6838</v>
      </c>
      <c r="Y791" t="s">
        <v>7626</v>
      </c>
      <c r="Z791" t="s">
        <v>8962</v>
      </c>
      <c r="AA791" t="s">
        <v>9682</v>
      </c>
      <c r="AB791">
        <v>0</v>
      </c>
      <c r="AC791" t="s">
        <v>10929</v>
      </c>
      <c r="AD791" t="s">
        <v>10948</v>
      </c>
      <c r="AE791">
        <v>21</v>
      </c>
      <c r="AF791">
        <v>1</v>
      </c>
      <c r="AG791">
        <v>0</v>
      </c>
      <c r="AH791">
        <v>37.89</v>
      </c>
      <c r="AK791" t="s">
        <v>10966</v>
      </c>
      <c r="AL791">
        <v>4732</v>
      </c>
      <c r="AR791">
        <v>0</v>
      </c>
      <c r="AT791" t="s">
        <v>11218</v>
      </c>
      <c r="AU791" t="s">
        <v>11229</v>
      </c>
      <c r="AV791" t="s">
        <v>11231</v>
      </c>
      <c r="AW791" t="s">
        <v>6809</v>
      </c>
    </row>
    <row r="792" spans="1:49">
      <c r="A792" s="1">
        <f>HYPERLINK("https://lsnyc.legalserver.org/matter/dynamic-profile/view/1902357","19-1902357")</f>
        <v>0</v>
      </c>
      <c r="B792" t="s">
        <v>247</v>
      </c>
      <c r="C792" t="s">
        <v>890</v>
      </c>
      <c r="D792" t="s">
        <v>2224</v>
      </c>
      <c r="E792" t="s">
        <v>3831</v>
      </c>
      <c r="F792">
        <v>3</v>
      </c>
      <c r="G792" t="s">
        <v>5676</v>
      </c>
      <c r="H792">
        <v>11385</v>
      </c>
      <c r="I792" t="s">
        <v>5696</v>
      </c>
      <c r="J792" t="s">
        <v>5696</v>
      </c>
      <c r="K792" t="s">
        <v>5977</v>
      </c>
      <c r="L792" t="s">
        <v>6712</v>
      </c>
      <c r="M792" t="s">
        <v>6734</v>
      </c>
      <c r="O792" t="s">
        <v>6752</v>
      </c>
      <c r="P792" t="s">
        <v>5697</v>
      </c>
      <c r="R792" t="s">
        <v>6793</v>
      </c>
      <c r="U792">
        <v>1875</v>
      </c>
      <c r="V792" t="s">
        <v>6837</v>
      </c>
      <c r="Y792" t="s">
        <v>7050</v>
      </c>
      <c r="AA792" t="s">
        <v>9683</v>
      </c>
      <c r="AB792">
        <v>0</v>
      </c>
      <c r="AD792" t="s">
        <v>5741</v>
      </c>
      <c r="AE792">
        <v>4</v>
      </c>
      <c r="AF792">
        <v>1</v>
      </c>
      <c r="AG792">
        <v>3</v>
      </c>
      <c r="AH792">
        <v>0</v>
      </c>
      <c r="AK792" t="s">
        <v>10966</v>
      </c>
      <c r="AL792">
        <v>0</v>
      </c>
      <c r="AR792">
        <v>0.53</v>
      </c>
      <c r="AS792" t="s">
        <v>6814</v>
      </c>
      <c r="AT792" t="s">
        <v>11184</v>
      </c>
      <c r="AU792" t="s">
        <v>11228</v>
      </c>
      <c r="AV792" t="s">
        <v>11231</v>
      </c>
      <c r="AW792" t="s">
        <v>11140</v>
      </c>
    </row>
    <row r="793" spans="1:49">
      <c r="A793" s="1">
        <f>HYPERLINK("https://lsnyc.legalserver.org/matter/dynamic-profile/view/1906180","19-1906180")</f>
        <v>0</v>
      </c>
      <c r="B793" t="s">
        <v>184</v>
      </c>
      <c r="C793" t="s">
        <v>891</v>
      </c>
      <c r="D793" t="s">
        <v>2225</v>
      </c>
      <c r="E793" t="s">
        <v>3832</v>
      </c>
      <c r="G793" t="s">
        <v>5644</v>
      </c>
      <c r="H793">
        <v>11435</v>
      </c>
      <c r="I793" t="s">
        <v>5695</v>
      </c>
      <c r="J793" t="s">
        <v>5696</v>
      </c>
      <c r="K793" t="s">
        <v>5978</v>
      </c>
      <c r="L793" t="s">
        <v>6712</v>
      </c>
      <c r="M793" t="s">
        <v>6734</v>
      </c>
      <c r="O793" t="s">
        <v>6750</v>
      </c>
      <c r="P793" t="s">
        <v>5697</v>
      </c>
      <c r="R793" t="s">
        <v>6793</v>
      </c>
      <c r="T793" t="s">
        <v>6821</v>
      </c>
      <c r="U793">
        <v>3100</v>
      </c>
      <c r="V793" t="s">
        <v>6837</v>
      </c>
      <c r="W793" t="s">
        <v>6840</v>
      </c>
      <c r="Y793" t="s">
        <v>7627</v>
      </c>
      <c r="AA793" t="s">
        <v>9684</v>
      </c>
      <c r="AB793">
        <v>1</v>
      </c>
      <c r="AC793" t="s">
        <v>8953</v>
      </c>
      <c r="AD793" t="s">
        <v>5741</v>
      </c>
      <c r="AE793">
        <v>-1</v>
      </c>
      <c r="AF793">
        <v>4</v>
      </c>
      <c r="AG793">
        <v>3</v>
      </c>
      <c r="AH793">
        <v>97.26000000000001</v>
      </c>
      <c r="AK793" t="s">
        <v>10966</v>
      </c>
      <c r="AL793">
        <v>37940</v>
      </c>
      <c r="AR793">
        <v>1.3</v>
      </c>
      <c r="AS793" t="s">
        <v>6821</v>
      </c>
      <c r="AT793" t="s">
        <v>11182</v>
      </c>
      <c r="AU793" t="s">
        <v>11228</v>
      </c>
      <c r="AV793" t="s">
        <v>11231</v>
      </c>
      <c r="AW793" t="s">
        <v>6821</v>
      </c>
    </row>
    <row r="794" spans="1:49">
      <c r="A794" s="1">
        <f>HYPERLINK("https://lsnyc.legalserver.org/matter/dynamic-profile/view/1904907","19-1904907")</f>
        <v>0</v>
      </c>
      <c r="B794" t="s">
        <v>200</v>
      </c>
      <c r="C794" t="s">
        <v>892</v>
      </c>
      <c r="D794" t="s">
        <v>2178</v>
      </c>
      <c r="E794" t="s">
        <v>3833</v>
      </c>
      <c r="F794">
        <v>2</v>
      </c>
      <c r="G794" t="s">
        <v>5639</v>
      </c>
      <c r="H794">
        <v>11693</v>
      </c>
      <c r="I794" t="s">
        <v>5695</v>
      </c>
      <c r="J794" t="s">
        <v>5696</v>
      </c>
      <c r="K794" t="s">
        <v>5979</v>
      </c>
      <c r="L794" t="s">
        <v>6712</v>
      </c>
      <c r="M794" t="s">
        <v>6734</v>
      </c>
      <c r="O794" t="s">
        <v>6750</v>
      </c>
      <c r="P794" t="s">
        <v>5697</v>
      </c>
      <c r="R794" t="s">
        <v>6793</v>
      </c>
      <c r="T794" t="s">
        <v>6812</v>
      </c>
      <c r="U794">
        <v>2022</v>
      </c>
      <c r="V794" t="s">
        <v>6837</v>
      </c>
      <c r="W794" t="s">
        <v>6840</v>
      </c>
      <c r="Y794" t="s">
        <v>7628</v>
      </c>
      <c r="Z794" t="s">
        <v>8963</v>
      </c>
      <c r="AA794" t="s">
        <v>9685</v>
      </c>
      <c r="AB794">
        <v>2</v>
      </c>
      <c r="AC794" t="s">
        <v>8953</v>
      </c>
      <c r="AD794" t="s">
        <v>10944</v>
      </c>
      <c r="AE794">
        <v>5</v>
      </c>
      <c r="AF794">
        <v>2</v>
      </c>
      <c r="AG794">
        <v>6</v>
      </c>
      <c r="AH794">
        <v>93.98999999999999</v>
      </c>
      <c r="AK794" t="s">
        <v>10966</v>
      </c>
      <c r="AL794">
        <v>40821.98</v>
      </c>
      <c r="AR794">
        <v>1.3</v>
      </c>
      <c r="AS794" t="s">
        <v>6812</v>
      </c>
      <c r="AT794" t="s">
        <v>11182</v>
      </c>
      <c r="AU794" t="s">
        <v>11228</v>
      </c>
      <c r="AV794" t="s">
        <v>11231</v>
      </c>
      <c r="AW794" t="s">
        <v>6812</v>
      </c>
    </row>
    <row r="795" spans="1:49">
      <c r="A795" s="1">
        <f>HYPERLINK("https://lsnyc.legalserver.org/matter/dynamic-profile/view/1901103","19-1901103")</f>
        <v>0</v>
      </c>
      <c r="B795" t="s">
        <v>248</v>
      </c>
      <c r="C795" t="s">
        <v>893</v>
      </c>
      <c r="D795" t="s">
        <v>1845</v>
      </c>
      <c r="E795" t="s">
        <v>3834</v>
      </c>
      <c r="G795" t="s">
        <v>5677</v>
      </c>
      <c r="H795">
        <v>11413</v>
      </c>
      <c r="I795" t="s">
        <v>5695</v>
      </c>
      <c r="J795" t="s">
        <v>5696</v>
      </c>
      <c r="K795" t="s">
        <v>5980</v>
      </c>
      <c r="L795" t="s">
        <v>6712</v>
      </c>
      <c r="M795" t="s">
        <v>6734</v>
      </c>
      <c r="O795" t="s">
        <v>6750</v>
      </c>
      <c r="P795" t="s">
        <v>5697</v>
      </c>
      <c r="R795" t="s">
        <v>6793</v>
      </c>
      <c r="U795">
        <v>2000</v>
      </c>
      <c r="V795" t="s">
        <v>6837</v>
      </c>
      <c r="W795" t="s">
        <v>6840</v>
      </c>
      <c r="Y795" t="s">
        <v>7629</v>
      </c>
      <c r="AA795" t="s">
        <v>9686</v>
      </c>
      <c r="AB795">
        <v>1</v>
      </c>
      <c r="AC795" t="s">
        <v>10930</v>
      </c>
      <c r="AD795" t="s">
        <v>10944</v>
      </c>
      <c r="AE795">
        <v>10</v>
      </c>
      <c r="AF795">
        <v>2</v>
      </c>
      <c r="AG795">
        <v>4</v>
      </c>
      <c r="AH795">
        <v>183.17</v>
      </c>
      <c r="AK795" t="s">
        <v>10966</v>
      </c>
      <c r="AL795">
        <v>63360</v>
      </c>
      <c r="AR795">
        <v>1</v>
      </c>
      <c r="AS795" t="s">
        <v>11143</v>
      </c>
      <c r="AT795" t="s">
        <v>11184</v>
      </c>
      <c r="AU795" t="s">
        <v>11228</v>
      </c>
      <c r="AV795" t="s">
        <v>11231</v>
      </c>
      <c r="AW795" t="s">
        <v>11143</v>
      </c>
    </row>
    <row r="796" spans="1:49">
      <c r="A796" s="1">
        <f>HYPERLINK("https://lsnyc.legalserver.org/matter/dynamic-profile/view/1903523","19-1903523")</f>
        <v>0</v>
      </c>
      <c r="B796" t="s">
        <v>63</v>
      </c>
      <c r="C796" t="s">
        <v>894</v>
      </c>
      <c r="D796" t="s">
        <v>2226</v>
      </c>
      <c r="E796" t="s">
        <v>3835</v>
      </c>
      <c r="G796" t="s">
        <v>5644</v>
      </c>
      <c r="H796">
        <v>11433</v>
      </c>
      <c r="I796" t="s">
        <v>5695</v>
      </c>
      <c r="J796" t="s">
        <v>5696</v>
      </c>
      <c r="K796" t="s">
        <v>5981</v>
      </c>
      <c r="L796" t="s">
        <v>6712</v>
      </c>
      <c r="M796" t="s">
        <v>6734</v>
      </c>
      <c r="O796" t="s">
        <v>6752</v>
      </c>
      <c r="P796" t="s">
        <v>5695</v>
      </c>
      <c r="R796" t="s">
        <v>6793</v>
      </c>
      <c r="S796" t="s">
        <v>6801</v>
      </c>
      <c r="U796">
        <v>700</v>
      </c>
      <c r="V796" t="s">
        <v>6837</v>
      </c>
      <c r="W796" t="s">
        <v>6839</v>
      </c>
      <c r="Y796" t="s">
        <v>7630</v>
      </c>
      <c r="AA796" t="s">
        <v>9687</v>
      </c>
      <c r="AB796">
        <v>7</v>
      </c>
      <c r="AC796" t="s">
        <v>10930</v>
      </c>
      <c r="AD796" t="s">
        <v>5741</v>
      </c>
      <c r="AE796">
        <v>-1</v>
      </c>
      <c r="AF796">
        <v>1</v>
      </c>
      <c r="AG796">
        <v>0</v>
      </c>
      <c r="AH796">
        <v>139.47</v>
      </c>
      <c r="AK796" t="s">
        <v>10966</v>
      </c>
      <c r="AL796">
        <v>17420</v>
      </c>
      <c r="AR796">
        <v>2.35</v>
      </c>
      <c r="AS796" t="s">
        <v>6827</v>
      </c>
      <c r="AT796" t="s">
        <v>11184</v>
      </c>
      <c r="AU796" t="s">
        <v>11228</v>
      </c>
      <c r="AV796" t="s">
        <v>11231</v>
      </c>
      <c r="AW796" t="s">
        <v>11147</v>
      </c>
    </row>
    <row r="797" spans="1:49">
      <c r="A797" s="1">
        <f>HYPERLINK("https://lsnyc.legalserver.org/matter/dynamic-profile/view/1905674","19-1905674")</f>
        <v>0</v>
      </c>
      <c r="B797" t="s">
        <v>155</v>
      </c>
      <c r="C797" t="s">
        <v>895</v>
      </c>
      <c r="D797" t="s">
        <v>1934</v>
      </c>
      <c r="E797" t="s">
        <v>3836</v>
      </c>
      <c r="F797" t="s">
        <v>5233</v>
      </c>
      <c r="G797" t="s">
        <v>5637</v>
      </c>
      <c r="H797">
        <v>11208</v>
      </c>
      <c r="I797" t="s">
        <v>5697</v>
      </c>
      <c r="J797" t="s">
        <v>5696</v>
      </c>
      <c r="K797" t="s">
        <v>5982</v>
      </c>
      <c r="L797" t="s">
        <v>6712</v>
      </c>
      <c r="M797" t="s">
        <v>6734</v>
      </c>
      <c r="O797" t="s">
        <v>6745</v>
      </c>
      <c r="P797" t="s">
        <v>5697</v>
      </c>
      <c r="R797" t="s">
        <v>6793</v>
      </c>
      <c r="U797">
        <v>1850</v>
      </c>
      <c r="V797" t="s">
        <v>6835</v>
      </c>
      <c r="W797" t="s">
        <v>6843</v>
      </c>
      <c r="Y797" t="s">
        <v>7631</v>
      </c>
      <c r="AA797" t="s">
        <v>9688</v>
      </c>
      <c r="AB797">
        <v>18</v>
      </c>
      <c r="AC797" t="s">
        <v>10929</v>
      </c>
      <c r="AD797" t="s">
        <v>10948</v>
      </c>
      <c r="AE797">
        <v>6</v>
      </c>
      <c r="AF797">
        <v>1</v>
      </c>
      <c r="AG797">
        <v>1</v>
      </c>
      <c r="AH797">
        <v>37.21</v>
      </c>
      <c r="AK797" t="s">
        <v>10966</v>
      </c>
      <c r="AL797">
        <v>6292</v>
      </c>
      <c r="AR797">
        <v>0</v>
      </c>
      <c r="AT797" t="s">
        <v>67</v>
      </c>
      <c r="AU797" t="s">
        <v>5741</v>
      </c>
      <c r="AV797" t="s">
        <v>11231</v>
      </c>
      <c r="AW797" t="s">
        <v>6823</v>
      </c>
    </row>
    <row r="798" spans="1:49">
      <c r="A798" s="1">
        <f>HYPERLINK("https://lsnyc.legalserver.org/matter/dynamic-profile/view/1904619","19-1904619")</f>
        <v>0</v>
      </c>
      <c r="B798" t="s">
        <v>249</v>
      </c>
      <c r="C798" t="s">
        <v>482</v>
      </c>
      <c r="D798" t="s">
        <v>2227</v>
      </c>
      <c r="E798" t="s">
        <v>3837</v>
      </c>
      <c r="F798" t="s">
        <v>5370</v>
      </c>
      <c r="G798" t="s">
        <v>5638</v>
      </c>
      <c r="H798">
        <v>10029</v>
      </c>
      <c r="I798" t="s">
        <v>5695</v>
      </c>
      <c r="J798" t="s">
        <v>5696</v>
      </c>
      <c r="K798" t="s">
        <v>5983</v>
      </c>
      <c r="L798" t="s">
        <v>6712</v>
      </c>
      <c r="M798" t="s">
        <v>6734</v>
      </c>
      <c r="O798" t="s">
        <v>6759</v>
      </c>
      <c r="P798" t="s">
        <v>5697</v>
      </c>
      <c r="R798" t="s">
        <v>6794</v>
      </c>
      <c r="S798" t="s">
        <v>6801</v>
      </c>
      <c r="T798" t="s">
        <v>6809</v>
      </c>
      <c r="U798">
        <v>268</v>
      </c>
      <c r="V798" t="s">
        <v>6836</v>
      </c>
      <c r="W798" t="s">
        <v>6840</v>
      </c>
      <c r="Y798" t="s">
        <v>7632</v>
      </c>
      <c r="AA798" t="s">
        <v>9689</v>
      </c>
      <c r="AB798">
        <v>0</v>
      </c>
      <c r="AC798" t="s">
        <v>10940</v>
      </c>
      <c r="AD798" t="s">
        <v>5741</v>
      </c>
      <c r="AE798">
        <v>2</v>
      </c>
      <c r="AF798">
        <v>1</v>
      </c>
      <c r="AG798">
        <v>0</v>
      </c>
      <c r="AH798">
        <v>160.54</v>
      </c>
      <c r="AK798" t="s">
        <v>10966</v>
      </c>
      <c r="AL798">
        <v>20052</v>
      </c>
      <c r="AR798">
        <v>1</v>
      </c>
      <c r="AS798" t="s">
        <v>6826</v>
      </c>
      <c r="AT798" t="s">
        <v>11219</v>
      </c>
      <c r="AU798" t="s">
        <v>11228</v>
      </c>
      <c r="AV798" t="s">
        <v>11231</v>
      </c>
      <c r="AW798" t="s">
        <v>6809</v>
      </c>
    </row>
    <row r="799" spans="1:49">
      <c r="A799" s="1">
        <f>HYPERLINK("https://lsnyc.legalserver.org/matter/dynamic-profile/view/1905420","19-1905420")</f>
        <v>0</v>
      </c>
      <c r="B799" t="s">
        <v>170</v>
      </c>
      <c r="C799" t="s">
        <v>896</v>
      </c>
      <c r="D799" t="s">
        <v>2228</v>
      </c>
      <c r="E799" t="s">
        <v>3838</v>
      </c>
      <c r="F799">
        <v>9</v>
      </c>
      <c r="G799" t="s">
        <v>5638</v>
      </c>
      <c r="H799">
        <v>10002</v>
      </c>
      <c r="I799" t="s">
        <v>5695</v>
      </c>
      <c r="J799" t="s">
        <v>5696</v>
      </c>
      <c r="K799" t="s">
        <v>5984</v>
      </c>
      <c r="L799" t="s">
        <v>6712</v>
      </c>
      <c r="M799" t="s">
        <v>6734</v>
      </c>
      <c r="O799" t="s">
        <v>6745</v>
      </c>
      <c r="P799" t="s">
        <v>5697</v>
      </c>
      <c r="R799" t="s">
        <v>6793</v>
      </c>
      <c r="S799" t="s">
        <v>6801</v>
      </c>
      <c r="U799">
        <v>1114</v>
      </c>
      <c r="V799" t="s">
        <v>6836</v>
      </c>
      <c r="W799" t="s">
        <v>6850</v>
      </c>
      <c r="Y799" t="s">
        <v>7633</v>
      </c>
      <c r="AA799" t="s">
        <v>9690</v>
      </c>
      <c r="AB799">
        <v>0</v>
      </c>
      <c r="AC799" t="s">
        <v>8953</v>
      </c>
      <c r="AD799" t="s">
        <v>5741</v>
      </c>
      <c r="AE799">
        <v>23</v>
      </c>
      <c r="AF799">
        <v>4</v>
      </c>
      <c r="AG799">
        <v>0</v>
      </c>
      <c r="AH799">
        <v>166.99</v>
      </c>
      <c r="AK799" t="s">
        <v>10968</v>
      </c>
      <c r="AL799">
        <v>43000</v>
      </c>
      <c r="AR799">
        <v>0.5</v>
      </c>
      <c r="AS799" t="s">
        <v>6822</v>
      </c>
      <c r="AT799" t="s">
        <v>305</v>
      </c>
      <c r="AU799" t="s">
        <v>11228</v>
      </c>
      <c r="AV799" t="s">
        <v>11231</v>
      </c>
      <c r="AW799" t="s">
        <v>6822</v>
      </c>
    </row>
    <row r="800" spans="1:49">
      <c r="A800" s="1">
        <f>HYPERLINK("https://lsnyc.legalserver.org/matter/dynamic-profile/view/1905933","19-1905933")</f>
        <v>0</v>
      </c>
      <c r="B800" t="s">
        <v>245</v>
      </c>
      <c r="C800" t="s">
        <v>897</v>
      </c>
      <c r="D800" t="s">
        <v>2229</v>
      </c>
      <c r="E800" t="s">
        <v>3839</v>
      </c>
      <c r="F800" t="s">
        <v>5100</v>
      </c>
      <c r="G800" t="s">
        <v>5638</v>
      </c>
      <c r="H800">
        <v>10035</v>
      </c>
      <c r="I800" t="s">
        <v>5695</v>
      </c>
      <c r="J800" t="s">
        <v>5696</v>
      </c>
      <c r="K800" t="s">
        <v>5985</v>
      </c>
      <c r="L800" t="s">
        <v>6712</v>
      </c>
      <c r="M800" t="s">
        <v>6734</v>
      </c>
      <c r="O800" t="s">
        <v>6745</v>
      </c>
      <c r="P800" t="s">
        <v>5697</v>
      </c>
      <c r="R800" t="s">
        <v>6793</v>
      </c>
      <c r="U800">
        <v>1139.4</v>
      </c>
      <c r="V800" t="s">
        <v>6836</v>
      </c>
      <c r="W800" t="s">
        <v>6838</v>
      </c>
      <c r="Y800" t="s">
        <v>7634</v>
      </c>
      <c r="AA800" t="s">
        <v>9691</v>
      </c>
      <c r="AB800">
        <v>0</v>
      </c>
      <c r="AC800" t="s">
        <v>10929</v>
      </c>
      <c r="AD800" t="s">
        <v>5741</v>
      </c>
      <c r="AE800">
        <v>10</v>
      </c>
      <c r="AF800">
        <v>2</v>
      </c>
      <c r="AG800">
        <v>1</v>
      </c>
      <c r="AH800">
        <v>131.65</v>
      </c>
      <c r="AK800" t="s">
        <v>10967</v>
      </c>
      <c r="AL800">
        <v>28080</v>
      </c>
      <c r="AR800">
        <v>0.1</v>
      </c>
      <c r="AS800" t="s">
        <v>6826</v>
      </c>
      <c r="AT800" t="s">
        <v>11218</v>
      </c>
      <c r="AU800" t="s">
        <v>11228</v>
      </c>
      <c r="AV800" t="s">
        <v>11231</v>
      </c>
      <c r="AW800" t="s">
        <v>6826</v>
      </c>
    </row>
    <row r="801" spans="1:49">
      <c r="A801" s="1">
        <f>HYPERLINK("https://lsnyc.legalserver.org/matter/dynamic-profile/view/1895591","19-1895591")</f>
        <v>0</v>
      </c>
      <c r="B801" t="s">
        <v>250</v>
      </c>
      <c r="C801" t="s">
        <v>898</v>
      </c>
      <c r="D801" t="s">
        <v>1985</v>
      </c>
      <c r="E801" t="s">
        <v>3840</v>
      </c>
      <c r="F801" t="s">
        <v>5371</v>
      </c>
      <c r="G801" t="s">
        <v>5637</v>
      </c>
      <c r="H801">
        <v>11207</v>
      </c>
      <c r="I801" t="s">
        <v>5697</v>
      </c>
      <c r="J801" t="s">
        <v>5697</v>
      </c>
      <c r="K801" t="s">
        <v>5986</v>
      </c>
      <c r="L801" t="s">
        <v>6712</v>
      </c>
      <c r="M801" t="s">
        <v>6734</v>
      </c>
      <c r="O801" t="s">
        <v>6745</v>
      </c>
      <c r="R801" t="s">
        <v>6793</v>
      </c>
      <c r="S801" t="s">
        <v>6801</v>
      </c>
      <c r="U801">
        <v>1000</v>
      </c>
      <c r="V801" t="s">
        <v>6835</v>
      </c>
      <c r="Y801" t="s">
        <v>7635</v>
      </c>
      <c r="AA801" t="s">
        <v>9692</v>
      </c>
      <c r="AB801">
        <v>2</v>
      </c>
      <c r="AC801" t="s">
        <v>8953</v>
      </c>
      <c r="AD801" t="s">
        <v>5741</v>
      </c>
      <c r="AE801">
        <v>4</v>
      </c>
      <c r="AF801">
        <v>1</v>
      </c>
      <c r="AG801">
        <v>0</v>
      </c>
      <c r="AH801">
        <v>145.72</v>
      </c>
      <c r="AK801" t="s">
        <v>10966</v>
      </c>
      <c r="AL801">
        <v>18200</v>
      </c>
      <c r="AR801">
        <v>1</v>
      </c>
      <c r="AS801" t="s">
        <v>11119</v>
      </c>
      <c r="AT801" t="s">
        <v>11186</v>
      </c>
      <c r="AV801" t="s">
        <v>11231</v>
      </c>
      <c r="AW801" t="s">
        <v>11119</v>
      </c>
    </row>
    <row r="802" spans="1:49">
      <c r="A802" s="1">
        <f>HYPERLINK("https://lsnyc.legalserver.org/matter/dynamic-profile/view/1905254","19-1905254")</f>
        <v>0</v>
      </c>
      <c r="B802" t="s">
        <v>251</v>
      </c>
      <c r="C802" t="s">
        <v>899</v>
      </c>
      <c r="D802" t="s">
        <v>2230</v>
      </c>
      <c r="E802" t="s">
        <v>3841</v>
      </c>
      <c r="G802" t="s">
        <v>5644</v>
      </c>
      <c r="H802">
        <v>11434</v>
      </c>
      <c r="I802" t="s">
        <v>5697</v>
      </c>
      <c r="J802" t="s">
        <v>5696</v>
      </c>
      <c r="K802" t="s">
        <v>5987</v>
      </c>
      <c r="L802" t="s">
        <v>6712</v>
      </c>
      <c r="M802" t="s">
        <v>6734</v>
      </c>
      <c r="O802" t="s">
        <v>6752</v>
      </c>
      <c r="P802" t="s">
        <v>5697</v>
      </c>
      <c r="R802" t="s">
        <v>6793</v>
      </c>
      <c r="U802">
        <v>1600</v>
      </c>
      <c r="V802" t="s">
        <v>6837</v>
      </c>
      <c r="W802" t="s">
        <v>6839</v>
      </c>
      <c r="Y802" t="s">
        <v>7636</v>
      </c>
      <c r="AA802" t="s">
        <v>9693</v>
      </c>
      <c r="AB802">
        <v>0</v>
      </c>
      <c r="AD802" t="s">
        <v>5741</v>
      </c>
      <c r="AE802">
        <v>-1</v>
      </c>
      <c r="AF802">
        <v>2</v>
      </c>
      <c r="AG802">
        <v>4</v>
      </c>
      <c r="AH802">
        <v>115.64</v>
      </c>
      <c r="AK802" t="s">
        <v>10966</v>
      </c>
      <c r="AL802">
        <v>40000</v>
      </c>
      <c r="AR802">
        <v>0.5</v>
      </c>
      <c r="AS802" t="s">
        <v>6808</v>
      </c>
      <c r="AT802" t="s">
        <v>11184</v>
      </c>
      <c r="AU802" t="s">
        <v>11228</v>
      </c>
      <c r="AV802" t="s">
        <v>11231</v>
      </c>
      <c r="AW802" t="s">
        <v>6808</v>
      </c>
    </row>
    <row r="803" spans="1:49">
      <c r="A803" s="1">
        <f>HYPERLINK("https://lsnyc.legalserver.org/matter/dynamic-profile/view/1905964","19-1905964")</f>
        <v>0</v>
      </c>
      <c r="B803" t="s">
        <v>245</v>
      </c>
      <c r="C803" t="s">
        <v>900</v>
      </c>
      <c r="D803" t="s">
        <v>2231</v>
      </c>
      <c r="E803" t="s">
        <v>3842</v>
      </c>
      <c r="F803" t="s">
        <v>5100</v>
      </c>
      <c r="G803" t="s">
        <v>5638</v>
      </c>
      <c r="H803">
        <v>10030</v>
      </c>
      <c r="I803" t="s">
        <v>5695</v>
      </c>
      <c r="J803" t="s">
        <v>5696</v>
      </c>
      <c r="K803" t="s">
        <v>5988</v>
      </c>
      <c r="L803" t="s">
        <v>6712</v>
      </c>
      <c r="M803" t="s">
        <v>6734</v>
      </c>
      <c r="O803" t="s">
        <v>6745</v>
      </c>
      <c r="P803" t="s">
        <v>5697</v>
      </c>
      <c r="R803" t="s">
        <v>6793</v>
      </c>
      <c r="T803" t="s">
        <v>6826</v>
      </c>
      <c r="U803">
        <v>1130</v>
      </c>
      <c r="V803" t="s">
        <v>6836</v>
      </c>
      <c r="W803" t="s">
        <v>6838</v>
      </c>
      <c r="Y803" t="s">
        <v>7637</v>
      </c>
      <c r="AA803" t="s">
        <v>9694</v>
      </c>
      <c r="AB803">
        <v>0</v>
      </c>
      <c r="AC803" t="s">
        <v>10929</v>
      </c>
      <c r="AD803" t="s">
        <v>5741</v>
      </c>
      <c r="AE803">
        <v>10</v>
      </c>
      <c r="AF803">
        <v>1</v>
      </c>
      <c r="AG803">
        <v>0</v>
      </c>
      <c r="AH803">
        <v>192.15</v>
      </c>
      <c r="AK803" t="s">
        <v>10966</v>
      </c>
      <c r="AL803">
        <v>24000</v>
      </c>
      <c r="AR803">
        <v>0.1</v>
      </c>
      <c r="AS803" t="s">
        <v>6826</v>
      </c>
      <c r="AT803" t="s">
        <v>11218</v>
      </c>
      <c r="AU803" t="s">
        <v>11228</v>
      </c>
      <c r="AV803" t="s">
        <v>11231</v>
      </c>
      <c r="AW803" t="s">
        <v>6826</v>
      </c>
    </row>
    <row r="804" spans="1:49">
      <c r="A804" s="1">
        <f>HYPERLINK("https://lsnyc.legalserver.org/matter/dynamic-profile/view/1904885","19-1904885")</f>
        <v>0</v>
      </c>
      <c r="B804" t="s">
        <v>85</v>
      </c>
      <c r="C804" t="s">
        <v>901</v>
      </c>
      <c r="D804" t="s">
        <v>2232</v>
      </c>
      <c r="E804" t="s">
        <v>3843</v>
      </c>
      <c r="F804" t="s">
        <v>5176</v>
      </c>
      <c r="G804" t="s">
        <v>5637</v>
      </c>
      <c r="H804">
        <v>11204</v>
      </c>
      <c r="I804" t="s">
        <v>5696</v>
      </c>
      <c r="J804" t="s">
        <v>5696</v>
      </c>
      <c r="K804" t="s">
        <v>5989</v>
      </c>
      <c r="L804" t="s">
        <v>6712</v>
      </c>
      <c r="M804" t="s">
        <v>6734</v>
      </c>
      <c r="O804" t="s">
        <v>6787</v>
      </c>
      <c r="R804" t="s">
        <v>6793</v>
      </c>
      <c r="U804">
        <v>1545</v>
      </c>
      <c r="V804" t="s">
        <v>6835</v>
      </c>
      <c r="W804" t="s">
        <v>6839</v>
      </c>
      <c r="Y804" t="s">
        <v>7638</v>
      </c>
      <c r="AA804" t="s">
        <v>9695</v>
      </c>
      <c r="AB804">
        <v>0</v>
      </c>
      <c r="AC804" t="s">
        <v>10929</v>
      </c>
      <c r="AD804" t="s">
        <v>5741</v>
      </c>
      <c r="AE804">
        <v>12</v>
      </c>
      <c r="AF804">
        <v>1</v>
      </c>
      <c r="AG804">
        <v>0</v>
      </c>
      <c r="AH804">
        <v>0</v>
      </c>
      <c r="AK804" t="s">
        <v>10966</v>
      </c>
      <c r="AL804">
        <v>0</v>
      </c>
      <c r="AR804">
        <v>2.5</v>
      </c>
      <c r="AS804" t="s">
        <v>6812</v>
      </c>
      <c r="AT804" t="s">
        <v>85</v>
      </c>
      <c r="AV804" t="s">
        <v>11231</v>
      </c>
      <c r="AW804" t="s">
        <v>6816</v>
      </c>
    </row>
    <row r="805" spans="1:49">
      <c r="A805" s="1">
        <f>HYPERLINK("https://lsnyc.legalserver.org/matter/dynamic-profile/view/1906056","19-1906056")</f>
        <v>0</v>
      </c>
      <c r="B805" t="s">
        <v>217</v>
      </c>
      <c r="C805" t="s">
        <v>389</v>
      </c>
      <c r="D805" t="s">
        <v>1676</v>
      </c>
      <c r="E805" t="s">
        <v>3844</v>
      </c>
      <c r="F805" t="s">
        <v>5278</v>
      </c>
      <c r="G805" t="s">
        <v>5640</v>
      </c>
      <c r="H805">
        <v>11421</v>
      </c>
      <c r="I805" t="s">
        <v>5695</v>
      </c>
      <c r="J805" t="s">
        <v>5696</v>
      </c>
      <c r="K805" t="s">
        <v>5990</v>
      </c>
      <c r="L805" t="s">
        <v>6712</v>
      </c>
      <c r="M805" t="s">
        <v>6734</v>
      </c>
      <c r="O805" t="s">
        <v>6750</v>
      </c>
      <c r="P805" t="s">
        <v>5697</v>
      </c>
      <c r="R805" t="s">
        <v>6793</v>
      </c>
      <c r="T805" t="s">
        <v>6820</v>
      </c>
      <c r="U805">
        <v>300</v>
      </c>
      <c r="V805" t="s">
        <v>6837</v>
      </c>
      <c r="W805" t="s">
        <v>6840</v>
      </c>
      <c r="Y805" t="s">
        <v>7639</v>
      </c>
      <c r="Z805" t="s">
        <v>8964</v>
      </c>
      <c r="AA805" t="s">
        <v>9696</v>
      </c>
      <c r="AB805">
        <v>2</v>
      </c>
      <c r="AC805" t="s">
        <v>8953</v>
      </c>
      <c r="AD805" t="s">
        <v>5741</v>
      </c>
      <c r="AE805">
        <v>13</v>
      </c>
      <c r="AF805">
        <v>1</v>
      </c>
      <c r="AG805">
        <v>0</v>
      </c>
      <c r="AH805">
        <v>112.89</v>
      </c>
      <c r="AK805" t="s">
        <v>10966</v>
      </c>
      <c r="AL805">
        <v>14100</v>
      </c>
      <c r="AR805">
        <v>1.7</v>
      </c>
      <c r="AS805" t="s">
        <v>6820</v>
      </c>
      <c r="AT805" t="s">
        <v>11182</v>
      </c>
      <c r="AU805" t="s">
        <v>11228</v>
      </c>
      <c r="AV805" t="s">
        <v>11231</v>
      </c>
      <c r="AW805" t="s">
        <v>6820</v>
      </c>
    </row>
    <row r="806" spans="1:49">
      <c r="A806" s="1">
        <f>HYPERLINK("https://lsnyc.legalserver.org/matter/dynamic-profile/view/1905960","19-1905960")</f>
        <v>0</v>
      </c>
      <c r="B806" t="s">
        <v>138</v>
      </c>
      <c r="C806" t="s">
        <v>599</v>
      </c>
      <c r="D806" t="s">
        <v>2233</v>
      </c>
      <c r="E806" t="s">
        <v>3845</v>
      </c>
      <c r="F806" t="s">
        <v>5372</v>
      </c>
      <c r="G806" t="s">
        <v>5637</v>
      </c>
      <c r="H806">
        <v>11210</v>
      </c>
      <c r="I806" t="s">
        <v>5695</v>
      </c>
      <c r="J806" t="s">
        <v>5696</v>
      </c>
      <c r="K806" t="s">
        <v>5991</v>
      </c>
      <c r="L806" t="s">
        <v>6712</v>
      </c>
      <c r="M806" t="s">
        <v>6734</v>
      </c>
      <c r="O806" t="s">
        <v>6746</v>
      </c>
      <c r="R806" t="s">
        <v>6793</v>
      </c>
      <c r="U806">
        <v>1350</v>
      </c>
      <c r="V806" t="s">
        <v>6835</v>
      </c>
      <c r="W806" t="s">
        <v>6840</v>
      </c>
      <c r="Y806" t="s">
        <v>7640</v>
      </c>
      <c r="AA806" t="s">
        <v>9697</v>
      </c>
      <c r="AB806">
        <v>0</v>
      </c>
      <c r="AE806">
        <v>5</v>
      </c>
      <c r="AF806">
        <v>1</v>
      </c>
      <c r="AG806">
        <v>0</v>
      </c>
      <c r="AH806">
        <v>111.93</v>
      </c>
      <c r="AK806" t="s">
        <v>10966</v>
      </c>
      <c r="AL806">
        <v>13980</v>
      </c>
      <c r="AR806">
        <v>0</v>
      </c>
      <c r="AT806" t="s">
        <v>11190</v>
      </c>
      <c r="AU806" t="s">
        <v>11228</v>
      </c>
      <c r="AV806" t="s">
        <v>11231</v>
      </c>
      <c r="AW806" t="s">
        <v>6826</v>
      </c>
    </row>
    <row r="807" spans="1:49">
      <c r="A807" s="1">
        <f>HYPERLINK("https://lsnyc.legalserver.org/matter/dynamic-profile/view/1905947","19-1905947")</f>
        <v>0</v>
      </c>
      <c r="B807" t="s">
        <v>252</v>
      </c>
      <c r="C807" t="s">
        <v>895</v>
      </c>
      <c r="D807" t="s">
        <v>2234</v>
      </c>
      <c r="E807" t="s">
        <v>3846</v>
      </c>
      <c r="F807" t="s">
        <v>5373</v>
      </c>
      <c r="G807" t="s">
        <v>5638</v>
      </c>
      <c r="H807">
        <v>10032</v>
      </c>
      <c r="I807" t="s">
        <v>5695</v>
      </c>
      <c r="J807" t="s">
        <v>5696</v>
      </c>
      <c r="K807" t="s">
        <v>5992</v>
      </c>
      <c r="L807" t="s">
        <v>6712</v>
      </c>
      <c r="M807" t="s">
        <v>6734</v>
      </c>
      <c r="O807" t="s">
        <v>6745</v>
      </c>
      <c r="P807" t="s">
        <v>5697</v>
      </c>
      <c r="R807" t="s">
        <v>6793</v>
      </c>
      <c r="T807" t="s">
        <v>6826</v>
      </c>
      <c r="U807">
        <v>711</v>
      </c>
      <c r="V807" t="s">
        <v>6836</v>
      </c>
      <c r="W807" t="s">
        <v>6840</v>
      </c>
      <c r="Y807" t="s">
        <v>7641</v>
      </c>
      <c r="Z807" t="s">
        <v>8965</v>
      </c>
      <c r="AA807" t="s">
        <v>9698</v>
      </c>
      <c r="AB807">
        <v>0</v>
      </c>
      <c r="AC807" t="s">
        <v>10929</v>
      </c>
      <c r="AD807" t="s">
        <v>5741</v>
      </c>
      <c r="AE807">
        <v>30</v>
      </c>
      <c r="AF807">
        <v>1</v>
      </c>
      <c r="AG807">
        <v>0</v>
      </c>
      <c r="AH807">
        <v>76</v>
      </c>
      <c r="AK807" t="s">
        <v>10967</v>
      </c>
      <c r="AL807">
        <v>9492</v>
      </c>
      <c r="AR807">
        <v>0</v>
      </c>
      <c r="AT807" t="s">
        <v>11218</v>
      </c>
      <c r="AU807" t="s">
        <v>11229</v>
      </c>
      <c r="AV807" t="s">
        <v>11231</v>
      </c>
      <c r="AW807" t="s">
        <v>6826</v>
      </c>
    </row>
    <row r="808" spans="1:49">
      <c r="A808" s="1">
        <f>HYPERLINK("https://lsnyc.legalserver.org/matter/dynamic-profile/view/1897789","19-1897789")</f>
        <v>0</v>
      </c>
      <c r="B808" t="s">
        <v>183</v>
      </c>
      <c r="C808" t="s">
        <v>902</v>
      </c>
      <c r="D808" t="s">
        <v>1657</v>
      </c>
      <c r="E808" t="s">
        <v>3847</v>
      </c>
      <c r="F808" t="s">
        <v>5215</v>
      </c>
      <c r="G808" t="s">
        <v>5635</v>
      </c>
      <c r="H808">
        <v>10454</v>
      </c>
      <c r="I808" t="s">
        <v>5696</v>
      </c>
      <c r="J808" t="s">
        <v>5696</v>
      </c>
      <c r="K808" t="s">
        <v>5993</v>
      </c>
      <c r="L808" t="s">
        <v>6712</v>
      </c>
      <c r="M808" t="s">
        <v>6734</v>
      </c>
      <c r="O808" t="s">
        <v>6747</v>
      </c>
      <c r="P808" t="s">
        <v>5697</v>
      </c>
      <c r="R808" t="s">
        <v>6793</v>
      </c>
      <c r="S808" t="s">
        <v>6801</v>
      </c>
      <c r="U808">
        <v>0</v>
      </c>
      <c r="V808" t="s">
        <v>6833</v>
      </c>
      <c r="W808" t="s">
        <v>6843</v>
      </c>
      <c r="Y808" t="s">
        <v>7642</v>
      </c>
      <c r="Z808" t="s">
        <v>8966</v>
      </c>
      <c r="AA808" t="s">
        <v>9699</v>
      </c>
      <c r="AB808">
        <v>74</v>
      </c>
      <c r="AD808" t="s">
        <v>10946</v>
      </c>
      <c r="AE808">
        <v>11</v>
      </c>
      <c r="AF808">
        <v>2</v>
      </c>
      <c r="AG808">
        <v>2</v>
      </c>
      <c r="AH808">
        <v>18.92</v>
      </c>
      <c r="AK808" t="s">
        <v>10966</v>
      </c>
      <c r="AL808">
        <v>4870.8</v>
      </c>
      <c r="AM808" t="s">
        <v>11057</v>
      </c>
      <c r="AR808">
        <v>8.050000000000001</v>
      </c>
      <c r="AS808" t="s">
        <v>11124</v>
      </c>
      <c r="AT808" t="s">
        <v>219</v>
      </c>
      <c r="AU808" t="s">
        <v>11229</v>
      </c>
      <c r="AV808" t="s">
        <v>11231</v>
      </c>
      <c r="AW808" t="s">
        <v>11129</v>
      </c>
    </row>
    <row r="809" spans="1:49">
      <c r="A809" s="1">
        <f>HYPERLINK("https://lsnyc.legalserver.org/matter/dynamic-profile/view/1905858","19-1905858")</f>
        <v>0</v>
      </c>
      <c r="B809" t="s">
        <v>191</v>
      </c>
      <c r="C809" t="s">
        <v>903</v>
      </c>
      <c r="D809" t="s">
        <v>2235</v>
      </c>
      <c r="E809" t="s">
        <v>3848</v>
      </c>
      <c r="F809" t="s">
        <v>5205</v>
      </c>
      <c r="G809" t="s">
        <v>5665</v>
      </c>
      <c r="H809">
        <v>11377</v>
      </c>
      <c r="I809" t="s">
        <v>5695</v>
      </c>
      <c r="J809" t="s">
        <v>5696</v>
      </c>
      <c r="K809" t="s">
        <v>5994</v>
      </c>
      <c r="L809" t="s">
        <v>6712</v>
      </c>
      <c r="M809" t="s">
        <v>6734</v>
      </c>
      <c r="O809" t="s">
        <v>6750</v>
      </c>
      <c r="P809" t="s">
        <v>5697</v>
      </c>
      <c r="R809" t="s">
        <v>6793</v>
      </c>
      <c r="T809" t="s">
        <v>6824</v>
      </c>
      <c r="U809">
        <v>2100</v>
      </c>
      <c r="V809" t="s">
        <v>6837</v>
      </c>
      <c r="W809" t="s">
        <v>6840</v>
      </c>
      <c r="Y809" t="s">
        <v>7643</v>
      </c>
      <c r="AA809" t="s">
        <v>9700</v>
      </c>
      <c r="AB809">
        <v>6</v>
      </c>
      <c r="AC809" t="s">
        <v>8953</v>
      </c>
      <c r="AD809" t="s">
        <v>5741</v>
      </c>
      <c r="AE809">
        <v>6</v>
      </c>
      <c r="AF809">
        <v>2</v>
      </c>
      <c r="AG809">
        <v>2</v>
      </c>
      <c r="AH809">
        <v>174.76</v>
      </c>
      <c r="AL809">
        <v>45000</v>
      </c>
      <c r="AR809">
        <v>0.8</v>
      </c>
      <c r="AS809" t="s">
        <v>6824</v>
      </c>
      <c r="AT809" t="s">
        <v>11182</v>
      </c>
      <c r="AU809" t="s">
        <v>11228</v>
      </c>
      <c r="AV809" t="s">
        <v>11231</v>
      </c>
      <c r="AW809" t="s">
        <v>6824</v>
      </c>
    </row>
    <row r="810" spans="1:49">
      <c r="A810" s="1">
        <f>HYPERLINK("https://lsnyc.legalserver.org/matter/dynamic-profile/view/1896496","19-1896496")</f>
        <v>0</v>
      </c>
      <c r="B810" t="s">
        <v>216</v>
      </c>
      <c r="C810" t="s">
        <v>904</v>
      </c>
      <c r="D810" t="s">
        <v>2236</v>
      </c>
      <c r="E810" t="s">
        <v>3849</v>
      </c>
      <c r="F810" t="s">
        <v>5100</v>
      </c>
      <c r="G810" t="s">
        <v>5638</v>
      </c>
      <c r="H810">
        <v>10026</v>
      </c>
      <c r="I810" t="s">
        <v>5695</v>
      </c>
      <c r="J810" t="s">
        <v>5695</v>
      </c>
      <c r="K810" t="s">
        <v>5995</v>
      </c>
      <c r="L810" t="s">
        <v>6712</v>
      </c>
      <c r="M810" t="s">
        <v>6734</v>
      </c>
      <c r="O810" t="s">
        <v>6759</v>
      </c>
      <c r="P810" t="s">
        <v>5697</v>
      </c>
      <c r="R810" t="s">
        <v>6793</v>
      </c>
      <c r="S810" t="s">
        <v>6801</v>
      </c>
      <c r="U810">
        <v>921</v>
      </c>
      <c r="V810" t="s">
        <v>6836</v>
      </c>
      <c r="W810" t="s">
        <v>6841</v>
      </c>
      <c r="Y810" t="s">
        <v>7644</v>
      </c>
      <c r="AA810" t="s">
        <v>9701</v>
      </c>
      <c r="AB810">
        <v>0</v>
      </c>
      <c r="AC810" t="s">
        <v>10936</v>
      </c>
      <c r="AD810" t="s">
        <v>10945</v>
      </c>
      <c r="AE810">
        <v>20</v>
      </c>
      <c r="AF810">
        <v>2</v>
      </c>
      <c r="AG810">
        <v>0</v>
      </c>
      <c r="AH810">
        <v>283.86</v>
      </c>
      <c r="AK810" t="s">
        <v>10966</v>
      </c>
      <c r="AL810">
        <v>48000</v>
      </c>
      <c r="AR810">
        <v>20.5</v>
      </c>
      <c r="AS810" t="s">
        <v>6826</v>
      </c>
      <c r="AT810" t="s">
        <v>305</v>
      </c>
      <c r="AV810" t="s">
        <v>11231</v>
      </c>
      <c r="AW810" t="s">
        <v>11154</v>
      </c>
    </row>
    <row r="811" spans="1:49">
      <c r="A811" s="1">
        <f>HYPERLINK("https://lsnyc.legalserver.org/matter/dynamic-profile/view/1906170","19-1906170")</f>
        <v>0</v>
      </c>
      <c r="B811" t="s">
        <v>191</v>
      </c>
      <c r="C811" t="s">
        <v>905</v>
      </c>
      <c r="D811" t="s">
        <v>2237</v>
      </c>
      <c r="E811" t="s">
        <v>3850</v>
      </c>
      <c r="G811" t="s">
        <v>5644</v>
      </c>
      <c r="H811">
        <v>11435</v>
      </c>
      <c r="I811" t="s">
        <v>5695</v>
      </c>
      <c r="J811" t="s">
        <v>5696</v>
      </c>
      <c r="K811" t="s">
        <v>5996</v>
      </c>
      <c r="L811" t="s">
        <v>6712</v>
      </c>
      <c r="M811" t="s">
        <v>6734</v>
      </c>
      <c r="O811" t="s">
        <v>6750</v>
      </c>
      <c r="P811" t="s">
        <v>5697</v>
      </c>
      <c r="R811" t="s">
        <v>6793</v>
      </c>
      <c r="T811" t="s">
        <v>6821</v>
      </c>
      <c r="U811">
        <v>750</v>
      </c>
      <c r="V811" t="s">
        <v>6837</v>
      </c>
      <c r="W811" t="s">
        <v>6840</v>
      </c>
      <c r="Y811" t="s">
        <v>7645</v>
      </c>
      <c r="Z811" t="s">
        <v>8967</v>
      </c>
      <c r="AA811" t="s">
        <v>9702</v>
      </c>
      <c r="AB811">
        <v>2</v>
      </c>
      <c r="AC811" t="s">
        <v>8953</v>
      </c>
      <c r="AD811" t="s">
        <v>5741</v>
      </c>
      <c r="AE811">
        <v>8</v>
      </c>
      <c r="AF811">
        <v>5</v>
      </c>
      <c r="AG811">
        <v>2</v>
      </c>
      <c r="AH811">
        <v>0</v>
      </c>
      <c r="AK811" t="s">
        <v>10966</v>
      </c>
      <c r="AL811">
        <v>0</v>
      </c>
      <c r="AR811">
        <v>1.3</v>
      </c>
      <c r="AS811" t="s">
        <v>6821</v>
      </c>
      <c r="AT811" t="s">
        <v>11182</v>
      </c>
      <c r="AU811" t="s">
        <v>11228</v>
      </c>
      <c r="AV811" t="s">
        <v>11231</v>
      </c>
      <c r="AW811" t="s">
        <v>6821</v>
      </c>
    </row>
    <row r="812" spans="1:49">
      <c r="A812" s="1">
        <f>HYPERLINK("https://lsnyc.legalserver.org/matter/dynamic-profile/view/1902524","19-1902524")</f>
        <v>0</v>
      </c>
      <c r="B812" t="s">
        <v>71</v>
      </c>
      <c r="C812" t="s">
        <v>906</v>
      </c>
      <c r="D812" t="s">
        <v>2238</v>
      </c>
      <c r="E812" t="s">
        <v>3851</v>
      </c>
      <c r="F812" t="s">
        <v>5374</v>
      </c>
      <c r="G812" t="s">
        <v>5637</v>
      </c>
      <c r="H812">
        <v>11213</v>
      </c>
      <c r="I812" t="s">
        <v>5695</v>
      </c>
      <c r="J812" t="s">
        <v>5696</v>
      </c>
      <c r="K812" t="s">
        <v>5997</v>
      </c>
      <c r="L812" t="s">
        <v>6712</v>
      </c>
      <c r="M812" t="s">
        <v>6734</v>
      </c>
      <c r="O812" t="s">
        <v>6746</v>
      </c>
      <c r="R812" t="s">
        <v>6793</v>
      </c>
      <c r="U812">
        <v>0</v>
      </c>
      <c r="V812" t="s">
        <v>6835</v>
      </c>
      <c r="W812" t="s">
        <v>6840</v>
      </c>
      <c r="Y812" t="s">
        <v>7646</v>
      </c>
      <c r="AA812" t="s">
        <v>9703</v>
      </c>
      <c r="AB812">
        <v>0</v>
      </c>
      <c r="AE812">
        <v>0</v>
      </c>
      <c r="AF812">
        <v>3</v>
      </c>
      <c r="AG812">
        <v>0</v>
      </c>
      <c r="AH812">
        <v>168.78</v>
      </c>
      <c r="AK812" t="s">
        <v>10966</v>
      </c>
      <c r="AL812">
        <v>36000</v>
      </c>
      <c r="AR812">
        <v>5.15</v>
      </c>
      <c r="AS812" t="s">
        <v>6814</v>
      </c>
      <c r="AT812" t="s">
        <v>11190</v>
      </c>
      <c r="AU812" t="s">
        <v>11228</v>
      </c>
      <c r="AV812" t="s">
        <v>11231</v>
      </c>
      <c r="AW812" t="s">
        <v>11116</v>
      </c>
    </row>
    <row r="813" spans="1:49">
      <c r="A813" s="1">
        <f>HYPERLINK("https://lsnyc.legalserver.org/matter/dynamic-profile/view/1905431","19-1905431")</f>
        <v>0</v>
      </c>
      <c r="B813" t="s">
        <v>191</v>
      </c>
      <c r="C813" t="s">
        <v>907</v>
      </c>
      <c r="D813" t="s">
        <v>1717</v>
      </c>
      <c r="E813" t="s">
        <v>3852</v>
      </c>
      <c r="F813" t="s">
        <v>5375</v>
      </c>
      <c r="G813" t="s">
        <v>5649</v>
      </c>
      <c r="H813">
        <v>11385</v>
      </c>
      <c r="I813" t="s">
        <v>5695</v>
      </c>
      <c r="J813" t="s">
        <v>5696</v>
      </c>
      <c r="K813" t="s">
        <v>5998</v>
      </c>
      <c r="L813" t="s">
        <v>6712</v>
      </c>
      <c r="M813" t="s">
        <v>6734</v>
      </c>
      <c r="O813" t="s">
        <v>6752</v>
      </c>
      <c r="P813" t="s">
        <v>5697</v>
      </c>
      <c r="R813" t="s">
        <v>6793</v>
      </c>
      <c r="T813" t="s">
        <v>6822</v>
      </c>
      <c r="U813">
        <v>4000</v>
      </c>
      <c r="V813" t="s">
        <v>6837</v>
      </c>
      <c r="W813" t="s">
        <v>6839</v>
      </c>
      <c r="Y813" t="s">
        <v>7647</v>
      </c>
      <c r="AA813" t="s">
        <v>9704</v>
      </c>
      <c r="AB813">
        <v>10</v>
      </c>
      <c r="AC813" t="s">
        <v>8953</v>
      </c>
      <c r="AD813" t="s">
        <v>5741</v>
      </c>
      <c r="AE813">
        <v>1</v>
      </c>
      <c r="AF813">
        <v>1</v>
      </c>
      <c r="AG813">
        <v>0</v>
      </c>
      <c r="AH813">
        <v>240.19</v>
      </c>
      <c r="AI813" t="s">
        <v>6820</v>
      </c>
      <c r="AJ813" t="s">
        <v>10963</v>
      </c>
      <c r="AK813" t="s">
        <v>10966</v>
      </c>
      <c r="AL813">
        <v>30000</v>
      </c>
      <c r="AR813">
        <v>0.9</v>
      </c>
      <c r="AS813" t="s">
        <v>6823</v>
      </c>
      <c r="AT813" t="s">
        <v>11182</v>
      </c>
      <c r="AU813" t="s">
        <v>11228</v>
      </c>
      <c r="AV813" t="s">
        <v>11231</v>
      </c>
      <c r="AW813" t="s">
        <v>6822</v>
      </c>
    </row>
    <row r="814" spans="1:49">
      <c r="A814" s="1">
        <f>HYPERLINK("https://lsnyc.legalserver.org/matter/dynamic-profile/view/1905976","19-1905976")</f>
        <v>0</v>
      </c>
      <c r="B814" t="s">
        <v>252</v>
      </c>
      <c r="C814" t="s">
        <v>908</v>
      </c>
      <c r="D814" t="s">
        <v>2239</v>
      </c>
      <c r="E814" t="s">
        <v>3853</v>
      </c>
      <c r="F814" t="s">
        <v>5247</v>
      </c>
      <c r="G814" t="s">
        <v>5638</v>
      </c>
      <c r="H814">
        <v>10035</v>
      </c>
      <c r="I814" t="s">
        <v>5695</v>
      </c>
      <c r="J814" t="s">
        <v>5696</v>
      </c>
      <c r="K814" t="s">
        <v>5999</v>
      </c>
      <c r="L814" t="s">
        <v>6712</v>
      </c>
      <c r="M814" t="s">
        <v>6734</v>
      </c>
      <c r="O814" t="s">
        <v>6759</v>
      </c>
      <c r="P814" t="s">
        <v>5697</v>
      </c>
      <c r="R814" t="s">
        <v>6794</v>
      </c>
      <c r="T814" t="s">
        <v>6826</v>
      </c>
      <c r="U814">
        <v>214</v>
      </c>
      <c r="V814" t="s">
        <v>6836</v>
      </c>
      <c r="W814" t="s">
        <v>6838</v>
      </c>
      <c r="Y814" t="s">
        <v>7648</v>
      </c>
      <c r="Z814" t="s">
        <v>8968</v>
      </c>
      <c r="AA814" t="s">
        <v>9705</v>
      </c>
      <c r="AB814">
        <v>0</v>
      </c>
      <c r="AC814" t="s">
        <v>10931</v>
      </c>
      <c r="AD814" t="s">
        <v>5741</v>
      </c>
      <c r="AE814">
        <v>7</v>
      </c>
      <c r="AF814">
        <v>1</v>
      </c>
      <c r="AG814">
        <v>0</v>
      </c>
      <c r="AH814">
        <v>62.45</v>
      </c>
      <c r="AK814" t="s">
        <v>10966</v>
      </c>
      <c r="AL814">
        <v>7800</v>
      </c>
      <c r="AR814">
        <v>0</v>
      </c>
      <c r="AT814" t="s">
        <v>11218</v>
      </c>
      <c r="AU814" t="s">
        <v>11229</v>
      </c>
      <c r="AV814" t="s">
        <v>11231</v>
      </c>
      <c r="AW814" t="s">
        <v>6826</v>
      </c>
    </row>
    <row r="815" spans="1:49">
      <c r="A815" s="1">
        <f>HYPERLINK("https://lsnyc.legalserver.org/matter/dynamic-profile/view/1904923","19-1904923")</f>
        <v>0</v>
      </c>
      <c r="B815" t="s">
        <v>186</v>
      </c>
      <c r="C815" t="s">
        <v>909</v>
      </c>
      <c r="D815" t="s">
        <v>2240</v>
      </c>
      <c r="E815" t="s">
        <v>3854</v>
      </c>
      <c r="F815" t="s">
        <v>5368</v>
      </c>
      <c r="G815" t="s">
        <v>5642</v>
      </c>
      <c r="H815">
        <v>11422</v>
      </c>
      <c r="I815" t="s">
        <v>5695</v>
      </c>
      <c r="J815" t="s">
        <v>5696</v>
      </c>
      <c r="K815" t="s">
        <v>6000</v>
      </c>
      <c r="L815" t="s">
        <v>6712</v>
      </c>
      <c r="M815" t="s">
        <v>6734</v>
      </c>
      <c r="O815" t="s">
        <v>6745</v>
      </c>
      <c r="P815" t="s">
        <v>5697</v>
      </c>
      <c r="R815" t="s">
        <v>6793</v>
      </c>
      <c r="T815" t="s">
        <v>6812</v>
      </c>
      <c r="U815">
        <v>1800</v>
      </c>
      <c r="V815" t="s">
        <v>6837</v>
      </c>
      <c r="W815" t="s">
        <v>6840</v>
      </c>
      <c r="Y815" t="s">
        <v>7649</v>
      </c>
      <c r="AA815" t="s">
        <v>9706</v>
      </c>
      <c r="AB815">
        <v>2</v>
      </c>
      <c r="AC815" t="s">
        <v>8953</v>
      </c>
      <c r="AD815" t="s">
        <v>5741</v>
      </c>
      <c r="AE815">
        <v>7</v>
      </c>
      <c r="AF815">
        <v>2</v>
      </c>
      <c r="AG815">
        <v>3</v>
      </c>
      <c r="AH815">
        <v>139.21</v>
      </c>
      <c r="AK815" t="s">
        <v>10966</v>
      </c>
      <c r="AL815">
        <v>42000</v>
      </c>
      <c r="AR815">
        <v>1.5</v>
      </c>
      <c r="AS815" t="s">
        <v>6824</v>
      </c>
      <c r="AT815" t="s">
        <v>11182</v>
      </c>
      <c r="AU815" t="s">
        <v>11228</v>
      </c>
      <c r="AV815" t="s">
        <v>11231</v>
      </c>
      <c r="AW815" t="s">
        <v>6812</v>
      </c>
    </row>
    <row r="816" spans="1:49">
      <c r="A816" s="1">
        <f>HYPERLINK("https://lsnyc.legalserver.org/matter/dynamic-profile/view/1906116","19-1906116")</f>
        <v>0</v>
      </c>
      <c r="B816" t="s">
        <v>99</v>
      </c>
      <c r="C816" t="s">
        <v>910</v>
      </c>
      <c r="D816" t="s">
        <v>2241</v>
      </c>
      <c r="E816" t="s">
        <v>3855</v>
      </c>
      <c r="F816" t="s">
        <v>5233</v>
      </c>
      <c r="G816" t="s">
        <v>5637</v>
      </c>
      <c r="H816">
        <v>11218</v>
      </c>
      <c r="I816" t="s">
        <v>5695</v>
      </c>
      <c r="J816" t="s">
        <v>5696</v>
      </c>
      <c r="K816" t="s">
        <v>6001</v>
      </c>
      <c r="L816" t="s">
        <v>6712</v>
      </c>
      <c r="M816" t="s">
        <v>6734</v>
      </c>
      <c r="O816" t="s">
        <v>6787</v>
      </c>
      <c r="P816" t="s">
        <v>5697</v>
      </c>
      <c r="R816" t="s">
        <v>6793</v>
      </c>
      <c r="S816" t="s">
        <v>6801</v>
      </c>
      <c r="T816" t="s">
        <v>6820</v>
      </c>
      <c r="U816">
        <v>718</v>
      </c>
      <c r="V816" t="s">
        <v>6835</v>
      </c>
      <c r="W816" t="s">
        <v>6839</v>
      </c>
      <c r="Y816" t="s">
        <v>7650</v>
      </c>
      <c r="AA816" t="s">
        <v>9707</v>
      </c>
      <c r="AB816">
        <v>6</v>
      </c>
      <c r="AC816" t="s">
        <v>10929</v>
      </c>
      <c r="AE816">
        <v>25</v>
      </c>
      <c r="AF816">
        <v>3</v>
      </c>
      <c r="AG816">
        <v>0</v>
      </c>
      <c r="AH816">
        <v>28.13</v>
      </c>
      <c r="AK816" t="s">
        <v>10979</v>
      </c>
      <c r="AL816">
        <v>6000</v>
      </c>
      <c r="AR816">
        <v>1</v>
      </c>
      <c r="AS816" t="s">
        <v>6820</v>
      </c>
      <c r="AT816" t="s">
        <v>99</v>
      </c>
      <c r="AV816" t="s">
        <v>11231</v>
      </c>
      <c r="AW816" t="s">
        <v>6820</v>
      </c>
    </row>
    <row r="817" spans="1:49">
      <c r="A817" s="1">
        <f>HYPERLINK("https://lsnyc.legalserver.org/matter/dynamic-profile/view/1903922","19-1903922")</f>
        <v>0</v>
      </c>
      <c r="B817" t="s">
        <v>189</v>
      </c>
      <c r="C817" t="s">
        <v>911</v>
      </c>
      <c r="D817" t="s">
        <v>2242</v>
      </c>
      <c r="E817" t="s">
        <v>3856</v>
      </c>
      <c r="F817" t="s">
        <v>5376</v>
      </c>
      <c r="G817" t="s">
        <v>5674</v>
      </c>
      <c r="H817">
        <v>11373</v>
      </c>
      <c r="I817" t="s">
        <v>5695</v>
      </c>
      <c r="J817" t="s">
        <v>5696</v>
      </c>
      <c r="K817" t="s">
        <v>6002</v>
      </c>
      <c r="L817" t="s">
        <v>6712</v>
      </c>
      <c r="M817" t="s">
        <v>6734</v>
      </c>
      <c r="O817" t="s">
        <v>6752</v>
      </c>
      <c r="P817" t="s">
        <v>5697</v>
      </c>
      <c r="R817" t="s">
        <v>6793</v>
      </c>
      <c r="S817" t="s">
        <v>6801</v>
      </c>
      <c r="U817">
        <v>1277</v>
      </c>
      <c r="V817" t="s">
        <v>6837</v>
      </c>
      <c r="W817" t="s">
        <v>6840</v>
      </c>
      <c r="Y817" t="s">
        <v>7651</v>
      </c>
      <c r="AA817" t="s">
        <v>9708</v>
      </c>
      <c r="AB817">
        <v>39</v>
      </c>
      <c r="AC817" t="s">
        <v>10929</v>
      </c>
      <c r="AD817" t="s">
        <v>5741</v>
      </c>
      <c r="AE817">
        <v>11</v>
      </c>
      <c r="AF817">
        <v>2</v>
      </c>
      <c r="AG817">
        <v>0</v>
      </c>
      <c r="AH817">
        <v>153.76</v>
      </c>
      <c r="AK817" t="s">
        <v>10980</v>
      </c>
      <c r="AL817">
        <v>26000</v>
      </c>
      <c r="AR817">
        <v>7.45</v>
      </c>
      <c r="AS817" t="s">
        <v>6823</v>
      </c>
      <c r="AT817" t="s">
        <v>63</v>
      </c>
      <c r="AU817" t="s">
        <v>11228</v>
      </c>
      <c r="AV817" t="s">
        <v>11231</v>
      </c>
      <c r="AW817" t="s">
        <v>6807</v>
      </c>
    </row>
    <row r="818" spans="1:49">
      <c r="A818" s="1">
        <f>HYPERLINK("https://lsnyc.legalserver.org/matter/dynamic-profile/view/1904660","19-1904660")</f>
        <v>0</v>
      </c>
      <c r="B818" t="s">
        <v>249</v>
      </c>
      <c r="C818" t="s">
        <v>316</v>
      </c>
      <c r="D818" t="s">
        <v>2243</v>
      </c>
      <c r="E818" t="s">
        <v>3857</v>
      </c>
      <c r="F818" t="s">
        <v>5304</v>
      </c>
      <c r="G818" t="s">
        <v>5638</v>
      </c>
      <c r="H818">
        <v>10030</v>
      </c>
      <c r="I818" t="s">
        <v>5695</v>
      </c>
      <c r="J818" t="s">
        <v>5696</v>
      </c>
      <c r="K818" t="s">
        <v>6003</v>
      </c>
      <c r="L818" t="s">
        <v>6712</v>
      </c>
      <c r="M818" t="s">
        <v>6734</v>
      </c>
      <c r="O818" t="s">
        <v>6745</v>
      </c>
      <c r="P818" t="s">
        <v>5697</v>
      </c>
      <c r="R818" t="s">
        <v>6793</v>
      </c>
      <c r="S818" t="s">
        <v>6801</v>
      </c>
      <c r="U818">
        <v>0</v>
      </c>
      <c r="V818" t="s">
        <v>6836</v>
      </c>
      <c r="W818" t="s">
        <v>6840</v>
      </c>
      <c r="Y818" t="s">
        <v>7652</v>
      </c>
      <c r="AA818" t="s">
        <v>9709</v>
      </c>
      <c r="AB818">
        <v>18</v>
      </c>
      <c r="AC818" t="s">
        <v>10929</v>
      </c>
      <c r="AD818" t="s">
        <v>5741</v>
      </c>
      <c r="AE818">
        <v>8</v>
      </c>
      <c r="AF818">
        <v>1</v>
      </c>
      <c r="AG818">
        <v>0</v>
      </c>
      <c r="AH818">
        <v>80.90000000000001</v>
      </c>
      <c r="AK818" t="s">
        <v>10966</v>
      </c>
      <c r="AL818">
        <v>10104</v>
      </c>
      <c r="AR818">
        <v>1.75</v>
      </c>
      <c r="AS818" t="s">
        <v>6827</v>
      </c>
      <c r="AT818" t="s">
        <v>11219</v>
      </c>
      <c r="AU818" t="s">
        <v>11228</v>
      </c>
      <c r="AV818" t="s">
        <v>11231</v>
      </c>
      <c r="AW818" t="s">
        <v>6809</v>
      </c>
    </row>
    <row r="819" spans="1:49">
      <c r="A819" s="1">
        <f>HYPERLINK("https://lsnyc.legalserver.org/matter/dynamic-profile/view/1905292","19-1905292")</f>
        <v>0</v>
      </c>
      <c r="B819" t="s">
        <v>243</v>
      </c>
      <c r="C819" t="s">
        <v>663</v>
      </c>
      <c r="D819" t="s">
        <v>1685</v>
      </c>
      <c r="E819" t="s">
        <v>3858</v>
      </c>
      <c r="F819" t="s">
        <v>5278</v>
      </c>
      <c r="G819" t="s">
        <v>5644</v>
      </c>
      <c r="H819">
        <v>11433</v>
      </c>
      <c r="I819" t="s">
        <v>5695</v>
      </c>
      <c r="J819" t="s">
        <v>5696</v>
      </c>
      <c r="K819" t="s">
        <v>6004</v>
      </c>
      <c r="L819" t="s">
        <v>6712</v>
      </c>
      <c r="M819" t="s">
        <v>6734</v>
      </c>
      <c r="O819" t="s">
        <v>6752</v>
      </c>
      <c r="P819" t="s">
        <v>5697</v>
      </c>
      <c r="R819" t="s">
        <v>6793</v>
      </c>
      <c r="T819" t="s">
        <v>6822</v>
      </c>
      <c r="U819">
        <v>1700</v>
      </c>
      <c r="V819" t="s">
        <v>6837</v>
      </c>
      <c r="W819" t="s">
        <v>6839</v>
      </c>
      <c r="Y819" t="s">
        <v>7653</v>
      </c>
      <c r="AA819" t="s">
        <v>9710</v>
      </c>
      <c r="AB819">
        <v>2</v>
      </c>
      <c r="AC819" t="s">
        <v>8953</v>
      </c>
      <c r="AD819" t="s">
        <v>5741</v>
      </c>
      <c r="AE819">
        <v>2</v>
      </c>
      <c r="AF819">
        <v>1</v>
      </c>
      <c r="AG819">
        <v>3</v>
      </c>
      <c r="AH819">
        <v>45.44</v>
      </c>
      <c r="AK819" t="s">
        <v>10967</v>
      </c>
      <c r="AL819">
        <v>11700</v>
      </c>
      <c r="AR819">
        <v>0.4</v>
      </c>
      <c r="AS819" t="s">
        <v>6822</v>
      </c>
      <c r="AT819" t="s">
        <v>11182</v>
      </c>
      <c r="AU819" t="s">
        <v>11228</v>
      </c>
      <c r="AV819" t="s">
        <v>11231</v>
      </c>
      <c r="AW819" t="s">
        <v>6822</v>
      </c>
    </row>
    <row r="820" spans="1:49">
      <c r="A820" s="1">
        <f>HYPERLINK("https://lsnyc.legalserver.org/matter/dynamic-profile/view/1902731","19-1902731")</f>
        <v>0</v>
      </c>
      <c r="B820" t="s">
        <v>217</v>
      </c>
      <c r="C820" t="s">
        <v>469</v>
      </c>
      <c r="D820" t="s">
        <v>1757</v>
      </c>
      <c r="E820" t="s">
        <v>3859</v>
      </c>
      <c r="F820" t="s">
        <v>5283</v>
      </c>
      <c r="G820" t="s">
        <v>5649</v>
      </c>
      <c r="H820">
        <v>11385</v>
      </c>
      <c r="I820" t="s">
        <v>5695</v>
      </c>
      <c r="J820" t="s">
        <v>5696</v>
      </c>
      <c r="K820" t="s">
        <v>6005</v>
      </c>
      <c r="L820" t="s">
        <v>6712</v>
      </c>
      <c r="M820" t="s">
        <v>6734</v>
      </c>
      <c r="O820" t="s">
        <v>6752</v>
      </c>
      <c r="P820" t="s">
        <v>5697</v>
      </c>
      <c r="R820" t="s">
        <v>6793</v>
      </c>
      <c r="U820">
        <v>1800</v>
      </c>
      <c r="V820" t="s">
        <v>6837</v>
      </c>
      <c r="W820" t="s">
        <v>6840</v>
      </c>
      <c r="Y820" t="s">
        <v>7654</v>
      </c>
      <c r="AA820" t="s">
        <v>9711</v>
      </c>
      <c r="AB820">
        <v>2</v>
      </c>
      <c r="AC820" t="s">
        <v>8953</v>
      </c>
      <c r="AD820" t="s">
        <v>5741</v>
      </c>
      <c r="AE820">
        <v>1</v>
      </c>
      <c r="AF820">
        <v>4</v>
      </c>
      <c r="AG820">
        <v>0</v>
      </c>
      <c r="AH820">
        <v>103.77</v>
      </c>
      <c r="AK820" t="s">
        <v>10966</v>
      </c>
      <c r="AL820">
        <v>26720</v>
      </c>
      <c r="AR820">
        <v>1.5</v>
      </c>
      <c r="AS820" t="s">
        <v>11133</v>
      </c>
      <c r="AT820" t="s">
        <v>11184</v>
      </c>
      <c r="AU820" t="s">
        <v>11228</v>
      </c>
      <c r="AV820" t="s">
        <v>11231</v>
      </c>
      <c r="AW820" t="s">
        <v>11133</v>
      </c>
    </row>
    <row r="821" spans="1:49">
      <c r="A821" s="1">
        <f>HYPERLINK("https://lsnyc.legalserver.org/matter/dynamic-profile/view/1904274","19-1904274")</f>
        <v>0</v>
      </c>
      <c r="B821" t="s">
        <v>170</v>
      </c>
      <c r="C821" t="s">
        <v>912</v>
      </c>
      <c r="D821" t="s">
        <v>2244</v>
      </c>
      <c r="E821" t="s">
        <v>3860</v>
      </c>
      <c r="F821" t="s">
        <v>5145</v>
      </c>
      <c r="G821" t="s">
        <v>5638</v>
      </c>
      <c r="H821">
        <v>10013</v>
      </c>
      <c r="I821" t="s">
        <v>5695</v>
      </c>
      <c r="J821" t="s">
        <v>5696</v>
      </c>
      <c r="K821" t="s">
        <v>6006</v>
      </c>
      <c r="L821" t="s">
        <v>6712</v>
      </c>
      <c r="M821" t="s">
        <v>6734</v>
      </c>
      <c r="O821" t="s">
        <v>6745</v>
      </c>
      <c r="P821" t="s">
        <v>5697</v>
      </c>
      <c r="R821" t="s">
        <v>6793</v>
      </c>
      <c r="U821">
        <v>0</v>
      </c>
      <c r="V821" t="s">
        <v>6836</v>
      </c>
      <c r="Y821" t="s">
        <v>7655</v>
      </c>
      <c r="AA821" t="s">
        <v>9712</v>
      </c>
      <c r="AB821">
        <v>0</v>
      </c>
      <c r="AC821" t="s">
        <v>10938</v>
      </c>
      <c r="AD821" t="s">
        <v>5741</v>
      </c>
      <c r="AE821">
        <v>0</v>
      </c>
      <c r="AF821">
        <v>2</v>
      </c>
      <c r="AG821">
        <v>0</v>
      </c>
      <c r="AH821">
        <v>119.93</v>
      </c>
      <c r="AK821" t="s">
        <v>10979</v>
      </c>
      <c r="AL821">
        <v>20280</v>
      </c>
      <c r="AR821">
        <v>1</v>
      </c>
      <c r="AS821" t="s">
        <v>6827</v>
      </c>
      <c r="AT821" t="s">
        <v>305</v>
      </c>
      <c r="AU821" t="s">
        <v>11228</v>
      </c>
      <c r="AV821" t="s">
        <v>11231</v>
      </c>
      <c r="AW821" t="s">
        <v>6813</v>
      </c>
    </row>
    <row r="822" spans="1:49">
      <c r="A822" s="1">
        <f>HYPERLINK("https://lsnyc.legalserver.org/matter/dynamic-profile/view/1905013","19-1905013")</f>
        <v>0</v>
      </c>
      <c r="B822" t="s">
        <v>130</v>
      </c>
      <c r="C822" t="s">
        <v>698</v>
      </c>
      <c r="D822" t="s">
        <v>2245</v>
      </c>
      <c r="E822" t="s">
        <v>3861</v>
      </c>
      <c r="F822" t="s">
        <v>5377</v>
      </c>
      <c r="G822" t="s">
        <v>5637</v>
      </c>
      <c r="H822">
        <v>11212</v>
      </c>
      <c r="I822" t="s">
        <v>5696</v>
      </c>
      <c r="J822" t="s">
        <v>5696</v>
      </c>
      <c r="K822" t="s">
        <v>6007</v>
      </c>
      <c r="L822" t="s">
        <v>6712</v>
      </c>
      <c r="M822" t="s">
        <v>6734</v>
      </c>
      <c r="O822" t="s">
        <v>6745</v>
      </c>
      <c r="P822" t="s">
        <v>5697</v>
      </c>
      <c r="R822" t="s">
        <v>6793</v>
      </c>
      <c r="U822">
        <v>790</v>
      </c>
      <c r="V822" t="s">
        <v>6835</v>
      </c>
      <c r="W822" t="s">
        <v>6847</v>
      </c>
      <c r="Y822" t="s">
        <v>7656</v>
      </c>
      <c r="AA822" t="s">
        <v>9713</v>
      </c>
      <c r="AB822">
        <v>2</v>
      </c>
      <c r="AC822" t="s">
        <v>10930</v>
      </c>
      <c r="AD822" t="s">
        <v>5741</v>
      </c>
      <c r="AE822">
        <v>5</v>
      </c>
      <c r="AF822">
        <v>1</v>
      </c>
      <c r="AG822">
        <v>0</v>
      </c>
      <c r="AH822">
        <v>36.12</v>
      </c>
      <c r="AK822" t="s">
        <v>10966</v>
      </c>
      <c r="AL822">
        <v>4512</v>
      </c>
      <c r="AR822">
        <v>2.25</v>
      </c>
      <c r="AS822" t="s">
        <v>6823</v>
      </c>
      <c r="AT822" t="s">
        <v>11203</v>
      </c>
      <c r="AV822" t="s">
        <v>11231</v>
      </c>
      <c r="AW822" t="s">
        <v>6812</v>
      </c>
    </row>
    <row r="823" spans="1:49">
      <c r="A823" s="1">
        <f>HYPERLINK("https://lsnyc.legalserver.org/matter/dynamic-profile/view/1905851","19-1905851")</f>
        <v>0</v>
      </c>
      <c r="B823" t="s">
        <v>217</v>
      </c>
      <c r="C823" t="s">
        <v>913</v>
      </c>
      <c r="D823" t="s">
        <v>2246</v>
      </c>
      <c r="E823" t="s">
        <v>3862</v>
      </c>
      <c r="F823">
        <v>6</v>
      </c>
      <c r="G823" t="s">
        <v>5646</v>
      </c>
      <c r="H823">
        <v>11355</v>
      </c>
      <c r="I823" t="s">
        <v>5695</v>
      </c>
      <c r="J823" t="s">
        <v>5696</v>
      </c>
      <c r="K823" t="s">
        <v>6008</v>
      </c>
      <c r="L823" t="s">
        <v>6712</v>
      </c>
      <c r="M823" t="s">
        <v>6734</v>
      </c>
      <c r="O823" t="s">
        <v>6750</v>
      </c>
      <c r="P823" t="s">
        <v>5697</v>
      </c>
      <c r="R823" t="s">
        <v>6793</v>
      </c>
      <c r="S823" t="s">
        <v>6801</v>
      </c>
      <c r="U823">
        <v>800</v>
      </c>
      <c r="V823" t="s">
        <v>6837</v>
      </c>
      <c r="W823" t="s">
        <v>6840</v>
      </c>
      <c r="Y823" t="s">
        <v>7657</v>
      </c>
      <c r="AA823" t="s">
        <v>9714</v>
      </c>
      <c r="AB823">
        <v>0</v>
      </c>
      <c r="AC823" t="s">
        <v>10930</v>
      </c>
      <c r="AE823">
        <v>1</v>
      </c>
      <c r="AF823">
        <v>1</v>
      </c>
      <c r="AG823">
        <v>0</v>
      </c>
      <c r="AH823">
        <v>52.84</v>
      </c>
      <c r="AK823" t="s">
        <v>10968</v>
      </c>
      <c r="AL823">
        <v>6600</v>
      </c>
      <c r="AR823">
        <v>1.2</v>
      </c>
      <c r="AS823" t="s">
        <v>11168</v>
      </c>
      <c r="AT823" t="s">
        <v>217</v>
      </c>
      <c r="AV823" t="s">
        <v>11231</v>
      </c>
      <c r="AW823" t="s">
        <v>6824</v>
      </c>
    </row>
    <row r="824" spans="1:49">
      <c r="A824" s="1">
        <f>HYPERLINK("https://lsnyc.legalserver.org/matter/dynamic-profile/view/1904522","19-1904522")</f>
        <v>0</v>
      </c>
      <c r="B824" t="s">
        <v>184</v>
      </c>
      <c r="C824" t="s">
        <v>914</v>
      </c>
      <c r="D824" t="s">
        <v>2247</v>
      </c>
      <c r="E824" t="s">
        <v>3863</v>
      </c>
      <c r="F824" t="s">
        <v>5378</v>
      </c>
      <c r="G824" t="s">
        <v>5669</v>
      </c>
      <c r="H824">
        <v>11104</v>
      </c>
      <c r="I824" t="s">
        <v>5695</v>
      </c>
      <c r="J824" t="s">
        <v>5696</v>
      </c>
      <c r="K824" t="s">
        <v>6009</v>
      </c>
      <c r="L824" t="s">
        <v>6712</v>
      </c>
      <c r="M824" t="s">
        <v>6734</v>
      </c>
      <c r="O824" t="s">
        <v>6750</v>
      </c>
      <c r="P824" t="s">
        <v>5697</v>
      </c>
      <c r="R824" t="s">
        <v>6793</v>
      </c>
      <c r="T824" t="s">
        <v>6810</v>
      </c>
      <c r="U824">
        <v>1241</v>
      </c>
      <c r="V824" t="s">
        <v>6837</v>
      </c>
      <c r="W824" t="s">
        <v>6840</v>
      </c>
      <c r="Y824" t="s">
        <v>7658</v>
      </c>
      <c r="AA824" t="s">
        <v>9715</v>
      </c>
      <c r="AB824">
        <v>60</v>
      </c>
      <c r="AC824" t="s">
        <v>8953</v>
      </c>
      <c r="AD824" t="s">
        <v>5741</v>
      </c>
      <c r="AE824">
        <v>20</v>
      </c>
      <c r="AF824">
        <v>2</v>
      </c>
      <c r="AG824">
        <v>0</v>
      </c>
      <c r="AH824">
        <v>138.65</v>
      </c>
      <c r="AK824" t="s">
        <v>10981</v>
      </c>
      <c r="AL824">
        <v>23446.28</v>
      </c>
      <c r="AR824">
        <v>4.9</v>
      </c>
      <c r="AS824" t="s">
        <v>6809</v>
      </c>
      <c r="AT824" t="s">
        <v>11182</v>
      </c>
      <c r="AU824" t="s">
        <v>11228</v>
      </c>
      <c r="AV824" t="s">
        <v>11231</v>
      </c>
      <c r="AW824" t="s">
        <v>6810</v>
      </c>
    </row>
    <row r="825" spans="1:49">
      <c r="A825" s="1">
        <f>HYPERLINK("https://lsnyc.legalserver.org/matter/dynamic-profile/view/1900953","19-1900953")</f>
        <v>0</v>
      </c>
      <c r="B825" t="s">
        <v>217</v>
      </c>
      <c r="C825" t="s">
        <v>915</v>
      </c>
      <c r="D825" t="s">
        <v>1973</v>
      </c>
      <c r="E825" t="s">
        <v>3864</v>
      </c>
      <c r="F825" t="s">
        <v>5233</v>
      </c>
      <c r="G825" t="s">
        <v>5649</v>
      </c>
      <c r="H825">
        <v>11385</v>
      </c>
      <c r="I825" t="s">
        <v>5696</v>
      </c>
      <c r="J825" t="s">
        <v>5696</v>
      </c>
      <c r="K825" t="s">
        <v>6010</v>
      </c>
      <c r="L825" t="s">
        <v>6712</v>
      </c>
      <c r="M825" t="s">
        <v>6734</v>
      </c>
      <c r="O825" t="s">
        <v>6750</v>
      </c>
      <c r="P825" t="s">
        <v>5697</v>
      </c>
      <c r="R825" t="s">
        <v>6793</v>
      </c>
      <c r="U825">
        <v>1200</v>
      </c>
      <c r="V825" t="s">
        <v>6837</v>
      </c>
      <c r="W825" t="s">
        <v>6840</v>
      </c>
      <c r="Y825" t="s">
        <v>7659</v>
      </c>
      <c r="AA825" t="s">
        <v>9716</v>
      </c>
      <c r="AB825">
        <v>6</v>
      </c>
      <c r="AC825" t="s">
        <v>10930</v>
      </c>
      <c r="AD825" t="s">
        <v>5741</v>
      </c>
      <c r="AE825">
        <v>4</v>
      </c>
      <c r="AF825">
        <v>1</v>
      </c>
      <c r="AG825">
        <v>0</v>
      </c>
      <c r="AH825">
        <v>187.35</v>
      </c>
      <c r="AK825" t="s">
        <v>10966</v>
      </c>
      <c r="AL825">
        <v>23400</v>
      </c>
      <c r="AR825">
        <v>20.2</v>
      </c>
      <c r="AS825" t="s">
        <v>6814</v>
      </c>
      <c r="AT825" t="s">
        <v>11184</v>
      </c>
      <c r="AU825" t="s">
        <v>11228</v>
      </c>
      <c r="AV825" t="s">
        <v>11231</v>
      </c>
      <c r="AW825" t="s">
        <v>11120</v>
      </c>
    </row>
    <row r="826" spans="1:49">
      <c r="A826" s="1">
        <f>HYPERLINK("https://lsnyc.legalserver.org/matter/dynamic-profile/view/1905194","19-1905194")</f>
        <v>0</v>
      </c>
      <c r="B826" t="s">
        <v>106</v>
      </c>
      <c r="C826" t="s">
        <v>916</v>
      </c>
      <c r="D826" t="s">
        <v>2248</v>
      </c>
      <c r="E826" t="s">
        <v>3865</v>
      </c>
      <c r="F826">
        <v>3</v>
      </c>
      <c r="G826" t="s">
        <v>5637</v>
      </c>
      <c r="H826">
        <v>11233</v>
      </c>
      <c r="I826" t="s">
        <v>5697</v>
      </c>
      <c r="J826" t="s">
        <v>5696</v>
      </c>
      <c r="K826" t="s">
        <v>6011</v>
      </c>
      <c r="L826" t="s">
        <v>6712</v>
      </c>
      <c r="M826" t="s">
        <v>6734</v>
      </c>
      <c r="O826" t="s">
        <v>6745</v>
      </c>
      <c r="P826" t="s">
        <v>5697</v>
      </c>
      <c r="R826" t="s">
        <v>6793</v>
      </c>
      <c r="U826">
        <v>870</v>
      </c>
      <c r="V826" t="s">
        <v>6835</v>
      </c>
      <c r="W826" t="s">
        <v>6841</v>
      </c>
      <c r="Y826" t="s">
        <v>7660</v>
      </c>
      <c r="AA826" t="s">
        <v>9717</v>
      </c>
      <c r="AB826">
        <v>3</v>
      </c>
      <c r="AC826" t="s">
        <v>10930</v>
      </c>
      <c r="AD826" t="s">
        <v>5741</v>
      </c>
      <c r="AE826">
        <v>1</v>
      </c>
      <c r="AF826">
        <v>1</v>
      </c>
      <c r="AG826">
        <v>0</v>
      </c>
      <c r="AH826">
        <v>199.84</v>
      </c>
      <c r="AK826" t="s">
        <v>10966</v>
      </c>
      <c r="AL826">
        <v>24960</v>
      </c>
      <c r="AR826">
        <v>0</v>
      </c>
      <c r="AT826" t="s">
        <v>67</v>
      </c>
      <c r="AV826" t="s">
        <v>11231</v>
      </c>
      <c r="AW826" t="s">
        <v>6808</v>
      </c>
    </row>
    <row r="827" spans="1:49">
      <c r="A827" s="1">
        <f>HYPERLINK("https://lsnyc.legalserver.org/matter/dynamic-profile/view/1906143","19-1906143")</f>
        <v>0</v>
      </c>
      <c r="B827" t="s">
        <v>232</v>
      </c>
      <c r="C827" t="s">
        <v>917</v>
      </c>
      <c r="D827" t="s">
        <v>2249</v>
      </c>
      <c r="E827" t="s">
        <v>3866</v>
      </c>
      <c r="F827" t="s">
        <v>5379</v>
      </c>
      <c r="G827" t="s">
        <v>5673</v>
      </c>
      <c r="H827">
        <v>11420</v>
      </c>
      <c r="I827" t="s">
        <v>5695</v>
      </c>
      <c r="J827" t="s">
        <v>5696</v>
      </c>
      <c r="K827" t="s">
        <v>6012</v>
      </c>
      <c r="L827" t="s">
        <v>6712</v>
      </c>
      <c r="M827" t="s">
        <v>6734</v>
      </c>
      <c r="O827" t="s">
        <v>6757</v>
      </c>
      <c r="P827" t="s">
        <v>5697</v>
      </c>
      <c r="R827" t="s">
        <v>6793</v>
      </c>
      <c r="S827" t="s">
        <v>6801</v>
      </c>
      <c r="T827" t="s">
        <v>6826</v>
      </c>
      <c r="U827">
        <v>0</v>
      </c>
      <c r="V827" t="s">
        <v>6837</v>
      </c>
      <c r="W827" t="s">
        <v>6846</v>
      </c>
      <c r="Y827" t="s">
        <v>7661</v>
      </c>
      <c r="AA827" t="s">
        <v>9718</v>
      </c>
      <c r="AB827">
        <v>2</v>
      </c>
      <c r="AC827" t="s">
        <v>10930</v>
      </c>
      <c r="AE827">
        <v>2</v>
      </c>
      <c r="AF827">
        <v>1</v>
      </c>
      <c r="AG827">
        <v>1</v>
      </c>
      <c r="AH827">
        <v>98.40000000000001</v>
      </c>
      <c r="AK827" t="s">
        <v>10967</v>
      </c>
      <c r="AL827">
        <v>16640</v>
      </c>
      <c r="AR827">
        <v>1</v>
      </c>
      <c r="AS827" t="s">
        <v>6826</v>
      </c>
      <c r="AT827" t="s">
        <v>232</v>
      </c>
      <c r="AV827" t="s">
        <v>11231</v>
      </c>
      <c r="AW827" t="s">
        <v>6826</v>
      </c>
    </row>
    <row r="828" spans="1:49">
      <c r="A828" s="1">
        <f>HYPERLINK("https://lsnyc.legalserver.org/matter/dynamic-profile/view/1901054","19-1901054")</f>
        <v>0</v>
      </c>
      <c r="B828" t="s">
        <v>243</v>
      </c>
      <c r="C828" t="s">
        <v>629</v>
      </c>
      <c r="D828" t="s">
        <v>1747</v>
      </c>
      <c r="E828" t="s">
        <v>3867</v>
      </c>
      <c r="F828" t="s">
        <v>5276</v>
      </c>
      <c r="G828" t="s">
        <v>5662</v>
      </c>
      <c r="H828">
        <v>11368</v>
      </c>
      <c r="I828" t="s">
        <v>5695</v>
      </c>
      <c r="J828" t="s">
        <v>5696</v>
      </c>
      <c r="K828" t="s">
        <v>6013</v>
      </c>
      <c r="L828" t="s">
        <v>6712</v>
      </c>
      <c r="M828" t="s">
        <v>6734</v>
      </c>
      <c r="O828" t="s">
        <v>6750</v>
      </c>
      <c r="P828" t="s">
        <v>5697</v>
      </c>
      <c r="R828" t="s">
        <v>6793</v>
      </c>
      <c r="U828">
        <v>1800</v>
      </c>
      <c r="V828" t="s">
        <v>6837</v>
      </c>
      <c r="W828" t="s">
        <v>6840</v>
      </c>
      <c r="Y828" t="s">
        <v>7662</v>
      </c>
      <c r="AA828" t="s">
        <v>9719</v>
      </c>
      <c r="AB828">
        <v>3</v>
      </c>
      <c r="AC828" t="s">
        <v>10930</v>
      </c>
      <c r="AD828" t="s">
        <v>5741</v>
      </c>
      <c r="AE828">
        <v>15</v>
      </c>
      <c r="AF828">
        <v>2</v>
      </c>
      <c r="AG828">
        <v>2</v>
      </c>
      <c r="AH828">
        <v>179.73</v>
      </c>
      <c r="AK828" t="s">
        <v>10967</v>
      </c>
      <c r="AL828">
        <v>46280</v>
      </c>
      <c r="AR828">
        <v>14</v>
      </c>
      <c r="AS828" t="s">
        <v>11138</v>
      </c>
      <c r="AT828" t="s">
        <v>11184</v>
      </c>
      <c r="AU828" t="s">
        <v>11228</v>
      </c>
      <c r="AV828" t="s">
        <v>11231</v>
      </c>
      <c r="AW828" t="s">
        <v>11120</v>
      </c>
    </row>
    <row r="829" spans="1:49">
      <c r="A829" s="1">
        <f>HYPERLINK("https://lsnyc.legalserver.org/matter/dynamic-profile/view/1904560","19-1904560")</f>
        <v>0</v>
      </c>
      <c r="B829" t="s">
        <v>59</v>
      </c>
      <c r="C829" t="s">
        <v>918</v>
      </c>
      <c r="D829" t="s">
        <v>2250</v>
      </c>
      <c r="E829" t="s">
        <v>3868</v>
      </c>
      <c r="F829" t="s">
        <v>5276</v>
      </c>
      <c r="G829" t="s">
        <v>5644</v>
      </c>
      <c r="H829">
        <v>11433</v>
      </c>
      <c r="I829" t="s">
        <v>5695</v>
      </c>
      <c r="J829" t="s">
        <v>5696</v>
      </c>
      <c r="K829" t="s">
        <v>6014</v>
      </c>
      <c r="L829" t="s">
        <v>6712</v>
      </c>
      <c r="M829" t="s">
        <v>6734</v>
      </c>
      <c r="O829" t="s">
        <v>6752</v>
      </c>
      <c r="P829" t="s">
        <v>5697</v>
      </c>
      <c r="R829" t="s">
        <v>6793</v>
      </c>
      <c r="U829">
        <v>1268</v>
      </c>
      <c r="V829" t="s">
        <v>6837</v>
      </c>
      <c r="W829" t="s">
        <v>6840</v>
      </c>
      <c r="Y829" t="s">
        <v>7663</v>
      </c>
      <c r="Z829" t="s">
        <v>8969</v>
      </c>
      <c r="AA829" t="s">
        <v>9720</v>
      </c>
      <c r="AB829">
        <v>3</v>
      </c>
      <c r="AC829" t="s">
        <v>10930</v>
      </c>
      <c r="AD829" t="s">
        <v>10949</v>
      </c>
      <c r="AE829">
        <v>-1</v>
      </c>
      <c r="AF829">
        <v>1</v>
      </c>
      <c r="AG829">
        <v>1</v>
      </c>
      <c r="AH829">
        <v>23.67</v>
      </c>
      <c r="AK829" t="s">
        <v>10974</v>
      </c>
      <c r="AL829">
        <v>4003.2</v>
      </c>
      <c r="AR829">
        <v>1.8</v>
      </c>
      <c r="AS829" t="s">
        <v>6823</v>
      </c>
      <c r="AT829" t="s">
        <v>11184</v>
      </c>
      <c r="AU829" t="s">
        <v>11228</v>
      </c>
      <c r="AV829" t="s">
        <v>11231</v>
      </c>
      <c r="AW829" t="s">
        <v>6810</v>
      </c>
    </row>
    <row r="830" spans="1:49">
      <c r="A830" s="1">
        <f>HYPERLINK("https://lsnyc.legalserver.org/matter/dynamic-profile/view/1897420","19-1897420")</f>
        <v>0</v>
      </c>
      <c r="B830" t="s">
        <v>71</v>
      </c>
      <c r="C830" t="s">
        <v>379</v>
      </c>
      <c r="D830" t="s">
        <v>2251</v>
      </c>
      <c r="E830" t="s">
        <v>3869</v>
      </c>
      <c r="F830" t="s">
        <v>5380</v>
      </c>
      <c r="G830" t="s">
        <v>5637</v>
      </c>
      <c r="H830">
        <v>11217</v>
      </c>
      <c r="I830" t="s">
        <v>5697</v>
      </c>
      <c r="J830" t="s">
        <v>5697</v>
      </c>
      <c r="K830" t="s">
        <v>6015</v>
      </c>
      <c r="L830" t="s">
        <v>6712</v>
      </c>
      <c r="M830" t="s">
        <v>6734</v>
      </c>
      <c r="O830" t="s">
        <v>6746</v>
      </c>
      <c r="R830" t="s">
        <v>6794</v>
      </c>
      <c r="U830">
        <v>422</v>
      </c>
      <c r="V830" t="s">
        <v>6835</v>
      </c>
      <c r="W830" t="s">
        <v>6845</v>
      </c>
      <c r="Y830" t="s">
        <v>7664</v>
      </c>
      <c r="AB830">
        <v>78</v>
      </c>
      <c r="AE830">
        <v>5</v>
      </c>
      <c r="AF830">
        <v>3</v>
      </c>
      <c r="AG830">
        <v>0</v>
      </c>
      <c r="AH830">
        <v>10.24</v>
      </c>
      <c r="AK830" t="s">
        <v>10966</v>
      </c>
      <c r="AL830">
        <v>2184</v>
      </c>
      <c r="AR830">
        <v>3.5</v>
      </c>
      <c r="AS830" t="s">
        <v>6825</v>
      </c>
      <c r="AT830" t="s">
        <v>11190</v>
      </c>
      <c r="AV830" t="s">
        <v>11231</v>
      </c>
      <c r="AW830" t="s">
        <v>11165</v>
      </c>
    </row>
    <row r="831" spans="1:49">
      <c r="A831" s="1">
        <f>HYPERLINK("https://lsnyc.legalserver.org/matter/dynamic-profile/view/1906184","19-1906184")</f>
        <v>0</v>
      </c>
      <c r="B831" t="s">
        <v>95</v>
      </c>
      <c r="C831" t="s">
        <v>919</v>
      </c>
      <c r="D831" t="s">
        <v>2252</v>
      </c>
      <c r="E831" t="s">
        <v>3870</v>
      </c>
      <c r="F831" t="s">
        <v>5276</v>
      </c>
      <c r="G831" t="s">
        <v>5637</v>
      </c>
      <c r="H831">
        <v>11221</v>
      </c>
      <c r="I831" t="s">
        <v>5695</v>
      </c>
      <c r="J831" t="s">
        <v>5696</v>
      </c>
      <c r="K831" t="s">
        <v>6016</v>
      </c>
      <c r="L831" t="s">
        <v>6712</v>
      </c>
      <c r="M831" t="s">
        <v>6734</v>
      </c>
      <c r="O831" t="s">
        <v>6755</v>
      </c>
      <c r="R831" t="s">
        <v>6793</v>
      </c>
      <c r="U831">
        <v>110</v>
      </c>
      <c r="V831" t="s">
        <v>6835</v>
      </c>
      <c r="W831" t="s">
        <v>6840</v>
      </c>
      <c r="Y831" t="s">
        <v>7665</v>
      </c>
      <c r="AB831">
        <v>3</v>
      </c>
      <c r="AD831" t="s">
        <v>5741</v>
      </c>
      <c r="AE831">
        <v>23</v>
      </c>
      <c r="AF831">
        <v>1</v>
      </c>
      <c r="AG831">
        <v>0</v>
      </c>
      <c r="AH831">
        <v>0</v>
      </c>
      <c r="AK831" t="s">
        <v>10966</v>
      </c>
      <c r="AL831">
        <v>0</v>
      </c>
      <c r="AR831">
        <v>0</v>
      </c>
      <c r="AT831" t="s">
        <v>11178</v>
      </c>
      <c r="AU831" t="s">
        <v>11228</v>
      </c>
      <c r="AV831" t="s">
        <v>11231</v>
      </c>
      <c r="AW831" t="s">
        <v>6821</v>
      </c>
    </row>
    <row r="832" spans="1:49">
      <c r="A832" s="1">
        <f>HYPERLINK("https://lsnyc.legalserver.org/matter/dynamic-profile/view/1896717","19-1896717")</f>
        <v>0</v>
      </c>
      <c r="B832" t="s">
        <v>208</v>
      </c>
      <c r="C832" t="s">
        <v>920</v>
      </c>
      <c r="D832" t="s">
        <v>2253</v>
      </c>
      <c r="E832" t="s">
        <v>3871</v>
      </c>
      <c r="F832" t="s">
        <v>5381</v>
      </c>
      <c r="G832" t="s">
        <v>5637</v>
      </c>
      <c r="H832">
        <v>11220</v>
      </c>
      <c r="I832" t="s">
        <v>5697</v>
      </c>
      <c r="J832" t="s">
        <v>5695</v>
      </c>
      <c r="L832" t="s">
        <v>6712</v>
      </c>
      <c r="M832" t="s">
        <v>6734</v>
      </c>
      <c r="O832" t="s">
        <v>6745</v>
      </c>
      <c r="R832" t="s">
        <v>6793</v>
      </c>
      <c r="U832">
        <v>995</v>
      </c>
      <c r="V832" t="s">
        <v>6835</v>
      </c>
      <c r="Y832" t="s">
        <v>7666</v>
      </c>
      <c r="AB832">
        <v>0</v>
      </c>
      <c r="AC832" t="s">
        <v>10929</v>
      </c>
      <c r="AE832">
        <v>25</v>
      </c>
      <c r="AF832">
        <v>3</v>
      </c>
      <c r="AG832">
        <v>0</v>
      </c>
      <c r="AH832">
        <v>135.96</v>
      </c>
      <c r="AK832" t="s">
        <v>10966</v>
      </c>
      <c r="AL832">
        <v>29000</v>
      </c>
      <c r="AR832">
        <v>6.7</v>
      </c>
      <c r="AS832" t="s">
        <v>6822</v>
      </c>
      <c r="AT832" t="s">
        <v>77</v>
      </c>
      <c r="AV832" t="s">
        <v>11231</v>
      </c>
      <c r="AW832" t="s">
        <v>11122</v>
      </c>
    </row>
    <row r="833" spans="1:49">
      <c r="A833" s="1">
        <f>HYPERLINK("https://lsnyc.legalserver.org/matter/dynamic-profile/view/1904998","19-1904998")</f>
        <v>0</v>
      </c>
      <c r="B833" t="s">
        <v>85</v>
      </c>
      <c r="C833" t="s">
        <v>676</v>
      </c>
      <c r="D833" t="s">
        <v>2169</v>
      </c>
      <c r="E833" t="s">
        <v>3761</v>
      </c>
      <c r="F833" t="s">
        <v>5128</v>
      </c>
      <c r="G833" t="s">
        <v>5637</v>
      </c>
      <c r="H833">
        <v>11230</v>
      </c>
      <c r="I833" t="s">
        <v>5696</v>
      </c>
      <c r="J833" t="s">
        <v>5696</v>
      </c>
      <c r="L833" t="s">
        <v>6712</v>
      </c>
      <c r="M833" t="s">
        <v>6734</v>
      </c>
      <c r="O833" t="s">
        <v>6754</v>
      </c>
      <c r="R833" t="s">
        <v>6796</v>
      </c>
      <c r="U833">
        <v>0</v>
      </c>
      <c r="V833" t="s">
        <v>6835</v>
      </c>
      <c r="Y833" t="s">
        <v>7557</v>
      </c>
      <c r="AB833">
        <v>0</v>
      </c>
      <c r="AC833" t="s">
        <v>10929</v>
      </c>
      <c r="AD833" t="s">
        <v>10944</v>
      </c>
      <c r="AE833">
        <v>0</v>
      </c>
      <c r="AF833">
        <v>1</v>
      </c>
      <c r="AG833">
        <v>0</v>
      </c>
      <c r="AH833">
        <v>82.43000000000001</v>
      </c>
      <c r="AK833" t="s">
        <v>10969</v>
      </c>
      <c r="AL833">
        <v>10296</v>
      </c>
      <c r="AR833">
        <v>1.5</v>
      </c>
      <c r="AS833" t="s">
        <v>6819</v>
      </c>
      <c r="AT833" t="s">
        <v>85</v>
      </c>
      <c r="AV833" t="s">
        <v>11231</v>
      </c>
      <c r="AW833" t="s">
        <v>6815</v>
      </c>
    </row>
    <row r="834" spans="1:49">
      <c r="A834" s="1">
        <f>HYPERLINK("https://lsnyc.legalserver.org/matter/dynamic-profile/view/1901574","19-1901574")</f>
        <v>0</v>
      </c>
      <c r="B834" t="s">
        <v>51</v>
      </c>
      <c r="C834" t="s">
        <v>921</v>
      </c>
      <c r="D834" t="s">
        <v>1753</v>
      </c>
      <c r="E834" t="s">
        <v>3872</v>
      </c>
      <c r="F834">
        <v>1</v>
      </c>
      <c r="G834" t="s">
        <v>5636</v>
      </c>
      <c r="H834">
        <v>10302</v>
      </c>
      <c r="I834" t="s">
        <v>5695</v>
      </c>
      <c r="J834" t="s">
        <v>5696</v>
      </c>
      <c r="L834" t="s">
        <v>6712</v>
      </c>
      <c r="M834" t="s">
        <v>6734</v>
      </c>
      <c r="O834" t="s">
        <v>6757</v>
      </c>
      <c r="R834" t="s">
        <v>6793</v>
      </c>
      <c r="U834">
        <v>1300</v>
      </c>
      <c r="V834" t="s">
        <v>6834</v>
      </c>
      <c r="W834" t="s">
        <v>6843</v>
      </c>
      <c r="Y834" t="s">
        <v>7667</v>
      </c>
      <c r="AB834">
        <v>0</v>
      </c>
      <c r="AE834">
        <v>6</v>
      </c>
      <c r="AF834">
        <v>4</v>
      </c>
      <c r="AG834">
        <v>2</v>
      </c>
      <c r="AH834">
        <v>38.16</v>
      </c>
      <c r="AJ834" t="s">
        <v>10964</v>
      </c>
      <c r="AK834" t="s">
        <v>10967</v>
      </c>
      <c r="AL834">
        <v>13200</v>
      </c>
      <c r="AR834">
        <v>1</v>
      </c>
      <c r="AS834" t="s">
        <v>11124</v>
      </c>
      <c r="AT834" t="s">
        <v>51</v>
      </c>
      <c r="AV834" t="s">
        <v>11231</v>
      </c>
      <c r="AW834" t="s">
        <v>11150</v>
      </c>
    </row>
    <row r="835" spans="1:49">
      <c r="A835" s="1">
        <f>HYPERLINK("https://lsnyc.legalserver.org/matter/dynamic-profile/view/1903552","19-1903552")</f>
        <v>0</v>
      </c>
      <c r="B835" t="s">
        <v>200</v>
      </c>
      <c r="C835" t="s">
        <v>420</v>
      </c>
      <c r="D835" t="s">
        <v>1730</v>
      </c>
      <c r="E835" t="s">
        <v>3873</v>
      </c>
      <c r="F835" t="s">
        <v>5118</v>
      </c>
      <c r="G835" t="s">
        <v>5662</v>
      </c>
      <c r="H835">
        <v>11368</v>
      </c>
      <c r="I835" t="s">
        <v>5695</v>
      </c>
      <c r="J835" t="s">
        <v>5696</v>
      </c>
      <c r="K835" t="s">
        <v>6017</v>
      </c>
      <c r="L835" t="s">
        <v>6712</v>
      </c>
      <c r="M835" t="s">
        <v>6734</v>
      </c>
      <c r="O835" t="s">
        <v>6750</v>
      </c>
      <c r="P835" t="s">
        <v>5695</v>
      </c>
      <c r="R835" t="s">
        <v>6793</v>
      </c>
      <c r="U835">
        <v>850</v>
      </c>
      <c r="V835" t="s">
        <v>6837</v>
      </c>
      <c r="W835" t="s">
        <v>6840</v>
      </c>
      <c r="Y835" t="s">
        <v>7668</v>
      </c>
      <c r="AB835">
        <v>3</v>
      </c>
      <c r="AD835" t="s">
        <v>5741</v>
      </c>
      <c r="AE835">
        <v>9</v>
      </c>
      <c r="AF835">
        <v>1</v>
      </c>
      <c r="AG835">
        <v>0</v>
      </c>
      <c r="AH835">
        <v>120.74</v>
      </c>
      <c r="AK835" t="s">
        <v>10967</v>
      </c>
      <c r="AL835">
        <v>15080</v>
      </c>
      <c r="AR835">
        <v>1.5</v>
      </c>
      <c r="AS835" t="s">
        <v>11147</v>
      </c>
      <c r="AT835" t="s">
        <v>11184</v>
      </c>
      <c r="AU835" t="s">
        <v>11228</v>
      </c>
      <c r="AV835" t="s">
        <v>11231</v>
      </c>
      <c r="AW835" t="s">
        <v>11147</v>
      </c>
    </row>
    <row r="836" spans="1:49">
      <c r="A836" s="1">
        <f>HYPERLINK("https://lsnyc.legalserver.org/matter/dynamic-profile/view/1904379","19-1904379")</f>
        <v>0</v>
      </c>
      <c r="B836" t="s">
        <v>253</v>
      </c>
      <c r="C836" t="s">
        <v>706</v>
      </c>
      <c r="D836" t="s">
        <v>2254</v>
      </c>
      <c r="E836" t="s">
        <v>3874</v>
      </c>
      <c r="F836" t="s">
        <v>5137</v>
      </c>
      <c r="G836" t="s">
        <v>5638</v>
      </c>
      <c r="H836">
        <v>10024</v>
      </c>
      <c r="I836" t="s">
        <v>5695</v>
      </c>
      <c r="J836" t="s">
        <v>5696</v>
      </c>
      <c r="L836" t="s">
        <v>6713</v>
      </c>
      <c r="M836" t="s">
        <v>6734</v>
      </c>
      <c r="O836" t="s">
        <v>6745</v>
      </c>
      <c r="P836" t="s">
        <v>5695</v>
      </c>
      <c r="R836" t="s">
        <v>6793</v>
      </c>
      <c r="S836" t="s">
        <v>6801</v>
      </c>
      <c r="T836" t="s">
        <v>6813</v>
      </c>
      <c r="U836">
        <v>2300</v>
      </c>
      <c r="V836" t="s">
        <v>6836</v>
      </c>
      <c r="W836" t="s">
        <v>6845</v>
      </c>
      <c r="Y836" t="s">
        <v>7669</v>
      </c>
      <c r="AA836" t="s">
        <v>9721</v>
      </c>
      <c r="AB836">
        <v>12</v>
      </c>
      <c r="AC836" t="s">
        <v>10941</v>
      </c>
      <c r="AD836" t="s">
        <v>5741</v>
      </c>
      <c r="AE836">
        <v>7</v>
      </c>
      <c r="AF836">
        <v>1</v>
      </c>
      <c r="AG836">
        <v>0</v>
      </c>
      <c r="AH836">
        <v>468.37</v>
      </c>
      <c r="AK836" t="s">
        <v>10966</v>
      </c>
      <c r="AL836">
        <v>58500</v>
      </c>
      <c r="AR836">
        <v>0.1</v>
      </c>
      <c r="AS836" t="s">
        <v>6822</v>
      </c>
      <c r="AT836" t="s">
        <v>11219</v>
      </c>
      <c r="AU836" t="s">
        <v>11228</v>
      </c>
      <c r="AV836" t="s">
        <v>11231</v>
      </c>
      <c r="AW836" t="s">
        <v>6815</v>
      </c>
    </row>
    <row r="837" spans="1:49">
      <c r="A837" s="1">
        <f>HYPERLINK("https://lsnyc.legalserver.org/matter/dynamic-profile/view/1895469","19-1895469")</f>
        <v>0</v>
      </c>
      <c r="B837" t="s">
        <v>190</v>
      </c>
      <c r="C837" t="s">
        <v>785</v>
      </c>
      <c r="D837" t="s">
        <v>2041</v>
      </c>
      <c r="E837" t="s">
        <v>3631</v>
      </c>
      <c r="F837" t="s">
        <v>5382</v>
      </c>
      <c r="G837" t="s">
        <v>5635</v>
      </c>
      <c r="H837">
        <v>10453</v>
      </c>
      <c r="I837" t="s">
        <v>5695</v>
      </c>
      <c r="J837" t="s">
        <v>5695</v>
      </c>
      <c r="K837" t="s">
        <v>6018</v>
      </c>
      <c r="L837" t="s">
        <v>6713</v>
      </c>
      <c r="M837" t="s">
        <v>6734</v>
      </c>
      <c r="O837" t="s">
        <v>6747</v>
      </c>
      <c r="R837" t="s">
        <v>6793</v>
      </c>
      <c r="S837" t="s">
        <v>6801</v>
      </c>
      <c r="U837">
        <v>1174</v>
      </c>
      <c r="V837" t="s">
        <v>6833</v>
      </c>
      <c r="W837" t="s">
        <v>6839</v>
      </c>
      <c r="Y837" t="s">
        <v>7566</v>
      </c>
      <c r="AA837" t="s">
        <v>9722</v>
      </c>
      <c r="AB837">
        <v>43</v>
      </c>
      <c r="AC837" t="s">
        <v>8953</v>
      </c>
      <c r="AE837">
        <v>0</v>
      </c>
      <c r="AF837">
        <v>1</v>
      </c>
      <c r="AG837">
        <v>1</v>
      </c>
      <c r="AH837">
        <v>105.31</v>
      </c>
      <c r="AK837" t="s">
        <v>10966</v>
      </c>
      <c r="AL837">
        <v>17808</v>
      </c>
      <c r="AR837">
        <v>2</v>
      </c>
      <c r="AS837" t="s">
        <v>11119</v>
      </c>
      <c r="AT837" t="s">
        <v>11216</v>
      </c>
      <c r="AV837" t="s">
        <v>11231</v>
      </c>
      <c r="AW837" t="s">
        <v>10960</v>
      </c>
    </row>
    <row r="838" spans="1:49">
      <c r="A838" s="1">
        <f>HYPERLINK("https://lsnyc.legalserver.org/matter/dynamic-profile/view/1904010","19-1904010")</f>
        <v>0</v>
      </c>
      <c r="B838" t="s">
        <v>253</v>
      </c>
      <c r="C838" t="s">
        <v>922</v>
      </c>
      <c r="D838" t="s">
        <v>2255</v>
      </c>
      <c r="E838" t="s">
        <v>3874</v>
      </c>
      <c r="F838" t="s">
        <v>5248</v>
      </c>
      <c r="G838" t="s">
        <v>5638</v>
      </c>
      <c r="H838">
        <v>10024</v>
      </c>
      <c r="I838" t="s">
        <v>5695</v>
      </c>
      <c r="J838" t="s">
        <v>5696</v>
      </c>
      <c r="L838" t="s">
        <v>6713</v>
      </c>
      <c r="M838" t="s">
        <v>6734</v>
      </c>
      <c r="O838" t="s">
        <v>6745</v>
      </c>
      <c r="P838" t="s">
        <v>5695</v>
      </c>
      <c r="R838" t="s">
        <v>6793</v>
      </c>
      <c r="S838" t="s">
        <v>6801</v>
      </c>
      <c r="T838" t="s">
        <v>6825</v>
      </c>
      <c r="U838">
        <v>495</v>
      </c>
      <c r="V838" t="s">
        <v>6836</v>
      </c>
      <c r="W838" t="s">
        <v>6838</v>
      </c>
      <c r="Y838" t="s">
        <v>7670</v>
      </c>
      <c r="AA838" t="s">
        <v>9723</v>
      </c>
      <c r="AB838">
        <v>24</v>
      </c>
      <c r="AC838" t="s">
        <v>10936</v>
      </c>
      <c r="AD838" t="s">
        <v>5741</v>
      </c>
      <c r="AE838">
        <v>31</v>
      </c>
      <c r="AF838">
        <v>4</v>
      </c>
      <c r="AG838">
        <v>0</v>
      </c>
      <c r="AH838">
        <v>166.99</v>
      </c>
      <c r="AK838" t="s">
        <v>10966</v>
      </c>
      <c r="AL838">
        <v>43000</v>
      </c>
      <c r="AR838">
        <v>1</v>
      </c>
      <c r="AS838" t="s">
        <v>6813</v>
      </c>
      <c r="AT838" t="s">
        <v>11219</v>
      </c>
      <c r="AU838" t="s">
        <v>11228</v>
      </c>
      <c r="AV838" t="s">
        <v>11231</v>
      </c>
      <c r="AW838" t="s">
        <v>6825</v>
      </c>
    </row>
    <row r="839" spans="1:49">
      <c r="A839" s="1">
        <f>HYPERLINK("https://lsnyc.legalserver.org/matter/dynamic-profile/view/1904468","19-1904468")</f>
        <v>0</v>
      </c>
      <c r="B839" t="s">
        <v>254</v>
      </c>
      <c r="C839" t="s">
        <v>923</v>
      </c>
      <c r="D839" t="s">
        <v>1757</v>
      </c>
      <c r="E839" t="s">
        <v>3875</v>
      </c>
      <c r="F839" t="s">
        <v>5137</v>
      </c>
      <c r="G839" t="s">
        <v>5635</v>
      </c>
      <c r="H839">
        <v>10470</v>
      </c>
      <c r="I839" t="s">
        <v>5695</v>
      </c>
      <c r="J839" t="s">
        <v>5696</v>
      </c>
      <c r="L839" t="s">
        <v>6713</v>
      </c>
      <c r="M839" t="s">
        <v>6734</v>
      </c>
      <c r="O839" t="s">
        <v>6745</v>
      </c>
      <c r="P839" t="s">
        <v>5695</v>
      </c>
      <c r="R839" t="s">
        <v>6793</v>
      </c>
      <c r="U839">
        <v>1532.94</v>
      </c>
      <c r="V839" t="s">
        <v>6833</v>
      </c>
      <c r="W839" t="s">
        <v>6838</v>
      </c>
      <c r="Y839" t="s">
        <v>7671</v>
      </c>
      <c r="AA839" t="s">
        <v>9724</v>
      </c>
      <c r="AB839">
        <v>63</v>
      </c>
      <c r="AD839" t="s">
        <v>10949</v>
      </c>
      <c r="AE839">
        <v>4</v>
      </c>
      <c r="AF839">
        <v>1</v>
      </c>
      <c r="AG839">
        <v>3</v>
      </c>
      <c r="AH839">
        <v>21.06</v>
      </c>
      <c r="AK839" t="s">
        <v>10966</v>
      </c>
      <c r="AL839">
        <v>5424</v>
      </c>
      <c r="AR839">
        <v>0</v>
      </c>
      <c r="AT839" t="s">
        <v>219</v>
      </c>
      <c r="AU839" t="s">
        <v>11228</v>
      </c>
      <c r="AV839" t="s">
        <v>11231</v>
      </c>
      <c r="AW839" t="s">
        <v>11136</v>
      </c>
    </row>
    <row r="840" spans="1:49">
      <c r="A840" s="1">
        <f>HYPERLINK("https://lsnyc.legalserver.org/matter/dynamic-profile/view/1905028","19-1905028")</f>
        <v>0</v>
      </c>
      <c r="B840" t="s">
        <v>253</v>
      </c>
      <c r="C840" t="s">
        <v>780</v>
      </c>
      <c r="D840" t="s">
        <v>2256</v>
      </c>
      <c r="E840" t="s">
        <v>3874</v>
      </c>
      <c r="F840" t="s">
        <v>5180</v>
      </c>
      <c r="G840" t="s">
        <v>5638</v>
      </c>
      <c r="H840">
        <v>10024</v>
      </c>
      <c r="I840" t="s">
        <v>5695</v>
      </c>
      <c r="J840" t="s">
        <v>5696</v>
      </c>
      <c r="L840" t="s">
        <v>6713</v>
      </c>
      <c r="M840" t="s">
        <v>6734</v>
      </c>
      <c r="O840" t="s">
        <v>6745</v>
      </c>
      <c r="P840" t="s">
        <v>5695</v>
      </c>
      <c r="R840" t="s">
        <v>6793</v>
      </c>
      <c r="S840" t="s">
        <v>6801</v>
      </c>
      <c r="T840" t="s">
        <v>6811</v>
      </c>
      <c r="U840">
        <v>2085</v>
      </c>
      <c r="V840" t="s">
        <v>6836</v>
      </c>
      <c r="W840" t="s">
        <v>6845</v>
      </c>
      <c r="Y840" t="s">
        <v>6983</v>
      </c>
      <c r="AA840" t="s">
        <v>9725</v>
      </c>
      <c r="AB840">
        <v>21</v>
      </c>
      <c r="AC840" t="s">
        <v>10929</v>
      </c>
      <c r="AD840" t="s">
        <v>5741</v>
      </c>
      <c r="AE840">
        <v>2</v>
      </c>
      <c r="AF840">
        <v>1</v>
      </c>
      <c r="AG840">
        <v>0</v>
      </c>
      <c r="AH840">
        <v>560.45</v>
      </c>
      <c r="AK840" t="s">
        <v>10966</v>
      </c>
      <c r="AL840">
        <v>70000</v>
      </c>
      <c r="AR840">
        <v>0.1</v>
      </c>
      <c r="AS840" t="s">
        <v>6822</v>
      </c>
      <c r="AT840" t="s">
        <v>11219</v>
      </c>
      <c r="AU840" t="s">
        <v>11228</v>
      </c>
      <c r="AV840" t="s">
        <v>11231</v>
      </c>
      <c r="AW840" t="s">
        <v>6814</v>
      </c>
    </row>
    <row r="841" spans="1:49">
      <c r="A841" s="1">
        <f>HYPERLINK("https://lsnyc.legalserver.org/matter/dynamic-profile/view/1904482","19-1904482")</f>
        <v>0</v>
      </c>
      <c r="B841" t="s">
        <v>157</v>
      </c>
      <c r="C841" t="s">
        <v>407</v>
      </c>
      <c r="D841" t="s">
        <v>2081</v>
      </c>
      <c r="E841" t="s">
        <v>3876</v>
      </c>
      <c r="F841" t="s">
        <v>5187</v>
      </c>
      <c r="G841" t="s">
        <v>5638</v>
      </c>
      <c r="H841">
        <v>10002</v>
      </c>
      <c r="I841" t="s">
        <v>5696</v>
      </c>
      <c r="J841" t="s">
        <v>5696</v>
      </c>
      <c r="L841" t="s">
        <v>6713</v>
      </c>
      <c r="M841" t="s">
        <v>6734</v>
      </c>
      <c r="O841" t="s">
        <v>6759</v>
      </c>
      <c r="P841" t="s">
        <v>5697</v>
      </c>
      <c r="R841" t="s">
        <v>6794</v>
      </c>
      <c r="U841">
        <v>197.3</v>
      </c>
      <c r="V841" t="s">
        <v>6836</v>
      </c>
      <c r="W841" t="s">
        <v>6838</v>
      </c>
      <c r="Y841" t="s">
        <v>7672</v>
      </c>
      <c r="AA841" t="s">
        <v>9726</v>
      </c>
      <c r="AB841">
        <v>0</v>
      </c>
      <c r="AE841">
        <v>51</v>
      </c>
      <c r="AF841">
        <v>1</v>
      </c>
      <c r="AG841">
        <v>0</v>
      </c>
      <c r="AH841">
        <v>76</v>
      </c>
      <c r="AK841" t="s">
        <v>10967</v>
      </c>
      <c r="AL841">
        <v>9492</v>
      </c>
      <c r="AR841">
        <v>1.25</v>
      </c>
      <c r="AS841" t="s">
        <v>6828</v>
      </c>
      <c r="AT841" t="s">
        <v>120</v>
      </c>
      <c r="AV841" t="s">
        <v>11231</v>
      </c>
      <c r="AW841" t="s">
        <v>6810</v>
      </c>
    </row>
    <row r="842" spans="1:49">
      <c r="A842" s="1">
        <f>HYPERLINK("https://lsnyc.legalserver.org/matter/dynamic-profile/view/1904190","19-1904190")</f>
        <v>0</v>
      </c>
      <c r="B842" t="s">
        <v>234</v>
      </c>
      <c r="C842" t="s">
        <v>924</v>
      </c>
      <c r="D842" t="s">
        <v>2010</v>
      </c>
      <c r="E842" t="s">
        <v>3877</v>
      </c>
      <c r="F842">
        <v>309</v>
      </c>
      <c r="G842" t="s">
        <v>5638</v>
      </c>
      <c r="H842">
        <v>10029</v>
      </c>
      <c r="I842" t="s">
        <v>5695</v>
      </c>
      <c r="J842" t="s">
        <v>5696</v>
      </c>
      <c r="L842" t="s">
        <v>6713</v>
      </c>
      <c r="M842" t="s">
        <v>6734</v>
      </c>
      <c r="O842" t="s">
        <v>6745</v>
      </c>
      <c r="P842" t="s">
        <v>5695</v>
      </c>
      <c r="R842" t="s">
        <v>6793</v>
      </c>
      <c r="S842" t="s">
        <v>6801</v>
      </c>
      <c r="T842" t="s">
        <v>6817</v>
      </c>
      <c r="U842">
        <v>274</v>
      </c>
      <c r="V842" t="s">
        <v>6836</v>
      </c>
      <c r="W842" t="s">
        <v>6850</v>
      </c>
      <c r="Y842" t="s">
        <v>7673</v>
      </c>
      <c r="AA842" t="s">
        <v>9727</v>
      </c>
      <c r="AB842">
        <v>108</v>
      </c>
      <c r="AC842" t="s">
        <v>10934</v>
      </c>
      <c r="AD842" t="s">
        <v>5741</v>
      </c>
      <c r="AE842">
        <v>29</v>
      </c>
      <c r="AF842">
        <v>2</v>
      </c>
      <c r="AG842">
        <v>0</v>
      </c>
      <c r="AH842">
        <v>79.91</v>
      </c>
      <c r="AK842" t="s">
        <v>10966</v>
      </c>
      <c r="AL842">
        <v>13512</v>
      </c>
      <c r="AR842">
        <v>0</v>
      </c>
      <c r="AT842" t="s">
        <v>11219</v>
      </c>
      <c r="AU842" t="s">
        <v>11228</v>
      </c>
      <c r="AV842" t="s">
        <v>11231</v>
      </c>
      <c r="AW842" t="s">
        <v>6818</v>
      </c>
    </row>
    <row r="843" spans="1:49">
      <c r="A843" s="1">
        <f>HYPERLINK("https://lsnyc.legalserver.org/matter/dynamic-profile/view/1904373","19-1904373")</f>
        <v>0</v>
      </c>
      <c r="B843" t="s">
        <v>212</v>
      </c>
      <c r="C843" t="s">
        <v>925</v>
      </c>
      <c r="D843" t="s">
        <v>2257</v>
      </c>
      <c r="E843" t="s">
        <v>3878</v>
      </c>
      <c r="F843">
        <v>211</v>
      </c>
      <c r="G843" t="s">
        <v>5638</v>
      </c>
      <c r="H843">
        <v>10031</v>
      </c>
      <c r="I843" t="s">
        <v>5695</v>
      </c>
      <c r="J843" t="s">
        <v>5696</v>
      </c>
      <c r="K843" t="s">
        <v>6019</v>
      </c>
      <c r="L843" t="s">
        <v>6724</v>
      </c>
      <c r="M843" t="s">
        <v>6734</v>
      </c>
      <c r="O843" t="s">
        <v>6749</v>
      </c>
      <c r="P843" t="s">
        <v>5697</v>
      </c>
      <c r="R843" t="s">
        <v>6793</v>
      </c>
      <c r="T843" t="s">
        <v>6815</v>
      </c>
      <c r="U843">
        <v>150</v>
      </c>
      <c r="V843" t="s">
        <v>6836</v>
      </c>
      <c r="W843" t="s">
        <v>6840</v>
      </c>
      <c r="Y843" t="s">
        <v>7674</v>
      </c>
      <c r="Z843" t="s">
        <v>8970</v>
      </c>
      <c r="AA843" t="s">
        <v>9728</v>
      </c>
      <c r="AB843">
        <v>0</v>
      </c>
      <c r="AC843" t="s">
        <v>8953</v>
      </c>
      <c r="AD843" t="s">
        <v>6841</v>
      </c>
      <c r="AE843">
        <v>-1</v>
      </c>
      <c r="AF843">
        <v>1</v>
      </c>
      <c r="AG843">
        <v>0</v>
      </c>
      <c r="AH843">
        <v>24.02</v>
      </c>
      <c r="AK843" t="s">
        <v>10966</v>
      </c>
      <c r="AL843">
        <v>3000</v>
      </c>
      <c r="AR843">
        <v>0</v>
      </c>
      <c r="AT843" t="s">
        <v>11218</v>
      </c>
      <c r="AU843" t="s">
        <v>11229</v>
      </c>
      <c r="AV843" t="s">
        <v>11231</v>
      </c>
      <c r="AW843" t="s">
        <v>6815</v>
      </c>
    </row>
    <row r="844" spans="1:49">
      <c r="A844" s="1">
        <f>HYPERLINK("https://lsnyc.legalserver.org/matter/dynamic-profile/view/1906126","19-1906126")</f>
        <v>0</v>
      </c>
      <c r="B844" t="s">
        <v>91</v>
      </c>
      <c r="C844" t="s">
        <v>307</v>
      </c>
      <c r="D844" t="s">
        <v>2258</v>
      </c>
      <c r="E844" t="s">
        <v>3879</v>
      </c>
      <c r="F844">
        <v>4</v>
      </c>
      <c r="G844" t="s">
        <v>5637</v>
      </c>
      <c r="H844">
        <v>11233</v>
      </c>
      <c r="I844" t="s">
        <v>5696</v>
      </c>
      <c r="J844" t="s">
        <v>5696</v>
      </c>
      <c r="K844" t="s">
        <v>5740</v>
      </c>
      <c r="L844" t="s">
        <v>5740</v>
      </c>
      <c r="M844" t="s">
        <v>6734</v>
      </c>
      <c r="O844" t="s">
        <v>6745</v>
      </c>
      <c r="P844" t="s">
        <v>5697</v>
      </c>
      <c r="R844" t="s">
        <v>6793</v>
      </c>
      <c r="U844">
        <v>2500</v>
      </c>
      <c r="V844" t="s">
        <v>6835</v>
      </c>
      <c r="Y844" t="s">
        <v>7675</v>
      </c>
      <c r="AA844" t="s">
        <v>9729</v>
      </c>
      <c r="AB844">
        <v>8</v>
      </c>
      <c r="AE844">
        <v>1</v>
      </c>
      <c r="AF844">
        <v>1</v>
      </c>
      <c r="AG844">
        <v>0</v>
      </c>
      <c r="AH844">
        <v>0</v>
      </c>
      <c r="AK844" t="s">
        <v>10966</v>
      </c>
      <c r="AL844">
        <v>0</v>
      </c>
      <c r="AR844">
        <v>2</v>
      </c>
      <c r="AS844" t="s">
        <v>6821</v>
      </c>
      <c r="AT844" t="s">
        <v>11192</v>
      </c>
      <c r="AV844" t="s">
        <v>11231</v>
      </c>
      <c r="AW844" t="s">
        <v>6820</v>
      </c>
    </row>
    <row r="845" spans="1:49">
      <c r="A845" s="1">
        <f>HYPERLINK("https://lsnyc.legalserver.org/matter/dynamic-profile/view/1902809","19-1902809")</f>
        <v>0</v>
      </c>
      <c r="B845" t="s">
        <v>136</v>
      </c>
      <c r="C845" t="s">
        <v>926</v>
      </c>
      <c r="D845" t="s">
        <v>1739</v>
      </c>
      <c r="E845" t="s">
        <v>3880</v>
      </c>
      <c r="G845" t="s">
        <v>5637</v>
      </c>
      <c r="H845">
        <v>11212</v>
      </c>
      <c r="I845" t="s">
        <v>5696</v>
      </c>
      <c r="J845" t="s">
        <v>5696</v>
      </c>
      <c r="L845" t="s">
        <v>5740</v>
      </c>
      <c r="M845" t="s">
        <v>6734</v>
      </c>
      <c r="O845" t="s">
        <v>6771</v>
      </c>
      <c r="P845" t="s">
        <v>5697</v>
      </c>
      <c r="R845" t="s">
        <v>6793</v>
      </c>
      <c r="U845">
        <v>1240</v>
      </c>
      <c r="V845" t="s">
        <v>6835</v>
      </c>
      <c r="W845" t="s">
        <v>6840</v>
      </c>
      <c r="Y845" t="s">
        <v>7676</v>
      </c>
      <c r="AA845" t="s">
        <v>9730</v>
      </c>
      <c r="AB845">
        <v>8</v>
      </c>
      <c r="AE845">
        <v>8</v>
      </c>
      <c r="AF845">
        <v>1</v>
      </c>
      <c r="AG845">
        <v>0</v>
      </c>
      <c r="AH845">
        <v>164.04</v>
      </c>
      <c r="AL845">
        <v>20488</v>
      </c>
      <c r="AR845">
        <v>0.25</v>
      </c>
      <c r="AS845" t="s">
        <v>6813</v>
      </c>
      <c r="AT845" t="s">
        <v>141</v>
      </c>
      <c r="AV845" t="s">
        <v>11231</v>
      </c>
      <c r="AW845" t="s">
        <v>11139</v>
      </c>
    </row>
    <row r="846" spans="1:49">
      <c r="A846" s="1">
        <f>HYPERLINK("https://lsnyc.legalserver.org/matter/dynamic-profile/view/1905914","19-1905914")</f>
        <v>0</v>
      </c>
      <c r="B846" t="s">
        <v>85</v>
      </c>
      <c r="C846" t="s">
        <v>453</v>
      </c>
      <c r="D846" t="s">
        <v>2259</v>
      </c>
      <c r="E846" t="s">
        <v>3881</v>
      </c>
      <c r="F846" t="s">
        <v>5100</v>
      </c>
      <c r="G846" t="s">
        <v>5637</v>
      </c>
      <c r="H846">
        <v>11226</v>
      </c>
      <c r="I846" t="s">
        <v>5696</v>
      </c>
      <c r="J846" t="s">
        <v>5696</v>
      </c>
      <c r="L846" t="s">
        <v>5740</v>
      </c>
      <c r="M846" t="s">
        <v>6734</v>
      </c>
      <c r="O846" t="s">
        <v>6754</v>
      </c>
      <c r="R846" t="s">
        <v>6793</v>
      </c>
      <c r="U846">
        <v>0</v>
      </c>
      <c r="V846" t="s">
        <v>6835</v>
      </c>
      <c r="Y846" t="s">
        <v>7677</v>
      </c>
      <c r="AA846" t="s">
        <v>9731</v>
      </c>
      <c r="AB846">
        <v>0</v>
      </c>
      <c r="AC846" t="s">
        <v>10929</v>
      </c>
      <c r="AD846" t="s">
        <v>10945</v>
      </c>
      <c r="AE846">
        <v>0</v>
      </c>
      <c r="AF846">
        <v>1</v>
      </c>
      <c r="AG846">
        <v>0</v>
      </c>
      <c r="AH846">
        <v>62.45</v>
      </c>
      <c r="AK846" t="s">
        <v>10967</v>
      </c>
      <c r="AL846">
        <v>7800</v>
      </c>
      <c r="AR846">
        <v>1.25</v>
      </c>
      <c r="AS846" t="s">
        <v>6823</v>
      </c>
      <c r="AT846" t="s">
        <v>85</v>
      </c>
      <c r="AV846" t="s">
        <v>11231</v>
      </c>
      <c r="AW846" t="s">
        <v>6823</v>
      </c>
    </row>
    <row r="847" spans="1:49">
      <c r="A847" s="1">
        <f>HYPERLINK("https://lsnyc.legalserver.org/matter/dynamic-profile/view/1901582","19-1901582")</f>
        <v>0</v>
      </c>
      <c r="B847" t="s">
        <v>72</v>
      </c>
      <c r="C847" t="s">
        <v>445</v>
      </c>
      <c r="D847" t="s">
        <v>2260</v>
      </c>
      <c r="E847" t="s">
        <v>3882</v>
      </c>
      <c r="F847">
        <v>1</v>
      </c>
      <c r="G847" t="s">
        <v>5637</v>
      </c>
      <c r="H847">
        <v>11207</v>
      </c>
      <c r="I847" t="s">
        <v>5696</v>
      </c>
      <c r="J847" t="s">
        <v>5696</v>
      </c>
      <c r="L847" t="s">
        <v>5740</v>
      </c>
      <c r="M847" t="s">
        <v>6734</v>
      </c>
      <c r="O847" t="s">
        <v>6771</v>
      </c>
      <c r="P847" t="s">
        <v>5697</v>
      </c>
      <c r="R847" t="s">
        <v>6793</v>
      </c>
      <c r="U847">
        <v>850</v>
      </c>
      <c r="V847" t="s">
        <v>6835</v>
      </c>
      <c r="W847" t="s">
        <v>6843</v>
      </c>
      <c r="Y847" t="s">
        <v>6883</v>
      </c>
      <c r="AA847" t="s">
        <v>9732</v>
      </c>
      <c r="AB847">
        <v>6</v>
      </c>
      <c r="AC847" t="s">
        <v>10930</v>
      </c>
      <c r="AE847">
        <v>3</v>
      </c>
      <c r="AF847">
        <v>2</v>
      </c>
      <c r="AG847">
        <v>1</v>
      </c>
      <c r="AH847">
        <v>253.16</v>
      </c>
      <c r="AK847" t="s">
        <v>10966</v>
      </c>
      <c r="AL847">
        <v>54000</v>
      </c>
      <c r="AR847">
        <v>6.5</v>
      </c>
      <c r="AS847" t="s">
        <v>6810</v>
      </c>
      <c r="AT847" t="s">
        <v>141</v>
      </c>
      <c r="AV847" t="s">
        <v>11231</v>
      </c>
      <c r="AW847" t="s">
        <v>11120</v>
      </c>
    </row>
    <row r="848" spans="1:49">
      <c r="A848" s="1">
        <f>HYPERLINK("https://lsnyc.legalserver.org/matter/dynamic-profile/view/1904939","19-1904939")</f>
        <v>0</v>
      </c>
      <c r="B848" t="s">
        <v>137</v>
      </c>
      <c r="C848" t="s">
        <v>927</v>
      </c>
      <c r="D848" t="s">
        <v>2261</v>
      </c>
      <c r="E848" t="s">
        <v>3563</v>
      </c>
      <c r="F848">
        <v>909</v>
      </c>
      <c r="G848" t="s">
        <v>5635</v>
      </c>
      <c r="H848">
        <v>10456</v>
      </c>
      <c r="I848" t="s">
        <v>5696</v>
      </c>
      <c r="J848" t="s">
        <v>5696</v>
      </c>
      <c r="L848" t="s">
        <v>5740</v>
      </c>
      <c r="M848" t="s">
        <v>6734</v>
      </c>
      <c r="O848" t="s">
        <v>6786</v>
      </c>
      <c r="R848" t="s">
        <v>6793</v>
      </c>
      <c r="U848">
        <v>1300</v>
      </c>
      <c r="V848" t="s">
        <v>6833</v>
      </c>
      <c r="Y848" t="s">
        <v>7678</v>
      </c>
      <c r="AA848" t="s">
        <v>9733</v>
      </c>
      <c r="AB848">
        <v>0</v>
      </c>
      <c r="AC848" t="s">
        <v>8953</v>
      </c>
      <c r="AD848" t="s">
        <v>10944</v>
      </c>
      <c r="AE848">
        <v>2</v>
      </c>
      <c r="AF848">
        <v>1</v>
      </c>
      <c r="AG848">
        <v>0</v>
      </c>
      <c r="AH848">
        <v>74.08</v>
      </c>
      <c r="AK848" t="s">
        <v>10966</v>
      </c>
      <c r="AL848">
        <v>9252</v>
      </c>
      <c r="AR848">
        <v>1.7</v>
      </c>
      <c r="AS848" t="s">
        <v>6812</v>
      </c>
      <c r="AT848" t="s">
        <v>11186</v>
      </c>
      <c r="AV848" t="s">
        <v>11231</v>
      </c>
      <c r="AW848" t="s">
        <v>6812</v>
      </c>
    </row>
    <row r="849" spans="1:49">
      <c r="A849" s="1">
        <f>HYPERLINK("https://lsnyc.legalserver.org/matter/dynamic-profile/view/1904918","19-1904918")</f>
        <v>0</v>
      </c>
      <c r="B849" t="s">
        <v>147</v>
      </c>
      <c r="C849" t="s">
        <v>928</v>
      </c>
      <c r="D849" t="s">
        <v>2262</v>
      </c>
      <c r="E849" t="s">
        <v>3883</v>
      </c>
      <c r="F849" t="s">
        <v>5383</v>
      </c>
      <c r="G849" t="s">
        <v>5674</v>
      </c>
      <c r="H849">
        <v>11373</v>
      </c>
      <c r="I849" t="s">
        <v>5696</v>
      </c>
      <c r="J849" t="s">
        <v>5696</v>
      </c>
      <c r="L849" t="s">
        <v>5740</v>
      </c>
      <c r="M849" t="s">
        <v>6734</v>
      </c>
      <c r="O849" t="s">
        <v>6758</v>
      </c>
      <c r="R849" t="s">
        <v>6793</v>
      </c>
      <c r="U849">
        <v>1500</v>
      </c>
      <c r="V849" t="s">
        <v>6837</v>
      </c>
      <c r="Y849" t="s">
        <v>7679</v>
      </c>
      <c r="AA849" t="s">
        <v>9734</v>
      </c>
      <c r="AB849">
        <v>0</v>
      </c>
      <c r="AC849" t="s">
        <v>8953</v>
      </c>
      <c r="AD849" t="s">
        <v>6841</v>
      </c>
      <c r="AE849">
        <v>16</v>
      </c>
      <c r="AF849">
        <v>1</v>
      </c>
      <c r="AG849">
        <v>0</v>
      </c>
      <c r="AH849">
        <v>84.36</v>
      </c>
      <c r="AK849" t="s">
        <v>10966</v>
      </c>
      <c r="AL849">
        <v>10536</v>
      </c>
      <c r="AR849">
        <v>1.1</v>
      </c>
      <c r="AS849" t="s">
        <v>6812</v>
      </c>
      <c r="AT849" t="s">
        <v>11186</v>
      </c>
      <c r="AV849" t="s">
        <v>11231</v>
      </c>
      <c r="AW849" t="s">
        <v>6812</v>
      </c>
    </row>
    <row r="850" spans="1:49">
      <c r="A850" s="1">
        <f>HYPERLINK("https://lsnyc.legalserver.org/matter/dynamic-profile/view/1904682","19-1904682")</f>
        <v>0</v>
      </c>
      <c r="B850" t="s">
        <v>249</v>
      </c>
      <c r="C850" t="s">
        <v>929</v>
      </c>
      <c r="D850" t="s">
        <v>2263</v>
      </c>
      <c r="E850" t="s">
        <v>3884</v>
      </c>
      <c r="F850" t="s">
        <v>5112</v>
      </c>
      <c r="G850" t="s">
        <v>5638</v>
      </c>
      <c r="H850">
        <v>10035</v>
      </c>
      <c r="I850" t="s">
        <v>5695</v>
      </c>
      <c r="J850" t="s">
        <v>5696</v>
      </c>
      <c r="L850" t="s">
        <v>5740</v>
      </c>
      <c r="M850" t="s">
        <v>6734</v>
      </c>
      <c r="O850" t="s">
        <v>6745</v>
      </c>
      <c r="P850" t="s">
        <v>5697</v>
      </c>
      <c r="R850" t="s">
        <v>6793</v>
      </c>
      <c r="S850" t="s">
        <v>6801</v>
      </c>
      <c r="T850" t="s">
        <v>6809</v>
      </c>
      <c r="U850">
        <v>215</v>
      </c>
      <c r="V850" t="s">
        <v>6836</v>
      </c>
      <c r="W850" t="s">
        <v>6838</v>
      </c>
      <c r="Y850" t="s">
        <v>7680</v>
      </c>
      <c r="AA850" t="s">
        <v>9735</v>
      </c>
      <c r="AB850">
        <v>100</v>
      </c>
      <c r="AC850" t="s">
        <v>10929</v>
      </c>
      <c r="AD850" t="s">
        <v>5741</v>
      </c>
      <c r="AE850">
        <v>6</v>
      </c>
      <c r="AF850">
        <v>1</v>
      </c>
      <c r="AG850">
        <v>0</v>
      </c>
      <c r="AH850">
        <v>392.31</v>
      </c>
      <c r="AK850" t="s">
        <v>10966</v>
      </c>
      <c r="AL850">
        <v>49000</v>
      </c>
      <c r="AR850">
        <v>0.75</v>
      </c>
      <c r="AS850" t="s">
        <v>6826</v>
      </c>
      <c r="AT850" t="s">
        <v>11219</v>
      </c>
      <c r="AU850" t="s">
        <v>11228</v>
      </c>
      <c r="AV850" t="s">
        <v>11231</v>
      </c>
      <c r="AW850" t="s">
        <v>6809</v>
      </c>
    </row>
    <row r="851" spans="1:49">
      <c r="A851" s="1">
        <f>HYPERLINK("https://lsnyc.legalserver.org/matter/dynamic-profile/view/1904751","19-1904751")</f>
        <v>0</v>
      </c>
      <c r="B851" t="s">
        <v>158</v>
      </c>
      <c r="C851" t="s">
        <v>930</v>
      </c>
      <c r="D851" t="s">
        <v>350</v>
      </c>
      <c r="E851" t="s">
        <v>3885</v>
      </c>
      <c r="F851" t="s">
        <v>5384</v>
      </c>
      <c r="G851" t="s">
        <v>5637</v>
      </c>
      <c r="H851">
        <v>11226</v>
      </c>
      <c r="I851" t="s">
        <v>5696</v>
      </c>
      <c r="J851" t="s">
        <v>5696</v>
      </c>
      <c r="L851" t="s">
        <v>5740</v>
      </c>
      <c r="M851" t="s">
        <v>6734</v>
      </c>
      <c r="O851" t="s">
        <v>6771</v>
      </c>
      <c r="P851" t="s">
        <v>5697</v>
      </c>
      <c r="R851" t="s">
        <v>6793</v>
      </c>
      <c r="U851">
        <v>1263.37</v>
      </c>
      <c r="V851" t="s">
        <v>6835</v>
      </c>
      <c r="W851" t="s">
        <v>6843</v>
      </c>
      <c r="Y851" t="s">
        <v>7681</v>
      </c>
      <c r="AA851" t="s">
        <v>9736</v>
      </c>
      <c r="AB851">
        <v>72</v>
      </c>
      <c r="AC851" t="s">
        <v>10929</v>
      </c>
      <c r="AE851">
        <v>35</v>
      </c>
      <c r="AF851">
        <v>2</v>
      </c>
      <c r="AG851">
        <v>0</v>
      </c>
      <c r="AH851">
        <v>54.71</v>
      </c>
      <c r="AK851" t="s">
        <v>10966</v>
      </c>
      <c r="AL851">
        <v>9252</v>
      </c>
      <c r="AR851">
        <v>0.75</v>
      </c>
      <c r="AS851" t="s">
        <v>6809</v>
      </c>
      <c r="AT851" t="s">
        <v>141</v>
      </c>
      <c r="AV851" t="s">
        <v>11231</v>
      </c>
      <c r="AW851" t="s">
        <v>6809</v>
      </c>
    </row>
    <row r="852" spans="1:49">
      <c r="A852" s="1">
        <f>HYPERLINK("https://lsnyc.legalserver.org/matter/dynamic-profile/view/1904462","19-1904462")</f>
        <v>0</v>
      </c>
      <c r="B852" t="s">
        <v>85</v>
      </c>
      <c r="C852" t="s">
        <v>903</v>
      </c>
      <c r="D852" t="s">
        <v>2264</v>
      </c>
      <c r="E852" t="s">
        <v>3886</v>
      </c>
      <c r="F852">
        <v>2</v>
      </c>
      <c r="G852" t="s">
        <v>5637</v>
      </c>
      <c r="H852">
        <v>11232</v>
      </c>
      <c r="I852" t="s">
        <v>5696</v>
      </c>
      <c r="J852" t="s">
        <v>5696</v>
      </c>
      <c r="L852" t="s">
        <v>5740</v>
      </c>
      <c r="M852" t="s">
        <v>6734</v>
      </c>
      <c r="O852" t="s">
        <v>6754</v>
      </c>
      <c r="R852" t="s">
        <v>6795</v>
      </c>
      <c r="U852">
        <v>0</v>
      </c>
      <c r="V852" t="s">
        <v>6835</v>
      </c>
      <c r="Y852" t="s">
        <v>7682</v>
      </c>
      <c r="AA852" t="s">
        <v>9737</v>
      </c>
      <c r="AB852">
        <v>0</v>
      </c>
      <c r="AC852" t="s">
        <v>10929</v>
      </c>
      <c r="AD852" t="s">
        <v>10945</v>
      </c>
      <c r="AE852">
        <v>0</v>
      </c>
      <c r="AF852">
        <v>2</v>
      </c>
      <c r="AG852">
        <v>1</v>
      </c>
      <c r="AH852">
        <v>101.27</v>
      </c>
      <c r="AK852" t="s">
        <v>10981</v>
      </c>
      <c r="AL852">
        <v>21600</v>
      </c>
      <c r="AR852">
        <v>2.25</v>
      </c>
      <c r="AS852" t="s">
        <v>6825</v>
      </c>
      <c r="AT852" t="s">
        <v>85</v>
      </c>
      <c r="AV852" t="s">
        <v>11231</v>
      </c>
      <c r="AW852" t="s">
        <v>6811</v>
      </c>
    </row>
    <row r="853" spans="1:49">
      <c r="A853" s="1">
        <f>HYPERLINK("https://lsnyc.legalserver.org/matter/dynamic-profile/view/1904643","19-1904643")</f>
        <v>0</v>
      </c>
      <c r="B853" t="s">
        <v>55</v>
      </c>
      <c r="C853" t="s">
        <v>881</v>
      </c>
      <c r="D853" t="s">
        <v>425</v>
      </c>
      <c r="E853" t="s">
        <v>3887</v>
      </c>
      <c r="F853" t="s">
        <v>5328</v>
      </c>
      <c r="G853" t="s">
        <v>5638</v>
      </c>
      <c r="H853">
        <v>10029</v>
      </c>
      <c r="I853" t="s">
        <v>5695</v>
      </c>
      <c r="J853" t="s">
        <v>5696</v>
      </c>
      <c r="L853" t="s">
        <v>5740</v>
      </c>
      <c r="M853" t="s">
        <v>6734</v>
      </c>
      <c r="O853" t="s">
        <v>6759</v>
      </c>
      <c r="P853" t="s">
        <v>5697</v>
      </c>
      <c r="R853" t="s">
        <v>6794</v>
      </c>
      <c r="S853" t="s">
        <v>6801</v>
      </c>
      <c r="T853" t="s">
        <v>6809</v>
      </c>
      <c r="U853">
        <v>368</v>
      </c>
      <c r="V853" t="s">
        <v>6836</v>
      </c>
      <c r="W853" t="s">
        <v>6852</v>
      </c>
      <c r="Y853" t="s">
        <v>7683</v>
      </c>
      <c r="AA853" t="s">
        <v>9738</v>
      </c>
      <c r="AB853">
        <v>0</v>
      </c>
      <c r="AC853" t="s">
        <v>10940</v>
      </c>
      <c r="AD853" t="s">
        <v>5741</v>
      </c>
      <c r="AE853">
        <v>3</v>
      </c>
      <c r="AF853">
        <v>1</v>
      </c>
      <c r="AG853">
        <v>3</v>
      </c>
      <c r="AH853">
        <v>71.39</v>
      </c>
      <c r="AK853" t="s">
        <v>10966</v>
      </c>
      <c r="AL853">
        <v>18384</v>
      </c>
      <c r="AR853">
        <v>3.1</v>
      </c>
      <c r="AS853" t="s">
        <v>6821</v>
      </c>
      <c r="AT853" t="s">
        <v>11219</v>
      </c>
      <c r="AU853" t="s">
        <v>11228</v>
      </c>
      <c r="AV853" t="s">
        <v>11231</v>
      </c>
      <c r="AW853" t="s">
        <v>6809</v>
      </c>
    </row>
    <row r="854" spans="1:49">
      <c r="A854" s="1">
        <f>HYPERLINK("https://lsnyc.legalserver.org/matter/dynamic-profile/view/1905330","19-1905330")</f>
        <v>0</v>
      </c>
      <c r="B854" t="s">
        <v>234</v>
      </c>
      <c r="C854" t="s">
        <v>343</v>
      </c>
      <c r="D854" t="s">
        <v>1753</v>
      </c>
      <c r="E854" t="s">
        <v>3888</v>
      </c>
      <c r="F854">
        <v>307</v>
      </c>
      <c r="G854" t="s">
        <v>5638</v>
      </c>
      <c r="H854">
        <v>10029</v>
      </c>
      <c r="I854" t="s">
        <v>5695</v>
      </c>
      <c r="J854" t="s">
        <v>5696</v>
      </c>
      <c r="L854" t="s">
        <v>5740</v>
      </c>
      <c r="M854" t="s">
        <v>6734</v>
      </c>
      <c r="O854" t="s">
        <v>6745</v>
      </c>
      <c r="P854" t="s">
        <v>5697</v>
      </c>
      <c r="R854" t="s">
        <v>6793</v>
      </c>
      <c r="S854" t="s">
        <v>6801</v>
      </c>
      <c r="T854" t="s">
        <v>6828</v>
      </c>
      <c r="U854">
        <v>3682</v>
      </c>
      <c r="V854" t="s">
        <v>6836</v>
      </c>
      <c r="W854" t="s">
        <v>6842</v>
      </c>
      <c r="Y854" t="s">
        <v>7684</v>
      </c>
      <c r="AA854" t="s">
        <v>9739</v>
      </c>
      <c r="AB854">
        <v>78</v>
      </c>
      <c r="AC854" t="s">
        <v>10929</v>
      </c>
      <c r="AD854" t="s">
        <v>10944</v>
      </c>
      <c r="AE854">
        <v>24</v>
      </c>
      <c r="AF854">
        <v>3</v>
      </c>
      <c r="AG854">
        <v>0</v>
      </c>
      <c r="AH854">
        <v>177.67</v>
      </c>
      <c r="AK854" t="s">
        <v>10966</v>
      </c>
      <c r="AL854">
        <v>37896</v>
      </c>
      <c r="AR854">
        <v>0.3</v>
      </c>
      <c r="AS854" t="s">
        <v>6828</v>
      </c>
      <c r="AT854" t="s">
        <v>11219</v>
      </c>
      <c r="AU854" t="s">
        <v>11228</v>
      </c>
      <c r="AV854" t="s">
        <v>11231</v>
      </c>
      <c r="AW854" t="s">
        <v>6828</v>
      </c>
    </row>
    <row r="855" spans="1:49">
      <c r="A855" s="1">
        <f>HYPERLINK("https://lsnyc.legalserver.org/matter/dynamic-profile/view/1905155","19-1905155")</f>
        <v>0</v>
      </c>
      <c r="B855" t="s">
        <v>85</v>
      </c>
      <c r="C855" t="s">
        <v>931</v>
      </c>
      <c r="D855" t="s">
        <v>1965</v>
      </c>
      <c r="E855" t="s">
        <v>3889</v>
      </c>
      <c r="F855" t="s">
        <v>5248</v>
      </c>
      <c r="G855" t="s">
        <v>5637</v>
      </c>
      <c r="H855">
        <v>11213</v>
      </c>
      <c r="I855" t="s">
        <v>5696</v>
      </c>
      <c r="J855" t="s">
        <v>5696</v>
      </c>
      <c r="L855" t="s">
        <v>5740</v>
      </c>
      <c r="M855" t="s">
        <v>6734</v>
      </c>
      <c r="O855" t="s">
        <v>6754</v>
      </c>
      <c r="R855" t="s">
        <v>6795</v>
      </c>
      <c r="U855">
        <v>0</v>
      </c>
      <c r="V855" t="s">
        <v>6835</v>
      </c>
      <c r="Y855" t="s">
        <v>7685</v>
      </c>
      <c r="AA855" t="s">
        <v>9740</v>
      </c>
      <c r="AB855">
        <v>0</v>
      </c>
      <c r="AC855" t="s">
        <v>10929</v>
      </c>
      <c r="AD855" t="s">
        <v>10945</v>
      </c>
      <c r="AE855">
        <v>0</v>
      </c>
      <c r="AF855">
        <v>1</v>
      </c>
      <c r="AG855">
        <v>0</v>
      </c>
      <c r="AH855">
        <v>84.64</v>
      </c>
      <c r="AK855" t="s">
        <v>10966</v>
      </c>
      <c r="AL855">
        <v>10572</v>
      </c>
      <c r="AR855">
        <v>1.5</v>
      </c>
      <c r="AS855" t="s">
        <v>6814</v>
      </c>
      <c r="AT855" t="s">
        <v>85</v>
      </c>
      <c r="AV855" t="s">
        <v>11231</v>
      </c>
      <c r="AW855" t="s">
        <v>6814</v>
      </c>
    </row>
    <row r="856" spans="1:49">
      <c r="A856" s="1">
        <f>HYPERLINK("https://lsnyc.legalserver.org/matter/dynamic-profile/view/1903950","19-1903950")</f>
        <v>0</v>
      </c>
      <c r="B856" t="s">
        <v>158</v>
      </c>
      <c r="C856" t="s">
        <v>932</v>
      </c>
      <c r="D856" t="s">
        <v>1746</v>
      </c>
      <c r="E856" t="s">
        <v>3890</v>
      </c>
      <c r="G856" t="s">
        <v>5637</v>
      </c>
      <c r="H856">
        <v>11210</v>
      </c>
      <c r="I856" t="s">
        <v>5696</v>
      </c>
      <c r="J856" t="s">
        <v>5696</v>
      </c>
      <c r="L856" t="s">
        <v>5740</v>
      </c>
      <c r="M856" t="s">
        <v>6734</v>
      </c>
      <c r="O856" t="s">
        <v>6753</v>
      </c>
      <c r="P856" t="s">
        <v>5697</v>
      </c>
      <c r="R856" t="s">
        <v>6793</v>
      </c>
      <c r="U856">
        <v>1514</v>
      </c>
      <c r="V856" t="s">
        <v>6835</v>
      </c>
      <c r="W856" t="s">
        <v>6838</v>
      </c>
      <c r="Y856" t="s">
        <v>7686</v>
      </c>
      <c r="AA856" t="s">
        <v>9741</v>
      </c>
      <c r="AB856">
        <v>42</v>
      </c>
      <c r="AE856">
        <v>1</v>
      </c>
      <c r="AF856">
        <v>1</v>
      </c>
      <c r="AG856">
        <v>0</v>
      </c>
      <c r="AH856">
        <v>29.3</v>
      </c>
      <c r="AL856">
        <v>3659.5</v>
      </c>
      <c r="AR856">
        <v>0.25</v>
      </c>
      <c r="AS856" t="s">
        <v>6825</v>
      </c>
      <c r="AT856" t="s">
        <v>11214</v>
      </c>
      <c r="AV856" t="s">
        <v>11231</v>
      </c>
      <c r="AW856" t="s">
        <v>11138</v>
      </c>
    </row>
    <row r="857" spans="1:49">
      <c r="A857" s="1">
        <f>HYPERLINK("https://lsnyc.legalserver.org/matter/dynamic-profile/view/1903632","19-1903632")</f>
        <v>0</v>
      </c>
      <c r="B857" t="s">
        <v>75</v>
      </c>
      <c r="C857" t="s">
        <v>662</v>
      </c>
      <c r="D857" t="s">
        <v>2265</v>
      </c>
      <c r="E857" t="s">
        <v>3891</v>
      </c>
      <c r="F857" t="s">
        <v>5179</v>
      </c>
      <c r="G857" t="s">
        <v>5638</v>
      </c>
      <c r="H857">
        <v>10003</v>
      </c>
      <c r="I857" t="s">
        <v>5696</v>
      </c>
      <c r="J857" t="s">
        <v>5696</v>
      </c>
      <c r="L857" t="s">
        <v>5740</v>
      </c>
      <c r="M857" t="s">
        <v>6734</v>
      </c>
      <c r="O857" t="s">
        <v>6753</v>
      </c>
      <c r="R857" t="s">
        <v>6793</v>
      </c>
      <c r="U857">
        <v>970</v>
      </c>
      <c r="V857" t="s">
        <v>6836</v>
      </c>
      <c r="Y857" t="s">
        <v>7687</v>
      </c>
      <c r="AA857" t="s">
        <v>9742</v>
      </c>
      <c r="AB857">
        <v>0</v>
      </c>
      <c r="AC857" t="s">
        <v>10933</v>
      </c>
      <c r="AE857">
        <v>21</v>
      </c>
      <c r="AF857">
        <v>1</v>
      </c>
      <c r="AG857">
        <v>0</v>
      </c>
      <c r="AH857">
        <v>326.66</v>
      </c>
      <c r="AK857" t="s">
        <v>10966</v>
      </c>
      <c r="AL857">
        <v>40800</v>
      </c>
      <c r="AR857">
        <v>1.2</v>
      </c>
      <c r="AS857" t="s">
        <v>6815</v>
      </c>
      <c r="AT857" t="s">
        <v>11186</v>
      </c>
      <c r="AV857" t="s">
        <v>11231</v>
      </c>
      <c r="AW857" t="s">
        <v>11144</v>
      </c>
    </row>
    <row r="858" spans="1:49">
      <c r="A858" s="1">
        <f>HYPERLINK("https://lsnyc.legalserver.org/matter/dynamic-profile/view/1905738","19-1905738")</f>
        <v>0</v>
      </c>
      <c r="B858" t="s">
        <v>67</v>
      </c>
      <c r="C858" t="s">
        <v>423</v>
      </c>
      <c r="D858" t="s">
        <v>2266</v>
      </c>
      <c r="E858" t="s">
        <v>3892</v>
      </c>
      <c r="F858" t="s">
        <v>5180</v>
      </c>
      <c r="G858" t="s">
        <v>5637</v>
      </c>
      <c r="H858">
        <v>11233</v>
      </c>
      <c r="I858" t="s">
        <v>5695</v>
      </c>
      <c r="J858" t="s">
        <v>5696</v>
      </c>
      <c r="K858" t="s">
        <v>5727</v>
      </c>
      <c r="L858" t="s">
        <v>5740</v>
      </c>
      <c r="M858" t="s">
        <v>6734</v>
      </c>
      <c r="O858" t="s">
        <v>6745</v>
      </c>
      <c r="P858" t="s">
        <v>5697</v>
      </c>
      <c r="R858" t="s">
        <v>6793</v>
      </c>
      <c r="T858" t="s">
        <v>6823</v>
      </c>
      <c r="U858">
        <v>215</v>
      </c>
      <c r="V858" t="s">
        <v>6835</v>
      </c>
      <c r="W858" t="s">
        <v>6841</v>
      </c>
      <c r="Y858" t="s">
        <v>7688</v>
      </c>
      <c r="Z858" t="s">
        <v>8971</v>
      </c>
      <c r="AA858" t="s">
        <v>9743</v>
      </c>
      <c r="AB858">
        <v>48</v>
      </c>
      <c r="AC858" t="s">
        <v>10938</v>
      </c>
      <c r="AD858" t="s">
        <v>6841</v>
      </c>
      <c r="AE858">
        <v>4</v>
      </c>
      <c r="AF858">
        <v>1</v>
      </c>
      <c r="AG858">
        <v>0</v>
      </c>
      <c r="AH858">
        <v>0</v>
      </c>
      <c r="AK858" t="s">
        <v>10966</v>
      </c>
      <c r="AL858">
        <v>0</v>
      </c>
      <c r="AR858">
        <v>0</v>
      </c>
      <c r="AT858" t="s">
        <v>67</v>
      </c>
      <c r="AU858" t="s">
        <v>11228</v>
      </c>
      <c r="AV858" t="s">
        <v>11231</v>
      </c>
      <c r="AW858" t="s">
        <v>6823</v>
      </c>
    </row>
    <row r="859" spans="1:49">
      <c r="A859" s="1">
        <f>HYPERLINK("https://lsnyc.legalserver.org/matter/dynamic-profile/view/1903906","19-1903906")</f>
        <v>0</v>
      </c>
      <c r="B859" t="s">
        <v>138</v>
      </c>
      <c r="C859" t="s">
        <v>933</v>
      </c>
      <c r="D859" t="s">
        <v>1893</v>
      </c>
      <c r="E859" t="s">
        <v>3893</v>
      </c>
      <c r="F859" t="s">
        <v>5248</v>
      </c>
      <c r="G859" t="s">
        <v>5637</v>
      </c>
      <c r="H859">
        <v>11226</v>
      </c>
      <c r="I859" t="s">
        <v>5695</v>
      </c>
      <c r="J859" t="s">
        <v>5696</v>
      </c>
      <c r="K859" t="s">
        <v>6020</v>
      </c>
      <c r="L859" t="s">
        <v>6714</v>
      </c>
      <c r="M859" t="s">
        <v>6734</v>
      </c>
      <c r="O859" t="s">
        <v>6755</v>
      </c>
      <c r="R859" t="s">
        <v>6793</v>
      </c>
      <c r="U859">
        <v>450</v>
      </c>
      <c r="V859" t="s">
        <v>6835</v>
      </c>
      <c r="W859" t="s">
        <v>6840</v>
      </c>
      <c r="Y859" t="s">
        <v>7689</v>
      </c>
      <c r="AA859" t="s">
        <v>9744</v>
      </c>
      <c r="AB859">
        <v>84</v>
      </c>
      <c r="AD859" t="s">
        <v>10944</v>
      </c>
      <c r="AE859">
        <v>25</v>
      </c>
      <c r="AF859">
        <v>1</v>
      </c>
      <c r="AG859">
        <v>3</v>
      </c>
      <c r="AH859">
        <v>95.81</v>
      </c>
      <c r="AK859" t="s">
        <v>10966</v>
      </c>
      <c r="AL859">
        <v>24672</v>
      </c>
      <c r="AR859">
        <v>5.1</v>
      </c>
      <c r="AS859" t="s">
        <v>6814</v>
      </c>
      <c r="AT859" t="s">
        <v>11178</v>
      </c>
      <c r="AU859" t="s">
        <v>11228</v>
      </c>
      <c r="AV859" t="s">
        <v>11231</v>
      </c>
      <c r="AW859" t="s">
        <v>6807</v>
      </c>
    </row>
    <row r="860" spans="1:49">
      <c r="A860" s="1">
        <f>HYPERLINK("https://lsnyc.legalserver.org/matter/dynamic-profile/view/1903048","19-1903048")</f>
        <v>0</v>
      </c>
      <c r="B860" t="s">
        <v>71</v>
      </c>
      <c r="C860" t="s">
        <v>934</v>
      </c>
      <c r="D860" t="s">
        <v>2267</v>
      </c>
      <c r="E860" t="s">
        <v>3894</v>
      </c>
      <c r="F860" t="s">
        <v>5251</v>
      </c>
      <c r="G860" t="s">
        <v>5637</v>
      </c>
      <c r="H860">
        <v>11226</v>
      </c>
      <c r="I860" t="s">
        <v>5695</v>
      </c>
      <c r="J860" t="s">
        <v>5696</v>
      </c>
      <c r="K860" t="s">
        <v>6021</v>
      </c>
      <c r="L860" t="s">
        <v>6714</v>
      </c>
      <c r="M860" t="s">
        <v>6734</v>
      </c>
      <c r="O860" t="s">
        <v>6755</v>
      </c>
      <c r="R860" t="s">
        <v>6793</v>
      </c>
      <c r="U860">
        <v>700</v>
      </c>
      <c r="V860" t="s">
        <v>6835</v>
      </c>
      <c r="W860" t="s">
        <v>6840</v>
      </c>
      <c r="Y860" t="s">
        <v>7690</v>
      </c>
      <c r="AA860" t="s">
        <v>9745</v>
      </c>
      <c r="AB860">
        <v>71</v>
      </c>
      <c r="AD860" t="s">
        <v>5741</v>
      </c>
      <c r="AE860">
        <v>2</v>
      </c>
      <c r="AF860">
        <v>3</v>
      </c>
      <c r="AG860">
        <v>3</v>
      </c>
      <c r="AH860">
        <v>71.14</v>
      </c>
      <c r="AK860" t="s">
        <v>10981</v>
      </c>
      <c r="AL860">
        <v>24607</v>
      </c>
      <c r="AR860">
        <v>1.55</v>
      </c>
      <c r="AS860" t="s">
        <v>6828</v>
      </c>
      <c r="AT860" t="s">
        <v>11178</v>
      </c>
      <c r="AU860" t="s">
        <v>11228</v>
      </c>
      <c r="AV860" t="s">
        <v>11231</v>
      </c>
      <c r="AW860" t="s">
        <v>11138</v>
      </c>
    </row>
    <row r="861" spans="1:49">
      <c r="A861" s="1">
        <f>HYPERLINK("https://lsnyc.legalserver.org/matter/dynamic-profile/view/1896981","19-1896981")</f>
        <v>0</v>
      </c>
      <c r="B861" t="s">
        <v>194</v>
      </c>
      <c r="C861" t="s">
        <v>935</v>
      </c>
      <c r="D861" t="s">
        <v>2268</v>
      </c>
      <c r="E861" t="s">
        <v>3895</v>
      </c>
      <c r="F861" t="s">
        <v>5237</v>
      </c>
      <c r="G861" t="s">
        <v>5637</v>
      </c>
      <c r="H861">
        <v>11220</v>
      </c>
      <c r="I861" t="s">
        <v>5695</v>
      </c>
      <c r="J861" t="s">
        <v>5695</v>
      </c>
      <c r="K861" t="s">
        <v>6022</v>
      </c>
      <c r="L861" t="s">
        <v>6714</v>
      </c>
      <c r="M861" t="s">
        <v>6734</v>
      </c>
      <c r="O861" t="s">
        <v>6753</v>
      </c>
      <c r="R861" t="s">
        <v>6793</v>
      </c>
      <c r="U861">
        <v>0</v>
      </c>
      <c r="V861" t="s">
        <v>6835</v>
      </c>
      <c r="W861" t="s">
        <v>6840</v>
      </c>
      <c r="Y861" t="s">
        <v>7691</v>
      </c>
      <c r="AA861" t="s">
        <v>9746</v>
      </c>
      <c r="AB861">
        <v>33</v>
      </c>
      <c r="AE861">
        <v>0</v>
      </c>
      <c r="AF861">
        <v>3</v>
      </c>
      <c r="AG861">
        <v>0</v>
      </c>
      <c r="AH861">
        <v>302.54</v>
      </c>
      <c r="AK861" t="s">
        <v>10966</v>
      </c>
      <c r="AL861">
        <v>64532</v>
      </c>
      <c r="AR861">
        <v>1.1</v>
      </c>
      <c r="AS861" t="s">
        <v>11134</v>
      </c>
      <c r="AT861" t="s">
        <v>11178</v>
      </c>
      <c r="AV861" t="s">
        <v>11231</v>
      </c>
      <c r="AW861" t="s">
        <v>11121</v>
      </c>
    </row>
    <row r="862" spans="1:49">
      <c r="A862" s="1">
        <f>HYPERLINK("https://lsnyc.legalserver.org/matter/dynamic-profile/view/1902957","19-1902957")</f>
        <v>0</v>
      </c>
      <c r="B862" t="s">
        <v>95</v>
      </c>
      <c r="C862" t="s">
        <v>936</v>
      </c>
      <c r="D862" t="s">
        <v>2269</v>
      </c>
      <c r="E862" t="s">
        <v>3896</v>
      </c>
      <c r="F862" t="s">
        <v>5248</v>
      </c>
      <c r="G862" t="s">
        <v>5637</v>
      </c>
      <c r="H862">
        <v>11226</v>
      </c>
      <c r="I862" t="s">
        <v>5695</v>
      </c>
      <c r="J862" t="s">
        <v>5696</v>
      </c>
      <c r="K862" t="s">
        <v>6023</v>
      </c>
      <c r="L862" t="s">
        <v>6714</v>
      </c>
      <c r="M862" t="s">
        <v>6734</v>
      </c>
      <c r="O862" t="s">
        <v>6755</v>
      </c>
      <c r="R862" t="s">
        <v>6793</v>
      </c>
      <c r="U862">
        <v>1500</v>
      </c>
      <c r="V862" t="s">
        <v>6835</v>
      </c>
      <c r="W862" t="s">
        <v>6840</v>
      </c>
      <c r="Y862" t="s">
        <v>7692</v>
      </c>
      <c r="AA862" t="s">
        <v>9747</v>
      </c>
      <c r="AB862">
        <v>9</v>
      </c>
      <c r="AD862" t="s">
        <v>6841</v>
      </c>
      <c r="AE862">
        <v>20</v>
      </c>
      <c r="AF862">
        <v>3</v>
      </c>
      <c r="AG862">
        <v>2</v>
      </c>
      <c r="AH862">
        <v>29.15</v>
      </c>
      <c r="AK862" t="s">
        <v>10966</v>
      </c>
      <c r="AL862">
        <v>8796</v>
      </c>
      <c r="AR862">
        <v>5.55</v>
      </c>
      <c r="AS862" t="s">
        <v>6827</v>
      </c>
      <c r="AT862" t="s">
        <v>11178</v>
      </c>
      <c r="AU862" t="s">
        <v>11228</v>
      </c>
      <c r="AV862" t="s">
        <v>11231</v>
      </c>
      <c r="AW862" t="s">
        <v>11138</v>
      </c>
    </row>
    <row r="863" spans="1:49">
      <c r="A863" s="1">
        <f>HYPERLINK("https://lsnyc.legalserver.org/matter/dynamic-profile/view/1905339","19-1905339")</f>
        <v>0</v>
      </c>
      <c r="B863" t="s">
        <v>194</v>
      </c>
      <c r="C863" t="s">
        <v>937</v>
      </c>
      <c r="D863" t="s">
        <v>2270</v>
      </c>
      <c r="E863" t="s">
        <v>3897</v>
      </c>
      <c r="F863" t="s">
        <v>5248</v>
      </c>
      <c r="G863" t="s">
        <v>5637</v>
      </c>
      <c r="H863">
        <v>11230</v>
      </c>
      <c r="I863" t="s">
        <v>5695</v>
      </c>
      <c r="J863" t="s">
        <v>5696</v>
      </c>
      <c r="K863" t="s">
        <v>6024</v>
      </c>
      <c r="L863" t="s">
        <v>6714</v>
      </c>
      <c r="M863" t="s">
        <v>6734</v>
      </c>
      <c r="O863" t="s">
        <v>6746</v>
      </c>
      <c r="R863" t="s">
        <v>6793</v>
      </c>
      <c r="U863">
        <v>1050</v>
      </c>
      <c r="V863" t="s">
        <v>6835</v>
      </c>
      <c r="W863" t="s">
        <v>6840</v>
      </c>
      <c r="Y863" t="s">
        <v>7693</v>
      </c>
      <c r="AA863" t="s">
        <v>9748</v>
      </c>
      <c r="AB863">
        <v>60</v>
      </c>
      <c r="AD863" t="s">
        <v>10945</v>
      </c>
      <c r="AE863">
        <v>29</v>
      </c>
      <c r="AF863">
        <v>1</v>
      </c>
      <c r="AG863">
        <v>0</v>
      </c>
      <c r="AH863">
        <v>133.79</v>
      </c>
      <c r="AK863" t="s">
        <v>10966</v>
      </c>
      <c r="AL863">
        <v>16709.8</v>
      </c>
      <c r="AR863">
        <v>0.2</v>
      </c>
      <c r="AS863" t="s">
        <v>6820</v>
      </c>
      <c r="AT863" t="s">
        <v>11178</v>
      </c>
      <c r="AU863" t="s">
        <v>11228</v>
      </c>
      <c r="AV863" t="s">
        <v>11231</v>
      </c>
      <c r="AW863" t="s">
        <v>6828</v>
      </c>
    </row>
    <row r="864" spans="1:49">
      <c r="A864" s="1">
        <f>HYPERLINK("https://lsnyc.legalserver.org/matter/dynamic-profile/view/1904408","19-1904408")</f>
        <v>0</v>
      </c>
      <c r="B864" t="s">
        <v>241</v>
      </c>
      <c r="C864" t="s">
        <v>881</v>
      </c>
      <c r="D864" t="s">
        <v>2236</v>
      </c>
      <c r="E864" t="s">
        <v>3898</v>
      </c>
      <c r="F864" t="s">
        <v>5142</v>
      </c>
      <c r="G864" t="s">
        <v>5637</v>
      </c>
      <c r="H864">
        <v>11216</v>
      </c>
      <c r="I864" t="s">
        <v>5695</v>
      </c>
      <c r="J864" t="s">
        <v>5696</v>
      </c>
      <c r="K864" t="s">
        <v>6025</v>
      </c>
      <c r="L864" t="s">
        <v>6714</v>
      </c>
      <c r="M864" t="s">
        <v>6734</v>
      </c>
      <c r="O864" t="s">
        <v>6755</v>
      </c>
      <c r="R864" t="s">
        <v>6793</v>
      </c>
      <c r="U864">
        <v>795</v>
      </c>
      <c r="V864" t="s">
        <v>6835</v>
      </c>
      <c r="W864" t="s">
        <v>6854</v>
      </c>
      <c r="Y864" t="s">
        <v>7694</v>
      </c>
      <c r="AA864" t="s">
        <v>9749</v>
      </c>
      <c r="AB864">
        <v>12</v>
      </c>
      <c r="AD864" t="s">
        <v>10944</v>
      </c>
      <c r="AE864">
        <v>6</v>
      </c>
      <c r="AF864">
        <v>1</v>
      </c>
      <c r="AG864">
        <v>2</v>
      </c>
      <c r="AH864">
        <v>22.5</v>
      </c>
      <c r="AK864" t="s">
        <v>10966</v>
      </c>
      <c r="AL864">
        <v>4800</v>
      </c>
      <c r="AR864">
        <v>1.9</v>
      </c>
      <c r="AS864" t="s">
        <v>6826</v>
      </c>
      <c r="AT864" t="s">
        <v>11178</v>
      </c>
      <c r="AU864" t="s">
        <v>11228</v>
      </c>
      <c r="AV864" t="s">
        <v>11231</v>
      </c>
      <c r="AW864" t="s">
        <v>6815</v>
      </c>
    </row>
    <row r="865" spans="1:49">
      <c r="A865" s="1">
        <f>HYPERLINK("https://lsnyc.legalserver.org/matter/dynamic-profile/view/1902763","19-1902763")</f>
        <v>0</v>
      </c>
      <c r="B865" t="s">
        <v>92</v>
      </c>
      <c r="C865" t="s">
        <v>453</v>
      </c>
      <c r="D865" t="s">
        <v>1549</v>
      </c>
      <c r="E865" t="s">
        <v>3899</v>
      </c>
      <c r="F865" t="s">
        <v>5310</v>
      </c>
      <c r="G865" t="s">
        <v>5637</v>
      </c>
      <c r="H865">
        <v>11216</v>
      </c>
      <c r="I865" t="s">
        <v>5695</v>
      </c>
      <c r="J865" t="s">
        <v>5696</v>
      </c>
      <c r="K865" t="s">
        <v>6026</v>
      </c>
      <c r="L865" t="s">
        <v>6714</v>
      </c>
      <c r="M865" t="s">
        <v>6734</v>
      </c>
      <c r="O865" t="s">
        <v>6755</v>
      </c>
      <c r="R865" t="s">
        <v>6794</v>
      </c>
      <c r="U865">
        <v>742</v>
      </c>
      <c r="V865" t="s">
        <v>6835</v>
      </c>
      <c r="W865" t="s">
        <v>6840</v>
      </c>
      <c r="Y865" t="s">
        <v>7695</v>
      </c>
      <c r="AA865" t="s">
        <v>9750</v>
      </c>
      <c r="AB865">
        <v>0</v>
      </c>
      <c r="AE865">
        <v>-1</v>
      </c>
      <c r="AF865">
        <v>2</v>
      </c>
      <c r="AG865">
        <v>1</v>
      </c>
      <c r="AH865">
        <v>121.89</v>
      </c>
      <c r="AK865" t="s">
        <v>10966</v>
      </c>
      <c r="AL865">
        <v>26000</v>
      </c>
      <c r="AR865">
        <v>0.55</v>
      </c>
      <c r="AS865" t="s">
        <v>6813</v>
      </c>
      <c r="AT865" t="s">
        <v>11190</v>
      </c>
      <c r="AU865" t="s">
        <v>11228</v>
      </c>
      <c r="AV865" t="s">
        <v>11231</v>
      </c>
      <c r="AW865" t="s">
        <v>11133</v>
      </c>
    </row>
    <row r="866" spans="1:49">
      <c r="A866" s="1">
        <f>HYPERLINK("https://lsnyc.legalserver.org/matter/dynamic-profile/view/1903279","19-1903279")</f>
        <v>0</v>
      </c>
      <c r="B866" t="s">
        <v>255</v>
      </c>
      <c r="C866" t="s">
        <v>345</v>
      </c>
      <c r="D866" t="s">
        <v>2271</v>
      </c>
      <c r="E866" t="s">
        <v>3900</v>
      </c>
      <c r="F866" t="s">
        <v>5385</v>
      </c>
      <c r="G866" t="s">
        <v>5637</v>
      </c>
      <c r="H866">
        <v>11221</v>
      </c>
      <c r="I866" t="s">
        <v>5697</v>
      </c>
      <c r="J866" t="s">
        <v>5696</v>
      </c>
      <c r="K866" t="s">
        <v>6027</v>
      </c>
      <c r="L866" t="s">
        <v>6714</v>
      </c>
      <c r="M866" t="s">
        <v>6734</v>
      </c>
      <c r="O866" t="s">
        <v>6755</v>
      </c>
      <c r="R866" t="s">
        <v>6794</v>
      </c>
      <c r="U866">
        <v>209</v>
      </c>
      <c r="V866" t="s">
        <v>6835</v>
      </c>
      <c r="W866" t="s">
        <v>6839</v>
      </c>
      <c r="Y866" t="s">
        <v>7696</v>
      </c>
      <c r="AA866" t="s">
        <v>9751</v>
      </c>
      <c r="AB866">
        <v>15</v>
      </c>
      <c r="AC866" t="s">
        <v>10931</v>
      </c>
      <c r="AE866">
        <v>10</v>
      </c>
      <c r="AF866">
        <v>2</v>
      </c>
      <c r="AG866">
        <v>0</v>
      </c>
      <c r="AH866">
        <v>184.76</v>
      </c>
      <c r="AK866" t="s">
        <v>10967</v>
      </c>
      <c r="AL866">
        <v>31242.8</v>
      </c>
      <c r="AR866">
        <v>0.2</v>
      </c>
      <c r="AS866" t="s">
        <v>11139</v>
      </c>
      <c r="AT866" t="s">
        <v>11198</v>
      </c>
      <c r="AV866" t="s">
        <v>11231</v>
      </c>
      <c r="AW866" t="s">
        <v>11139</v>
      </c>
    </row>
    <row r="867" spans="1:49">
      <c r="A867" s="1">
        <f>HYPERLINK("https://lsnyc.legalserver.org/matter/dynamic-profile/view/1902754","19-1902754")</f>
        <v>0</v>
      </c>
      <c r="B867" t="s">
        <v>95</v>
      </c>
      <c r="C867" t="s">
        <v>321</v>
      </c>
      <c r="D867" t="s">
        <v>1548</v>
      </c>
      <c r="E867" t="s">
        <v>3901</v>
      </c>
      <c r="F867" t="s">
        <v>5386</v>
      </c>
      <c r="G867" t="s">
        <v>5637</v>
      </c>
      <c r="H867">
        <v>11221</v>
      </c>
      <c r="I867" t="s">
        <v>5695</v>
      </c>
      <c r="J867" t="s">
        <v>5696</v>
      </c>
      <c r="K867" t="s">
        <v>6028</v>
      </c>
      <c r="L867" t="s">
        <v>6714</v>
      </c>
      <c r="M867" t="s">
        <v>6734</v>
      </c>
      <c r="O867" t="s">
        <v>6755</v>
      </c>
      <c r="R867" t="s">
        <v>6794</v>
      </c>
      <c r="U867">
        <v>161</v>
      </c>
      <c r="V867" t="s">
        <v>6835</v>
      </c>
      <c r="W867" t="s">
        <v>6840</v>
      </c>
      <c r="Y867" t="s">
        <v>7697</v>
      </c>
      <c r="AA867" t="s">
        <v>9752</v>
      </c>
      <c r="AB867">
        <v>0</v>
      </c>
      <c r="AE867">
        <v>8</v>
      </c>
      <c r="AF867">
        <v>3</v>
      </c>
      <c r="AG867">
        <v>0</v>
      </c>
      <c r="AH867">
        <v>41.52</v>
      </c>
      <c r="AK867" t="s">
        <v>10966</v>
      </c>
      <c r="AL867">
        <v>8856</v>
      </c>
      <c r="AR867">
        <v>1.5</v>
      </c>
      <c r="AS867" t="s">
        <v>6818</v>
      </c>
      <c r="AT867" t="s">
        <v>11190</v>
      </c>
      <c r="AU867" t="s">
        <v>11228</v>
      </c>
      <c r="AV867" t="s">
        <v>11231</v>
      </c>
      <c r="AW867" t="s">
        <v>11133</v>
      </c>
    </row>
    <row r="868" spans="1:49">
      <c r="A868" s="1">
        <f>HYPERLINK("https://lsnyc.legalserver.org/matter/dynamic-profile/view/1902521","19-1902521")</f>
        <v>0</v>
      </c>
      <c r="B868" t="s">
        <v>82</v>
      </c>
      <c r="C868" t="s">
        <v>938</v>
      </c>
      <c r="D868" t="s">
        <v>2272</v>
      </c>
      <c r="E868" t="s">
        <v>3902</v>
      </c>
      <c r="F868" t="s">
        <v>5233</v>
      </c>
      <c r="G868" t="s">
        <v>5637</v>
      </c>
      <c r="H868">
        <v>11221</v>
      </c>
      <c r="I868" t="s">
        <v>5695</v>
      </c>
      <c r="J868" t="s">
        <v>5696</v>
      </c>
      <c r="K868" t="s">
        <v>6029</v>
      </c>
      <c r="L868" t="s">
        <v>6714</v>
      </c>
      <c r="M868" t="s">
        <v>6734</v>
      </c>
      <c r="O868" t="s">
        <v>6755</v>
      </c>
      <c r="R868" t="s">
        <v>6793</v>
      </c>
      <c r="U868">
        <v>724</v>
      </c>
      <c r="V868" t="s">
        <v>6835</v>
      </c>
      <c r="W868" t="s">
        <v>6854</v>
      </c>
      <c r="Y868" t="s">
        <v>7698</v>
      </c>
      <c r="AA868" t="s">
        <v>9753</v>
      </c>
      <c r="AB868">
        <v>8</v>
      </c>
      <c r="AD868" t="s">
        <v>10944</v>
      </c>
      <c r="AE868">
        <v>9</v>
      </c>
      <c r="AF868">
        <v>1</v>
      </c>
      <c r="AG868">
        <v>2</v>
      </c>
      <c r="AH868">
        <v>97.52</v>
      </c>
      <c r="AK868" t="s">
        <v>10966</v>
      </c>
      <c r="AL868">
        <v>20800</v>
      </c>
      <c r="AR868">
        <v>5.5</v>
      </c>
      <c r="AS868" t="s">
        <v>6823</v>
      </c>
      <c r="AT868" t="s">
        <v>11178</v>
      </c>
      <c r="AU868" t="s">
        <v>11228</v>
      </c>
      <c r="AV868" t="s">
        <v>11231</v>
      </c>
      <c r="AW868" t="s">
        <v>11116</v>
      </c>
    </row>
    <row r="869" spans="1:49">
      <c r="A869" s="1">
        <f>HYPERLINK("https://lsnyc.legalserver.org/matter/dynamic-profile/view/1902779","19-1902779")</f>
        <v>0</v>
      </c>
      <c r="B869" t="s">
        <v>92</v>
      </c>
      <c r="C869" t="s">
        <v>939</v>
      </c>
      <c r="D869" t="s">
        <v>1718</v>
      </c>
      <c r="E869" t="s">
        <v>3903</v>
      </c>
      <c r="F869" t="s">
        <v>5386</v>
      </c>
      <c r="G869" t="s">
        <v>5637</v>
      </c>
      <c r="H869">
        <v>11221</v>
      </c>
      <c r="I869" t="s">
        <v>5695</v>
      </c>
      <c r="J869" t="s">
        <v>5696</v>
      </c>
      <c r="K869" t="s">
        <v>6030</v>
      </c>
      <c r="L869" t="s">
        <v>6714</v>
      </c>
      <c r="M869" t="s">
        <v>6734</v>
      </c>
      <c r="O869" t="s">
        <v>6755</v>
      </c>
      <c r="R869" t="s">
        <v>6794</v>
      </c>
      <c r="U869">
        <v>354</v>
      </c>
      <c r="V869" t="s">
        <v>6835</v>
      </c>
      <c r="W869" t="s">
        <v>6840</v>
      </c>
      <c r="Y869" t="s">
        <v>7699</v>
      </c>
      <c r="AA869" t="s">
        <v>9754</v>
      </c>
      <c r="AB869">
        <v>0</v>
      </c>
      <c r="AE869">
        <v>37</v>
      </c>
      <c r="AF869">
        <v>2</v>
      </c>
      <c r="AG869">
        <v>2</v>
      </c>
      <c r="AH869">
        <v>0</v>
      </c>
      <c r="AK869" t="s">
        <v>10966</v>
      </c>
      <c r="AL869">
        <v>0</v>
      </c>
      <c r="AR869">
        <v>0.55</v>
      </c>
      <c r="AS869" t="s">
        <v>6813</v>
      </c>
      <c r="AT869" t="s">
        <v>11190</v>
      </c>
      <c r="AU869" t="s">
        <v>11228</v>
      </c>
      <c r="AV869" t="s">
        <v>11231</v>
      </c>
      <c r="AW869" t="s">
        <v>11133</v>
      </c>
    </row>
    <row r="870" spans="1:49">
      <c r="A870" s="1">
        <f>HYPERLINK("https://lsnyc.legalserver.org/matter/dynamic-profile/view/1902800","19-1902800")</f>
        <v>0</v>
      </c>
      <c r="B870" t="s">
        <v>95</v>
      </c>
      <c r="C870" t="s">
        <v>859</v>
      </c>
      <c r="D870" t="s">
        <v>1646</v>
      </c>
      <c r="E870" t="s">
        <v>3904</v>
      </c>
      <c r="F870" t="s">
        <v>5387</v>
      </c>
      <c r="G870" t="s">
        <v>5637</v>
      </c>
      <c r="H870">
        <v>11221</v>
      </c>
      <c r="I870" t="s">
        <v>5695</v>
      </c>
      <c r="J870" t="s">
        <v>5696</v>
      </c>
      <c r="K870" t="s">
        <v>6031</v>
      </c>
      <c r="L870" t="s">
        <v>6714</v>
      </c>
      <c r="M870" t="s">
        <v>6734</v>
      </c>
      <c r="O870" t="s">
        <v>6755</v>
      </c>
      <c r="R870" t="s">
        <v>6794</v>
      </c>
      <c r="U870">
        <v>0</v>
      </c>
      <c r="V870" t="s">
        <v>6835</v>
      </c>
      <c r="W870" t="s">
        <v>6840</v>
      </c>
      <c r="Y870" t="s">
        <v>7700</v>
      </c>
      <c r="AA870" t="s">
        <v>9755</v>
      </c>
      <c r="AB870">
        <v>0</v>
      </c>
      <c r="AE870">
        <v>11</v>
      </c>
      <c r="AF870">
        <v>2</v>
      </c>
      <c r="AG870">
        <v>0</v>
      </c>
      <c r="AH870">
        <v>248.37</v>
      </c>
      <c r="AK870" t="s">
        <v>10966</v>
      </c>
      <c r="AL870">
        <v>42000</v>
      </c>
      <c r="AR870">
        <v>3.3</v>
      </c>
      <c r="AS870" t="s">
        <v>6821</v>
      </c>
      <c r="AT870" t="s">
        <v>11190</v>
      </c>
      <c r="AU870" t="s">
        <v>11228</v>
      </c>
      <c r="AV870" t="s">
        <v>11231</v>
      </c>
      <c r="AW870" t="s">
        <v>11133</v>
      </c>
    </row>
    <row r="871" spans="1:49">
      <c r="A871" s="1">
        <f>HYPERLINK("https://lsnyc.legalserver.org/matter/dynamic-profile/view/1906027","19-1906027")</f>
        <v>0</v>
      </c>
      <c r="B871" t="s">
        <v>233</v>
      </c>
      <c r="C871" t="s">
        <v>940</v>
      </c>
      <c r="D871" t="s">
        <v>2273</v>
      </c>
      <c r="E871" t="s">
        <v>3905</v>
      </c>
      <c r="F871" t="s">
        <v>5388</v>
      </c>
      <c r="G871" t="s">
        <v>5637</v>
      </c>
      <c r="H871">
        <v>11226</v>
      </c>
      <c r="I871" t="s">
        <v>5696</v>
      </c>
      <c r="J871" t="s">
        <v>5696</v>
      </c>
      <c r="K871" t="s">
        <v>6032</v>
      </c>
      <c r="L871" t="s">
        <v>6714</v>
      </c>
      <c r="M871" t="s">
        <v>6734</v>
      </c>
      <c r="O871" t="s">
        <v>6755</v>
      </c>
      <c r="R871" t="s">
        <v>6793</v>
      </c>
      <c r="U871">
        <v>1475.14</v>
      </c>
      <c r="V871" t="s">
        <v>6835</v>
      </c>
      <c r="W871" t="s">
        <v>6840</v>
      </c>
      <c r="Y871" t="s">
        <v>7701</v>
      </c>
      <c r="AA871" t="s">
        <v>9756</v>
      </c>
      <c r="AB871">
        <v>104</v>
      </c>
      <c r="AD871" t="s">
        <v>5741</v>
      </c>
      <c r="AE871">
        <v>20</v>
      </c>
      <c r="AF871">
        <v>1</v>
      </c>
      <c r="AG871">
        <v>0</v>
      </c>
      <c r="AH871">
        <v>95.31</v>
      </c>
      <c r="AK871" t="s">
        <v>10966</v>
      </c>
      <c r="AL871">
        <v>11904</v>
      </c>
      <c r="AR871">
        <v>0</v>
      </c>
      <c r="AT871" t="s">
        <v>11178</v>
      </c>
      <c r="AV871" t="s">
        <v>11231</v>
      </c>
      <c r="AW871" t="s">
        <v>6826</v>
      </c>
    </row>
    <row r="872" spans="1:49">
      <c r="A872" s="1">
        <f>HYPERLINK("https://lsnyc.legalserver.org/matter/dynamic-profile/view/1904626","19-1904626")</f>
        <v>0</v>
      </c>
      <c r="B872" t="s">
        <v>82</v>
      </c>
      <c r="C872" t="s">
        <v>835</v>
      </c>
      <c r="D872" t="s">
        <v>1657</v>
      </c>
      <c r="E872" t="s">
        <v>3906</v>
      </c>
      <c r="F872" t="s">
        <v>5389</v>
      </c>
      <c r="G872" t="s">
        <v>5637</v>
      </c>
      <c r="H872">
        <v>11226</v>
      </c>
      <c r="I872" t="s">
        <v>5695</v>
      </c>
      <c r="J872" t="s">
        <v>5696</v>
      </c>
      <c r="K872" t="s">
        <v>6033</v>
      </c>
      <c r="L872" t="s">
        <v>6714</v>
      </c>
      <c r="M872" t="s">
        <v>6734</v>
      </c>
      <c r="O872" t="s">
        <v>6755</v>
      </c>
      <c r="R872" t="s">
        <v>6793</v>
      </c>
      <c r="U872">
        <v>1497.5</v>
      </c>
      <c r="V872" t="s">
        <v>6835</v>
      </c>
      <c r="W872" t="s">
        <v>6840</v>
      </c>
      <c r="Y872" t="s">
        <v>7702</v>
      </c>
      <c r="AA872" t="s">
        <v>9757</v>
      </c>
      <c r="AB872">
        <v>61</v>
      </c>
      <c r="AE872">
        <v>4</v>
      </c>
      <c r="AF872">
        <v>1</v>
      </c>
      <c r="AG872">
        <v>0</v>
      </c>
      <c r="AH872">
        <v>0</v>
      </c>
      <c r="AK872" t="s">
        <v>10966</v>
      </c>
      <c r="AL872">
        <v>0</v>
      </c>
      <c r="AR872">
        <v>2</v>
      </c>
      <c r="AS872" t="s">
        <v>6820</v>
      </c>
      <c r="AT872" t="s">
        <v>11178</v>
      </c>
      <c r="AU872" t="s">
        <v>11228</v>
      </c>
      <c r="AV872" t="s">
        <v>11231</v>
      </c>
      <c r="AW872" t="s">
        <v>6809</v>
      </c>
    </row>
    <row r="873" spans="1:49">
      <c r="A873" s="1">
        <f>HYPERLINK("https://lsnyc.legalserver.org/matter/dynamic-profile/view/1903032","19-1903032")</f>
        <v>0</v>
      </c>
      <c r="B873" t="s">
        <v>233</v>
      </c>
      <c r="C873" t="s">
        <v>940</v>
      </c>
      <c r="D873" t="s">
        <v>2274</v>
      </c>
      <c r="E873" t="s">
        <v>3907</v>
      </c>
      <c r="F873">
        <v>521</v>
      </c>
      <c r="G873" t="s">
        <v>5637</v>
      </c>
      <c r="H873">
        <v>11226</v>
      </c>
      <c r="I873" t="s">
        <v>5696</v>
      </c>
      <c r="J873" t="s">
        <v>5696</v>
      </c>
      <c r="K873" t="s">
        <v>6034</v>
      </c>
      <c r="L873" t="s">
        <v>6714</v>
      </c>
      <c r="M873" t="s">
        <v>6734</v>
      </c>
      <c r="O873" t="s">
        <v>6755</v>
      </c>
      <c r="R873" t="s">
        <v>6793</v>
      </c>
      <c r="U873">
        <v>1095</v>
      </c>
      <c r="V873" t="s">
        <v>6835</v>
      </c>
      <c r="W873" t="s">
        <v>6840</v>
      </c>
      <c r="Y873" t="s">
        <v>7703</v>
      </c>
      <c r="AA873" t="s">
        <v>9758</v>
      </c>
      <c r="AB873">
        <v>100</v>
      </c>
      <c r="AD873" t="s">
        <v>10945</v>
      </c>
      <c r="AE873">
        <v>20</v>
      </c>
      <c r="AF873">
        <v>2</v>
      </c>
      <c r="AG873">
        <v>0</v>
      </c>
      <c r="AH873">
        <v>62.02</v>
      </c>
      <c r="AK873" t="s">
        <v>10966</v>
      </c>
      <c r="AL873">
        <v>10488</v>
      </c>
      <c r="AR873">
        <v>1.95</v>
      </c>
      <c r="AS873" t="s">
        <v>6821</v>
      </c>
      <c r="AT873" t="s">
        <v>11178</v>
      </c>
      <c r="AV873" t="s">
        <v>11231</v>
      </c>
      <c r="AW873" t="s">
        <v>11138</v>
      </c>
    </row>
    <row r="874" spans="1:49">
      <c r="A874" s="1">
        <f>HYPERLINK("https://lsnyc.legalserver.org/matter/dynamic-profile/view/1902770","19-1902770")</f>
        <v>0</v>
      </c>
      <c r="B874" t="s">
        <v>95</v>
      </c>
      <c r="C874" t="s">
        <v>759</v>
      </c>
      <c r="D874" t="s">
        <v>2275</v>
      </c>
      <c r="E874" t="s">
        <v>3900</v>
      </c>
      <c r="F874" t="s">
        <v>5134</v>
      </c>
      <c r="G874" t="s">
        <v>5637</v>
      </c>
      <c r="H874">
        <v>11221</v>
      </c>
      <c r="I874" t="s">
        <v>5695</v>
      </c>
      <c r="J874" t="s">
        <v>5696</v>
      </c>
      <c r="K874" t="s">
        <v>6035</v>
      </c>
      <c r="L874" t="s">
        <v>6714</v>
      </c>
      <c r="M874" t="s">
        <v>6734</v>
      </c>
      <c r="O874" t="s">
        <v>6755</v>
      </c>
      <c r="R874" t="s">
        <v>6794</v>
      </c>
      <c r="U874">
        <v>215</v>
      </c>
      <c r="V874" t="s">
        <v>6835</v>
      </c>
      <c r="W874" t="s">
        <v>6840</v>
      </c>
      <c r="Y874" t="s">
        <v>7704</v>
      </c>
      <c r="AA874" t="s">
        <v>9759</v>
      </c>
      <c r="AB874">
        <v>0</v>
      </c>
      <c r="AE874">
        <v>57</v>
      </c>
      <c r="AF874">
        <v>1</v>
      </c>
      <c r="AG874">
        <v>0</v>
      </c>
      <c r="AH874">
        <v>17.58</v>
      </c>
      <c r="AK874" t="s">
        <v>10966</v>
      </c>
      <c r="AL874">
        <v>2196</v>
      </c>
      <c r="AR874">
        <v>1.4</v>
      </c>
      <c r="AS874" t="s">
        <v>6816</v>
      </c>
      <c r="AT874" t="s">
        <v>11190</v>
      </c>
      <c r="AU874" t="s">
        <v>11228</v>
      </c>
      <c r="AV874" t="s">
        <v>11231</v>
      </c>
      <c r="AW874" t="s">
        <v>11133</v>
      </c>
    </row>
    <row r="875" spans="1:49">
      <c r="A875" s="1">
        <f>HYPERLINK("https://lsnyc.legalserver.org/matter/dynamic-profile/view/1902728","19-1902728")</f>
        <v>0</v>
      </c>
      <c r="B875" t="s">
        <v>215</v>
      </c>
      <c r="C875" t="s">
        <v>941</v>
      </c>
      <c r="D875" t="s">
        <v>1753</v>
      </c>
      <c r="E875" t="s">
        <v>3900</v>
      </c>
      <c r="F875" t="s">
        <v>5390</v>
      </c>
      <c r="G875" t="s">
        <v>5637</v>
      </c>
      <c r="H875">
        <v>11221</v>
      </c>
      <c r="I875" t="s">
        <v>5695</v>
      </c>
      <c r="J875" t="s">
        <v>5696</v>
      </c>
      <c r="K875" t="s">
        <v>6036</v>
      </c>
      <c r="L875" t="s">
        <v>6714</v>
      </c>
      <c r="M875" t="s">
        <v>6734</v>
      </c>
      <c r="O875" t="s">
        <v>6755</v>
      </c>
      <c r="R875" t="s">
        <v>6794</v>
      </c>
      <c r="U875">
        <v>624</v>
      </c>
      <c r="V875" t="s">
        <v>6835</v>
      </c>
      <c r="W875" t="s">
        <v>6840</v>
      </c>
      <c r="Y875" t="s">
        <v>7705</v>
      </c>
      <c r="AA875" t="s">
        <v>9760</v>
      </c>
      <c r="AB875">
        <v>120</v>
      </c>
      <c r="AE875">
        <v>2</v>
      </c>
      <c r="AF875">
        <v>1</v>
      </c>
      <c r="AG875">
        <v>0</v>
      </c>
      <c r="AH875">
        <v>208.17</v>
      </c>
      <c r="AK875" t="s">
        <v>10966</v>
      </c>
      <c r="AL875">
        <v>26000</v>
      </c>
      <c r="AR875">
        <v>0.5</v>
      </c>
      <c r="AS875" t="s">
        <v>11133</v>
      </c>
      <c r="AT875" t="s">
        <v>11190</v>
      </c>
      <c r="AU875" t="s">
        <v>11228</v>
      </c>
      <c r="AV875" t="s">
        <v>11231</v>
      </c>
      <c r="AW875" t="s">
        <v>11133</v>
      </c>
    </row>
    <row r="876" spans="1:49">
      <c r="A876" s="1">
        <f>HYPERLINK("https://lsnyc.legalserver.org/matter/dynamic-profile/view/1906146","19-1906146")</f>
        <v>0</v>
      </c>
      <c r="B876" t="s">
        <v>95</v>
      </c>
      <c r="C876" t="s">
        <v>608</v>
      </c>
      <c r="D876" t="s">
        <v>2276</v>
      </c>
      <c r="E876" t="s">
        <v>3908</v>
      </c>
      <c r="F876">
        <v>3</v>
      </c>
      <c r="G876" t="s">
        <v>5637</v>
      </c>
      <c r="H876">
        <v>11210</v>
      </c>
      <c r="I876" t="s">
        <v>5695</v>
      </c>
      <c r="J876" t="s">
        <v>5696</v>
      </c>
      <c r="K876" t="s">
        <v>6037</v>
      </c>
      <c r="L876" t="s">
        <v>6714</v>
      </c>
      <c r="M876" t="s">
        <v>6734</v>
      </c>
      <c r="O876" t="s">
        <v>6746</v>
      </c>
      <c r="P876" t="s">
        <v>5697</v>
      </c>
      <c r="R876" t="s">
        <v>6793</v>
      </c>
      <c r="U876">
        <v>1000</v>
      </c>
      <c r="V876" t="s">
        <v>6835</v>
      </c>
      <c r="W876" t="s">
        <v>6840</v>
      </c>
      <c r="Y876" t="s">
        <v>7706</v>
      </c>
      <c r="AA876" t="s">
        <v>9761</v>
      </c>
      <c r="AB876">
        <v>0</v>
      </c>
      <c r="AE876">
        <v>16</v>
      </c>
      <c r="AF876">
        <v>2</v>
      </c>
      <c r="AG876">
        <v>1</v>
      </c>
      <c r="AH876">
        <v>97.52</v>
      </c>
      <c r="AK876" t="s">
        <v>10966</v>
      </c>
      <c r="AL876">
        <v>20800</v>
      </c>
      <c r="AR876">
        <v>0</v>
      </c>
      <c r="AT876" t="s">
        <v>11197</v>
      </c>
      <c r="AU876" t="s">
        <v>11228</v>
      </c>
      <c r="AV876" t="s">
        <v>11231</v>
      </c>
      <c r="AW876" t="s">
        <v>6821</v>
      </c>
    </row>
    <row r="877" spans="1:49">
      <c r="A877" s="1">
        <f>HYPERLINK("https://lsnyc.legalserver.org/matter/dynamic-profile/view/1905341","19-1905341")</f>
        <v>0</v>
      </c>
      <c r="B877" t="s">
        <v>217</v>
      </c>
      <c r="C877" t="s">
        <v>379</v>
      </c>
      <c r="D877" t="s">
        <v>2277</v>
      </c>
      <c r="E877" t="s">
        <v>3909</v>
      </c>
      <c r="F877">
        <v>2</v>
      </c>
      <c r="G877" t="s">
        <v>5675</v>
      </c>
      <c r="H877">
        <v>11429</v>
      </c>
      <c r="I877" t="s">
        <v>5695</v>
      </c>
      <c r="J877" t="s">
        <v>5696</v>
      </c>
      <c r="K877" t="s">
        <v>6038</v>
      </c>
      <c r="L877" t="s">
        <v>6714</v>
      </c>
      <c r="M877" t="s">
        <v>6734</v>
      </c>
      <c r="O877" t="s">
        <v>6750</v>
      </c>
      <c r="P877" t="s">
        <v>5697</v>
      </c>
      <c r="R877" t="s">
        <v>6793</v>
      </c>
      <c r="U877">
        <v>1500</v>
      </c>
      <c r="V877" t="s">
        <v>6837</v>
      </c>
      <c r="W877" t="s">
        <v>6840</v>
      </c>
      <c r="Y877" t="s">
        <v>7707</v>
      </c>
      <c r="Z877" t="s">
        <v>8972</v>
      </c>
      <c r="AA877" t="s">
        <v>9762</v>
      </c>
      <c r="AB877">
        <v>2</v>
      </c>
      <c r="AC877" t="s">
        <v>10930</v>
      </c>
      <c r="AE877">
        <v>4</v>
      </c>
      <c r="AF877">
        <v>3</v>
      </c>
      <c r="AG877">
        <v>3</v>
      </c>
      <c r="AH877">
        <v>37.66</v>
      </c>
      <c r="AL877">
        <v>13025</v>
      </c>
      <c r="AR877">
        <v>1.53</v>
      </c>
      <c r="AS877" t="s">
        <v>6820</v>
      </c>
      <c r="AT877" t="s">
        <v>11184</v>
      </c>
      <c r="AU877" t="s">
        <v>11228</v>
      </c>
      <c r="AV877" t="s">
        <v>11231</v>
      </c>
      <c r="AW877" t="s">
        <v>6828</v>
      </c>
    </row>
    <row r="878" spans="1:49">
      <c r="A878" s="1">
        <f>HYPERLINK("https://lsnyc.legalserver.org/matter/dynamic-profile/view/1906255","19-1906255")</f>
        <v>0</v>
      </c>
      <c r="B878" t="s">
        <v>256</v>
      </c>
      <c r="C878" t="s">
        <v>695</v>
      </c>
      <c r="D878" t="s">
        <v>2174</v>
      </c>
      <c r="E878" t="s">
        <v>3910</v>
      </c>
      <c r="F878" t="s">
        <v>5391</v>
      </c>
      <c r="G878" t="s">
        <v>5669</v>
      </c>
      <c r="H878">
        <v>11104</v>
      </c>
      <c r="I878" t="s">
        <v>5695</v>
      </c>
      <c r="J878" t="s">
        <v>5696</v>
      </c>
      <c r="K878" t="s">
        <v>6039</v>
      </c>
      <c r="L878" t="s">
        <v>6714</v>
      </c>
      <c r="M878" t="s">
        <v>6734</v>
      </c>
      <c r="O878" t="s">
        <v>6750</v>
      </c>
      <c r="P878" t="s">
        <v>5695</v>
      </c>
      <c r="R878" t="s">
        <v>6793</v>
      </c>
      <c r="U878">
        <v>1645</v>
      </c>
      <c r="V878" t="s">
        <v>6837</v>
      </c>
      <c r="W878" t="s">
        <v>6840</v>
      </c>
      <c r="Y878" t="s">
        <v>7708</v>
      </c>
      <c r="AA878" t="s">
        <v>9763</v>
      </c>
      <c r="AB878">
        <v>70</v>
      </c>
      <c r="AC878" t="s">
        <v>10929</v>
      </c>
      <c r="AD878" t="s">
        <v>5741</v>
      </c>
      <c r="AE878">
        <v>2</v>
      </c>
      <c r="AF878">
        <v>1</v>
      </c>
      <c r="AG878">
        <v>0</v>
      </c>
      <c r="AH878">
        <v>0</v>
      </c>
      <c r="AK878" t="s">
        <v>10981</v>
      </c>
      <c r="AL878">
        <v>0</v>
      </c>
      <c r="AR878">
        <v>1.5</v>
      </c>
      <c r="AS878" t="s">
        <v>6827</v>
      </c>
      <c r="AT878" t="s">
        <v>11184</v>
      </c>
      <c r="AU878" t="s">
        <v>11228</v>
      </c>
      <c r="AV878" t="s">
        <v>11231</v>
      </c>
      <c r="AW878" t="s">
        <v>6821</v>
      </c>
    </row>
    <row r="879" spans="1:49">
      <c r="A879" s="1">
        <f>HYPERLINK("https://lsnyc.legalserver.org/matter/dynamic-profile/view/1902446","19-1902446")</f>
        <v>0</v>
      </c>
      <c r="B879" t="s">
        <v>257</v>
      </c>
      <c r="C879" t="s">
        <v>942</v>
      </c>
      <c r="D879" t="s">
        <v>1840</v>
      </c>
      <c r="E879" t="s">
        <v>3911</v>
      </c>
      <c r="F879" t="s">
        <v>5392</v>
      </c>
      <c r="G879" t="s">
        <v>5638</v>
      </c>
      <c r="H879">
        <v>10029</v>
      </c>
      <c r="I879" t="s">
        <v>5695</v>
      </c>
      <c r="J879" t="s">
        <v>5696</v>
      </c>
      <c r="K879" t="s">
        <v>6040</v>
      </c>
      <c r="L879" t="s">
        <v>6714</v>
      </c>
      <c r="M879" t="s">
        <v>6734</v>
      </c>
      <c r="O879" t="s">
        <v>6759</v>
      </c>
      <c r="P879" t="s">
        <v>5697</v>
      </c>
      <c r="R879" t="s">
        <v>6794</v>
      </c>
      <c r="U879">
        <v>223</v>
      </c>
      <c r="V879" t="s">
        <v>6836</v>
      </c>
      <c r="W879" t="s">
        <v>6840</v>
      </c>
      <c r="Y879" t="s">
        <v>7709</v>
      </c>
      <c r="Z879" t="s">
        <v>8973</v>
      </c>
      <c r="AA879" t="s">
        <v>9764</v>
      </c>
      <c r="AB879">
        <v>0</v>
      </c>
      <c r="AC879" t="s">
        <v>10931</v>
      </c>
      <c r="AD879" t="s">
        <v>5741</v>
      </c>
      <c r="AE879">
        <v>15</v>
      </c>
      <c r="AF879">
        <v>1</v>
      </c>
      <c r="AG879">
        <v>0</v>
      </c>
      <c r="AH879">
        <v>74.36</v>
      </c>
      <c r="AK879" t="s">
        <v>10966</v>
      </c>
      <c r="AL879">
        <v>9288</v>
      </c>
      <c r="AR879">
        <v>0</v>
      </c>
      <c r="AT879" t="s">
        <v>305</v>
      </c>
      <c r="AU879" t="s">
        <v>11229</v>
      </c>
      <c r="AV879" t="s">
        <v>11231</v>
      </c>
      <c r="AW879" t="s">
        <v>11117</v>
      </c>
    </row>
    <row r="880" spans="1:49">
      <c r="A880" s="1">
        <f>HYPERLINK("https://lsnyc.legalserver.org/matter/dynamic-profile/view/1903593","19-1903593")</f>
        <v>0</v>
      </c>
      <c r="B880" t="s">
        <v>256</v>
      </c>
      <c r="C880" t="s">
        <v>943</v>
      </c>
      <c r="D880" t="s">
        <v>2278</v>
      </c>
      <c r="E880" t="s">
        <v>3912</v>
      </c>
      <c r="F880" t="s">
        <v>5116</v>
      </c>
      <c r="G880" t="s">
        <v>5644</v>
      </c>
      <c r="H880">
        <v>11434</v>
      </c>
      <c r="I880" t="s">
        <v>5695</v>
      </c>
      <c r="J880" t="s">
        <v>5696</v>
      </c>
      <c r="K880" t="s">
        <v>6041</v>
      </c>
      <c r="L880" t="s">
        <v>6714</v>
      </c>
      <c r="M880" t="s">
        <v>6734</v>
      </c>
      <c r="O880" t="s">
        <v>6752</v>
      </c>
      <c r="R880" t="s">
        <v>6793</v>
      </c>
      <c r="U880">
        <v>214.1</v>
      </c>
      <c r="V880" t="s">
        <v>6837</v>
      </c>
      <c r="W880" t="s">
        <v>6839</v>
      </c>
      <c r="Y880" t="s">
        <v>7710</v>
      </c>
      <c r="AA880" t="s">
        <v>9765</v>
      </c>
      <c r="AB880">
        <v>0</v>
      </c>
      <c r="AD880" t="s">
        <v>5741</v>
      </c>
      <c r="AE880">
        <v>7</v>
      </c>
      <c r="AF880">
        <v>1</v>
      </c>
      <c r="AG880">
        <v>0</v>
      </c>
      <c r="AH880">
        <v>74.65000000000001</v>
      </c>
      <c r="AK880" t="s">
        <v>10966</v>
      </c>
      <c r="AL880">
        <v>9324</v>
      </c>
      <c r="AR880">
        <v>1.37</v>
      </c>
      <c r="AS880" t="s">
        <v>6827</v>
      </c>
      <c r="AT880" t="s">
        <v>11184</v>
      </c>
      <c r="AU880" t="s">
        <v>11228</v>
      </c>
      <c r="AV880" t="s">
        <v>11231</v>
      </c>
      <c r="AW880" t="s">
        <v>11147</v>
      </c>
    </row>
    <row r="881" spans="1:49">
      <c r="A881" s="1">
        <f>HYPERLINK("https://lsnyc.legalserver.org/matter/dynamic-profile/view/1903634","19-1903634")</f>
        <v>0</v>
      </c>
      <c r="B881" t="s">
        <v>184</v>
      </c>
      <c r="C881" t="s">
        <v>944</v>
      </c>
      <c r="D881" t="s">
        <v>2279</v>
      </c>
      <c r="E881" t="s">
        <v>3913</v>
      </c>
      <c r="F881" t="s">
        <v>5128</v>
      </c>
      <c r="G881" t="s">
        <v>5644</v>
      </c>
      <c r="H881">
        <v>11433</v>
      </c>
      <c r="I881" t="s">
        <v>5695</v>
      </c>
      <c r="J881" t="s">
        <v>5696</v>
      </c>
      <c r="K881" t="s">
        <v>6042</v>
      </c>
      <c r="L881" t="s">
        <v>6714</v>
      </c>
      <c r="M881" t="s">
        <v>6734</v>
      </c>
      <c r="O881" t="s">
        <v>6752</v>
      </c>
      <c r="R881" t="s">
        <v>6794</v>
      </c>
      <c r="T881" t="s">
        <v>6829</v>
      </c>
      <c r="U881">
        <v>980</v>
      </c>
      <c r="V881" t="s">
        <v>6837</v>
      </c>
      <c r="W881" t="s">
        <v>6839</v>
      </c>
      <c r="Y881" t="s">
        <v>7711</v>
      </c>
      <c r="AA881" t="s">
        <v>9766</v>
      </c>
      <c r="AB881">
        <v>0</v>
      </c>
      <c r="AC881" t="s">
        <v>10940</v>
      </c>
      <c r="AD881" t="s">
        <v>5741</v>
      </c>
      <c r="AE881">
        <v>2</v>
      </c>
      <c r="AF881">
        <v>2</v>
      </c>
      <c r="AG881">
        <v>0</v>
      </c>
      <c r="AH881">
        <v>0</v>
      </c>
      <c r="AK881" t="s">
        <v>10966</v>
      </c>
      <c r="AL881">
        <v>0</v>
      </c>
      <c r="AR881">
        <v>1.33</v>
      </c>
      <c r="AS881" t="s">
        <v>6813</v>
      </c>
      <c r="AT881" t="s">
        <v>11184</v>
      </c>
      <c r="AU881" t="s">
        <v>11228</v>
      </c>
      <c r="AV881" t="s">
        <v>11231</v>
      </c>
      <c r="AW881" t="s">
        <v>11144</v>
      </c>
    </row>
    <row r="882" spans="1:49">
      <c r="A882" s="1">
        <f>HYPERLINK("https://lsnyc.legalserver.org/matter/dynamic-profile/view/1898390","19-1898390")</f>
        <v>0</v>
      </c>
      <c r="B882" t="s">
        <v>197</v>
      </c>
      <c r="C882" t="s">
        <v>541</v>
      </c>
      <c r="D882" t="s">
        <v>2280</v>
      </c>
      <c r="E882" t="s">
        <v>3914</v>
      </c>
      <c r="F882" t="s">
        <v>5103</v>
      </c>
      <c r="G882" t="s">
        <v>5638</v>
      </c>
      <c r="H882">
        <v>10037</v>
      </c>
      <c r="I882" t="s">
        <v>5696</v>
      </c>
      <c r="J882" t="s">
        <v>5696</v>
      </c>
      <c r="K882" t="s">
        <v>6043</v>
      </c>
      <c r="L882" t="s">
        <v>6714</v>
      </c>
      <c r="M882" t="s">
        <v>6734</v>
      </c>
      <c r="O882" t="s">
        <v>6748</v>
      </c>
      <c r="R882" t="s">
        <v>6794</v>
      </c>
      <c r="U882">
        <v>1138</v>
      </c>
      <c r="V882" t="s">
        <v>6836</v>
      </c>
      <c r="Y882" t="s">
        <v>7712</v>
      </c>
      <c r="AA882" t="s">
        <v>9767</v>
      </c>
      <c r="AB882">
        <v>80</v>
      </c>
      <c r="AE882">
        <v>7</v>
      </c>
      <c r="AF882">
        <v>2</v>
      </c>
      <c r="AG882">
        <v>1</v>
      </c>
      <c r="AH882">
        <v>199.72</v>
      </c>
      <c r="AK882" t="s">
        <v>10966</v>
      </c>
      <c r="AL882">
        <v>42600</v>
      </c>
      <c r="AR882">
        <v>1</v>
      </c>
      <c r="AS882" t="s">
        <v>11141</v>
      </c>
      <c r="AT882" t="s">
        <v>11192</v>
      </c>
      <c r="AV882" t="s">
        <v>11231</v>
      </c>
      <c r="AW882" t="s">
        <v>11141</v>
      </c>
    </row>
    <row r="883" spans="1:49">
      <c r="A883" s="1">
        <f>HYPERLINK("https://lsnyc.legalserver.org/matter/dynamic-profile/view/1904544","19-1904544")</f>
        <v>0</v>
      </c>
      <c r="B883" t="s">
        <v>258</v>
      </c>
      <c r="C883" t="s">
        <v>945</v>
      </c>
      <c r="D883" t="s">
        <v>1762</v>
      </c>
      <c r="E883" t="s">
        <v>3915</v>
      </c>
      <c r="F883" t="s">
        <v>5097</v>
      </c>
      <c r="G883" t="s">
        <v>5638</v>
      </c>
      <c r="H883">
        <v>10009</v>
      </c>
      <c r="I883" t="s">
        <v>5695</v>
      </c>
      <c r="J883" t="s">
        <v>5696</v>
      </c>
      <c r="K883" t="s">
        <v>6044</v>
      </c>
      <c r="L883" t="s">
        <v>6714</v>
      </c>
      <c r="M883" t="s">
        <v>6734</v>
      </c>
      <c r="O883" t="s">
        <v>6759</v>
      </c>
      <c r="P883" t="s">
        <v>5697</v>
      </c>
      <c r="R883" t="s">
        <v>6794</v>
      </c>
      <c r="S883" t="s">
        <v>6801</v>
      </c>
      <c r="U883">
        <v>0</v>
      </c>
      <c r="V883" t="s">
        <v>6836</v>
      </c>
      <c r="W883" t="s">
        <v>6850</v>
      </c>
      <c r="Y883" t="s">
        <v>7233</v>
      </c>
      <c r="AA883" t="s">
        <v>9768</v>
      </c>
      <c r="AB883">
        <v>0</v>
      </c>
      <c r="AC883" t="s">
        <v>10931</v>
      </c>
      <c r="AD883" t="s">
        <v>5741</v>
      </c>
      <c r="AE883">
        <v>0</v>
      </c>
      <c r="AF883">
        <v>1</v>
      </c>
      <c r="AG883">
        <v>0</v>
      </c>
      <c r="AH883">
        <v>224.18</v>
      </c>
      <c r="AI883" t="s">
        <v>6816</v>
      </c>
      <c r="AJ883" t="s">
        <v>10963</v>
      </c>
      <c r="AK883" t="s">
        <v>10966</v>
      </c>
      <c r="AL883">
        <v>28000</v>
      </c>
      <c r="AR883">
        <v>3</v>
      </c>
      <c r="AS883" t="s">
        <v>6827</v>
      </c>
      <c r="AT883" t="s">
        <v>305</v>
      </c>
      <c r="AU883" t="s">
        <v>11228</v>
      </c>
      <c r="AV883" t="s">
        <v>11231</v>
      </c>
      <c r="AW883" t="s">
        <v>6810</v>
      </c>
    </row>
    <row r="884" spans="1:49">
      <c r="A884" s="1">
        <f>HYPERLINK("https://lsnyc.legalserver.org/matter/dynamic-profile/view/1901189","19-1901189")</f>
        <v>0</v>
      </c>
      <c r="B884" t="s">
        <v>244</v>
      </c>
      <c r="C884" t="s">
        <v>602</v>
      </c>
      <c r="D884" t="s">
        <v>2281</v>
      </c>
      <c r="E884" t="s">
        <v>3916</v>
      </c>
      <c r="F884" t="s">
        <v>5393</v>
      </c>
      <c r="G884" t="s">
        <v>5638</v>
      </c>
      <c r="H884">
        <v>10128</v>
      </c>
      <c r="I884" t="s">
        <v>5695</v>
      </c>
      <c r="J884" t="s">
        <v>5696</v>
      </c>
      <c r="K884" t="s">
        <v>6045</v>
      </c>
      <c r="L884" t="s">
        <v>6714</v>
      </c>
      <c r="M884" t="s">
        <v>6734</v>
      </c>
      <c r="O884" t="s">
        <v>6759</v>
      </c>
      <c r="P884" t="s">
        <v>5697</v>
      </c>
      <c r="R884" t="s">
        <v>6794</v>
      </c>
      <c r="U884">
        <v>488.1</v>
      </c>
      <c r="V884" t="s">
        <v>6836</v>
      </c>
      <c r="W884" t="s">
        <v>6840</v>
      </c>
      <c r="Y884" t="s">
        <v>7713</v>
      </c>
      <c r="Z884" t="s">
        <v>8974</v>
      </c>
      <c r="AA884" t="s">
        <v>9769</v>
      </c>
      <c r="AB884">
        <v>0</v>
      </c>
      <c r="AC884" t="s">
        <v>10931</v>
      </c>
      <c r="AD884" t="s">
        <v>5741</v>
      </c>
      <c r="AE884">
        <v>12</v>
      </c>
      <c r="AF884">
        <v>2</v>
      </c>
      <c r="AG884">
        <v>1</v>
      </c>
      <c r="AH884">
        <v>88.95</v>
      </c>
      <c r="AK884" t="s">
        <v>10967</v>
      </c>
      <c r="AL884">
        <v>18972</v>
      </c>
      <c r="AR884">
        <v>0.2</v>
      </c>
      <c r="AS884" t="s">
        <v>11161</v>
      </c>
      <c r="AT884" t="s">
        <v>11218</v>
      </c>
      <c r="AU884" t="s">
        <v>11229</v>
      </c>
      <c r="AV884" t="s">
        <v>11231</v>
      </c>
      <c r="AW884" t="s">
        <v>11162</v>
      </c>
    </row>
    <row r="885" spans="1:49">
      <c r="A885" s="1">
        <f>HYPERLINK("https://lsnyc.legalserver.org/matter/dynamic-profile/view/1905950","19-1905950")</f>
        <v>0</v>
      </c>
      <c r="B885" t="s">
        <v>245</v>
      </c>
      <c r="C885" t="s">
        <v>946</v>
      </c>
      <c r="D885" t="s">
        <v>1736</v>
      </c>
      <c r="E885" t="s">
        <v>3917</v>
      </c>
      <c r="F885" t="s">
        <v>5100</v>
      </c>
      <c r="G885" t="s">
        <v>5638</v>
      </c>
      <c r="H885">
        <v>10035</v>
      </c>
      <c r="I885" t="s">
        <v>5695</v>
      </c>
      <c r="J885" t="s">
        <v>5696</v>
      </c>
      <c r="K885" t="s">
        <v>6046</v>
      </c>
      <c r="L885" t="s">
        <v>6714</v>
      </c>
      <c r="M885" t="s">
        <v>6734</v>
      </c>
      <c r="O885" t="s">
        <v>6745</v>
      </c>
      <c r="P885" t="s">
        <v>5697</v>
      </c>
      <c r="R885" t="s">
        <v>6793</v>
      </c>
      <c r="S885" t="s">
        <v>6804</v>
      </c>
      <c r="U885">
        <v>1587</v>
      </c>
      <c r="V885" t="s">
        <v>6836</v>
      </c>
      <c r="W885" t="s">
        <v>6839</v>
      </c>
      <c r="Y885" t="s">
        <v>7714</v>
      </c>
      <c r="Z885" t="s">
        <v>8975</v>
      </c>
      <c r="AA885" t="s">
        <v>9770</v>
      </c>
      <c r="AB885">
        <v>0</v>
      </c>
      <c r="AC885" t="s">
        <v>10934</v>
      </c>
      <c r="AD885" t="s">
        <v>5741</v>
      </c>
      <c r="AE885">
        <v>5</v>
      </c>
      <c r="AF885">
        <v>1</v>
      </c>
      <c r="AG885">
        <v>0</v>
      </c>
      <c r="AH885">
        <v>83.39</v>
      </c>
      <c r="AK885" t="s">
        <v>10966</v>
      </c>
      <c r="AL885">
        <v>10416</v>
      </c>
      <c r="AR885">
        <v>0.1</v>
      </c>
      <c r="AS885" t="s">
        <v>6826</v>
      </c>
      <c r="AT885" t="s">
        <v>305</v>
      </c>
      <c r="AU885" t="s">
        <v>11228</v>
      </c>
      <c r="AV885" t="s">
        <v>11231</v>
      </c>
      <c r="AW885" t="s">
        <v>6826</v>
      </c>
    </row>
    <row r="886" spans="1:49">
      <c r="A886" s="1">
        <f>HYPERLINK("https://lsnyc.legalserver.org/matter/dynamic-profile/view/1904641","19-1904641")</f>
        <v>0</v>
      </c>
      <c r="B886" t="s">
        <v>212</v>
      </c>
      <c r="C886" t="s">
        <v>947</v>
      </c>
      <c r="D886" t="s">
        <v>441</v>
      </c>
      <c r="E886" t="s">
        <v>3918</v>
      </c>
      <c r="F886" t="s">
        <v>5154</v>
      </c>
      <c r="G886" t="s">
        <v>5638</v>
      </c>
      <c r="H886">
        <v>10033</v>
      </c>
      <c r="I886" t="s">
        <v>5695</v>
      </c>
      <c r="J886" t="s">
        <v>5696</v>
      </c>
      <c r="K886" t="s">
        <v>6047</v>
      </c>
      <c r="L886" t="s">
        <v>6714</v>
      </c>
      <c r="M886" t="s">
        <v>6734</v>
      </c>
      <c r="O886" t="s">
        <v>6759</v>
      </c>
      <c r="P886" t="s">
        <v>5697</v>
      </c>
      <c r="R886" t="s">
        <v>6793</v>
      </c>
      <c r="T886" t="s">
        <v>6809</v>
      </c>
      <c r="U886">
        <v>775</v>
      </c>
      <c r="V886" t="s">
        <v>6836</v>
      </c>
      <c r="W886" t="s">
        <v>6838</v>
      </c>
      <c r="Y886" t="s">
        <v>7715</v>
      </c>
      <c r="AA886" t="s">
        <v>9771</v>
      </c>
      <c r="AB886">
        <v>0</v>
      </c>
      <c r="AC886" t="s">
        <v>10931</v>
      </c>
      <c r="AD886" t="s">
        <v>5741</v>
      </c>
      <c r="AE886">
        <v>10</v>
      </c>
      <c r="AF886">
        <v>1</v>
      </c>
      <c r="AG886">
        <v>0</v>
      </c>
      <c r="AH886">
        <v>240.19</v>
      </c>
      <c r="AK886" t="s">
        <v>10966</v>
      </c>
      <c r="AL886">
        <v>30000</v>
      </c>
      <c r="AR886">
        <v>2.1</v>
      </c>
      <c r="AS886" t="s">
        <v>6823</v>
      </c>
      <c r="AT886" t="s">
        <v>11218</v>
      </c>
      <c r="AU886" t="s">
        <v>11228</v>
      </c>
      <c r="AV886" t="s">
        <v>11231</v>
      </c>
      <c r="AW886" t="s">
        <v>6809</v>
      </c>
    </row>
    <row r="887" spans="1:49">
      <c r="A887" s="1">
        <f>HYPERLINK("https://lsnyc.legalserver.org/matter/dynamic-profile/view/1902533","19-1902533")</f>
        <v>0</v>
      </c>
      <c r="B887" t="s">
        <v>195</v>
      </c>
      <c r="C887" t="s">
        <v>366</v>
      </c>
      <c r="D887" t="s">
        <v>2282</v>
      </c>
      <c r="E887" t="s">
        <v>3919</v>
      </c>
      <c r="F887" t="s">
        <v>5394</v>
      </c>
      <c r="G887" t="s">
        <v>5635</v>
      </c>
      <c r="H887">
        <v>10468</v>
      </c>
      <c r="I887" t="s">
        <v>5695</v>
      </c>
      <c r="J887" t="s">
        <v>5696</v>
      </c>
      <c r="K887" t="s">
        <v>6048</v>
      </c>
      <c r="L887" t="s">
        <v>6714</v>
      </c>
      <c r="M887" t="s">
        <v>6734</v>
      </c>
      <c r="O887" t="s">
        <v>6763</v>
      </c>
      <c r="P887" t="s">
        <v>5697</v>
      </c>
      <c r="R887" t="s">
        <v>6793</v>
      </c>
      <c r="S887" t="s">
        <v>6804</v>
      </c>
      <c r="U887">
        <v>1107.47</v>
      </c>
      <c r="V887" t="s">
        <v>6833</v>
      </c>
      <c r="W887" t="s">
        <v>6855</v>
      </c>
      <c r="Y887" t="s">
        <v>7624</v>
      </c>
      <c r="Z887">
        <v>58022651</v>
      </c>
      <c r="AA887" t="s">
        <v>9772</v>
      </c>
      <c r="AB887">
        <v>69</v>
      </c>
      <c r="AC887" t="s">
        <v>10929</v>
      </c>
      <c r="AD887" t="s">
        <v>6841</v>
      </c>
      <c r="AE887">
        <v>7</v>
      </c>
      <c r="AF887">
        <v>2</v>
      </c>
      <c r="AG887">
        <v>0</v>
      </c>
      <c r="AH887">
        <v>0</v>
      </c>
      <c r="AK887" t="s">
        <v>10966</v>
      </c>
      <c r="AL887">
        <v>0</v>
      </c>
      <c r="AR887">
        <v>1.25</v>
      </c>
      <c r="AS887" t="s">
        <v>11133</v>
      </c>
      <c r="AT887" t="s">
        <v>11176</v>
      </c>
      <c r="AU887" t="s">
        <v>11229</v>
      </c>
      <c r="AV887" t="s">
        <v>11231</v>
      </c>
      <c r="AW887" t="s">
        <v>11116</v>
      </c>
    </row>
    <row r="888" spans="1:49">
      <c r="A888" s="1">
        <f>HYPERLINK("https://lsnyc.legalserver.org/matter/dynamic-profile/view/1903985","19-1903985")</f>
        <v>0</v>
      </c>
      <c r="B888" t="s">
        <v>85</v>
      </c>
      <c r="C888" t="s">
        <v>412</v>
      </c>
      <c r="D888" t="s">
        <v>1815</v>
      </c>
      <c r="E888" t="s">
        <v>3280</v>
      </c>
      <c r="F888" t="s">
        <v>5205</v>
      </c>
      <c r="G888" t="s">
        <v>5637</v>
      </c>
      <c r="H888">
        <v>11218</v>
      </c>
      <c r="I888" t="s">
        <v>5696</v>
      </c>
      <c r="J888" t="s">
        <v>5696</v>
      </c>
      <c r="L888" t="s">
        <v>6714</v>
      </c>
      <c r="M888" t="s">
        <v>6734</v>
      </c>
      <c r="O888" t="s">
        <v>6754</v>
      </c>
      <c r="R888" t="s">
        <v>6793</v>
      </c>
      <c r="U888">
        <v>0</v>
      </c>
      <c r="V888" t="s">
        <v>6835</v>
      </c>
      <c r="Y888" t="s">
        <v>7076</v>
      </c>
      <c r="AA888" t="s">
        <v>9240</v>
      </c>
      <c r="AB888">
        <v>0</v>
      </c>
      <c r="AC888" t="s">
        <v>10929</v>
      </c>
      <c r="AD888" t="s">
        <v>10945</v>
      </c>
      <c r="AE888">
        <v>0</v>
      </c>
      <c r="AF888">
        <v>2</v>
      </c>
      <c r="AG888">
        <v>0</v>
      </c>
      <c r="AH888">
        <v>131.85</v>
      </c>
      <c r="AL888">
        <v>22296</v>
      </c>
      <c r="AR888">
        <v>3</v>
      </c>
      <c r="AS888" t="s">
        <v>6808</v>
      </c>
      <c r="AT888" t="s">
        <v>85</v>
      </c>
      <c r="AV888" t="s">
        <v>11231</v>
      </c>
      <c r="AW888" t="s">
        <v>6807</v>
      </c>
    </row>
    <row r="889" spans="1:49">
      <c r="A889" s="1">
        <f>HYPERLINK("https://lsnyc.legalserver.org/matter/dynamic-profile/view/1902817","19-1902817")</f>
        <v>0</v>
      </c>
      <c r="B889" t="s">
        <v>189</v>
      </c>
      <c r="C889" t="s">
        <v>948</v>
      </c>
      <c r="D889" t="s">
        <v>2283</v>
      </c>
      <c r="E889" t="s">
        <v>3920</v>
      </c>
      <c r="F889" t="s">
        <v>5278</v>
      </c>
      <c r="G889" t="s">
        <v>5644</v>
      </c>
      <c r="H889">
        <v>11434</v>
      </c>
      <c r="I889" t="s">
        <v>5695</v>
      </c>
      <c r="J889" t="s">
        <v>5696</v>
      </c>
      <c r="K889" t="s">
        <v>6049</v>
      </c>
      <c r="L889" t="s">
        <v>6714</v>
      </c>
      <c r="M889" t="s">
        <v>6734</v>
      </c>
      <c r="O889" t="s">
        <v>6752</v>
      </c>
      <c r="R889" t="s">
        <v>6793</v>
      </c>
      <c r="U889">
        <v>2175</v>
      </c>
      <c r="V889" t="s">
        <v>6837</v>
      </c>
      <c r="W889" t="s">
        <v>6840</v>
      </c>
      <c r="Y889" t="s">
        <v>7716</v>
      </c>
      <c r="Z889" t="s">
        <v>8976</v>
      </c>
      <c r="AA889" t="s">
        <v>9773</v>
      </c>
      <c r="AB889">
        <v>2</v>
      </c>
      <c r="AC889" t="s">
        <v>10930</v>
      </c>
      <c r="AD889" t="s">
        <v>5741</v>
      </c>
      <c r="AE889">
        <v>2</v>
      </c>
      <c r="AF889">
        <v>3</v>
      </c>
      <c r="AG889">
        <v>0</v>
      </c>
      <c r="AH889">
        <v>56.26</v>
      </c>
      <c r="AK889" t="s">
        <v>10966</v>
      </c>
      <c r="AL889">
        <v>12000</v>
      </c>
      <c r="AR889">
        <v>0.85</v>
      </c>
      <c r="AS889" t="s">
        <v>6827</v>
      </c>
      <c r="AT889" t="s">
        <v>11184</v>
      </c>
      <c r="AU889" t="s">
        <v>11228</v>
      </c>
      <c r="AV889" t="s">
        <v>11231</v>
      </c>
      <c r="AW889" t="s">
        <v>11133</v>
      </c>
    </row>
    <row r="890" spans="1:49">
      <c r="A890" s="1">
        <f>HYPERLINK("https://lsnyc.legalserver.org/matter/dynamic-profile/view/1905284","19-1905284")</f>
        <v>0</v>
      </c>
      <c r="B890" t="s">
        <v>90</v>
      </c>
      <c r="C890" t="s">
        <v>949</v>
      </c>
      <c r="D890" t="s">
        <v>2238</v>
      </c>
      <c r="E890" t="s">
        <v>3921</v>
      </c>
      <c r="F890" t="s">
        <v>5161</v>
      </c>
      <c r="G890" t="s">
        <v>5637</v>
      </c>
      <c r="H890">
        <v>11226</v>
      </c>
      <c r="I890" t="s">
        <v>5695</v>
      </c>
      <c r="J890" t="s">
        <v>5696</v>
      </c>
      <c r="K890" t="s">
        <v>6050</v>
      </c>
      <c r="L890" t="s">
        <v>6714</v>
      </c>
      <c r="M890" t="s">
        <v>6734</v>
      </c>
      <c r="O890" t="s">
        <v>6755</v>
      </c>
      <c r="R890" t="s">
        <v>6793</v>
      </c>
      <c r="U890">
        <v>1617.84</v>
      </c>
      <c r="V890" t="s">
        <v>6835</v>
      </c>
      <c r="W890" t="s">
        <v>6841</v>
      </c>
      <c r="Y890" t="s">
        <v>7717</v>
      </c>
      <c r="Z890" t="s">
        <v>8977</v>
      </c>
      <c r="AA890" t="s">
        <v>9774</v>
      </c>
      <c r="AB890">
        <v>36</v>
      </c>
      <c r="AE890">
        <v>8</v>
      </c>
      <c r="AF890">
        <v>2</v>
      </c>
      <c r="AG890">
        <v>1</v>
      </c>
      <c r="AH890">
        <v>199.83</v>
      </c>
      <c r="AK890" t="s">
        <v>10966</v>
      </c>
      <c r="AL890">
        <v>42623.1</v>
      </c>
      <c r="AR890">
        <v>1.1</v>
      </c>
      <c r="AS890" t="s">
        <v>6821</v>
      </c>
      <c r="AT890" t="s">
        <v>11190</v>
      </c>
      <c r="AU890" t="s">
        <v>11228</v>
      </c>
      <c r="AV890" t="s">
        <v>11231</v>
      </c>
      <c r="AW890" t="s">
        <v>6808</v>
      </c>
    </row>
    <row r="891" spans="1:49">
      <c r="A891" s="1">
        <f>HYPERLINK("https://lsnyc.legalserver.org/matter/dynamic-profile/view/1905501","19-1905501")</f>
        <v>0</v>
      </c>
      <c r="B891" t="s">
        <v>183</v>
      </c>
      <c r="C891" t="s">
        <v>950</v>
      </c>
      <c r="D891" t="s">
        <v>2284</v>
      </c>
      <c r="E891" t="s">
        <v>3922</v>
      </c>
      <c r="F891" t="s">
        <v>5298</v>
      </c>
      <c r="G891" t="s">
        <v>5635</v>
      </c>
      <c r="H891">
        <v>10460</v>
      </c>
      <c r="I891" t="s">
        <v>5695</v>
      </c>
      <c r="J891" t="s">
        <v>5696</v>
      </c>
      <c r="K891" t="s">
        <v>6051</v>
      </c>
      <c r="L891" t="s">
        <v>6714</v>
      </c>
      <c r="M891" t="s">
        <v>6734</v>
      </c>
      <c r="O891" t="s">
        <v>6747</v>
      </c>
      <c r="R891" t="s">
        <v>6793</v>
      </c>
      <c r="S891" t="s">
        <v>6804</v>
      </c>
      <c r="U891">
        <v>710</v>
      </c>
      <c r="V891" t="s">
        <v>6833</v>
      </c>
      <c r="W891" t="s">
        <v>6839</v>
      </c>
      <c r="Y891" t="s">
        <v>7718</v>
      </c>
      <c r="AA891" t="s">
        <v>9775</v>
      </c>
      <c r="AB891">
        <v>0</v>
      </c>
      <c r="AC891" t="s">
        <v>10934</v>
      </c>
      <c r="AE891">
        <v>4</v>
      </c>
      <c r="AF891">
        <v>1</v>
      </c>
      <c r="AG891">
        <v>2</v>
      </c>
      <c r="AH891">
        <v>17.44</v>
      </c>
      <c r="AK891" t="s">
        <v>10966</v>
      </c>
      <c r="AL891">
        <v>3720</v>
      </c>
      <c r="AR891">
        <v>0.7</v>
      </c>
      <c r="AS891" t="s">
        <v>6827</v>
      </c>
      <c r="AT891" t="s">
        <v>139</v>
      </c>
      <c r="AU891" t="s">
        <v>11228</v>
      </c>
      <c r="AV891" t="s">
        <v>11231</v>
      </c>
      <c r="AW891" t="s">
        <v>6822</v>
      </c>
    </row>
    <row r="892" spans="1:49">
      <c r="A892" s="1">
        <f>HYPERLINK("https://lsnyc.legalserver.org/matter/dynamic-profile/view/1898507","19-1898507")</f>
        <v>0</v>
      </c>
      <c r="B892" t="s">
        <v>170</v>
      </c>
      <c r="C892" t="s">
        <v>951</v>
      </c>
      <c r="D892" t="s">
        <v>1773</v>
      </c>
      <c r="E892" t="s">
        <v>3923</v>
      </c>
      <c r="F892" t="s">
        <v>5204</v>
      </c>
      <c r="G892" t="s">
        <v>5638</v>
      </c>
      <c r="H892">
        <v>10027</v>
      </c>
      <c r="I892" t="s">
        <v>5695</v>
      </c>
      <c r="J892" t="s">
        <v>5695</v>
      </c>
      <c r="K892" t="s">
        <v>6052</v>
      </c>
      <c r="L892" t="s">
        <v>6714</v>
      </c>
      <c r="M892" t="s">
        <v>6734</v>
      </c>
      <c r="O892" t="s">
        <v>6759</v>
      </c>
      <c r="P892" t="s">
        <v>5697</v>
      </c>
      <c r="R892" t="s">
        <v>6793</v>
      </c>
      <c r="S892" t="s">
        <v>6801</v>
      </c>
      <c r="U892">
        <v>886</v>
      </c>
      <c r="V892" t="s">
        <v>6836</v>
      </c>
      <c r="W892" t="s">
        <v>6839</v>
      </c>
      <c r="Y892" t="s">
        <v>7719</v>
      </c>
      <c r="AA892" t="s">
        <v>9776</v>
      </c>
      <c r="AB892">
        <v>0</v>
      </c>
      <c r="AC892" t="s">
        <v>8953</v>
      </c>
      <c r="AD892" t="s">
        <v>10944</v>
      </c>
      <c r="AE892">
        <v>27</v>
      </c>
      <c r="AF892">
        <v>1</v>
      </c>
      <c r="AG892">
        <v>3</v>
      </c>
      <c r="AH892">
        <v>204.27</v>
      </c>
      <c r="AK892" t="s">
        <v>10967</v>
      </c>
      <c r="AL892">
        <v>52600</v>
      </c>
      <c r="AR892">
        <v>4</v>
      </c>
      <c r="AS892" t="s">
        <v>6813</v>
      </c>
      <c r="AT892" t="s">
        <v>305</v>
      </c>
      <c r="AV892" t="s">
        <v>11231</v>
      </c>
      <c r="AW892" t="s">
        <v>11123</v>
      </c>
    </row>
    <row r="893" spans="1:49">
      <c r="A893" s="1">
        <f>HYPERLINK("https://lsnyc.legalserver.org/matter/dynamic-profile/view/1906245","19-1906245")</f>
        <v>0</v>
      </c>
      <c r="B893" t="s">
        <v>59</v>
      </c>
      <c r="C893" t="s">
        <v>952</v>
      </c>
      <c r="D893" t="s">
        <v>1762</v>
      </c>
      <c r="E893" t="s">
        <v>3924</v>
      </c>
      <c r="F893" t="s">
        <v>5395</v>
      </c>
      <c r="G893" t="s">
        <v>5674</v>
      </c>
      <c r="H893">
        <v>11373</v>
      </c>
      <c r="I893" t="s">
        <v>5695</v>
      </c>
      <c r="J893" t="s">
        <v>5696</v>
      </c>
      <c r="K893" t="s">
        <v>6053</v>
      </c>
      <c r="L893" t="s">
        <v>6714</v>
      </c>
      <c r="M893" t="s">
        <v>6734</v>
      </c>
      <c r="O893" t="s">
        <v>6752</v>
      </c>
      <c r="P893" t="s">
        <v>5695</v>
      </c>
      <c r="R893" t="s">
        <v>6793</v>
      </c>
      <c r="U893">
        <v>1850</v>
      </c>
      <c r="V893" t="s">
        <v>6837</v>
      </c>
      <c r="W893" t="s">
        <v>6840</v>
      </c>
      <c r="Y893" t="s">
        <v>7720</v>
      </c>
      <c r="AA893" t="s">
        <v>9777</v>
      </c>
      <c r="AB893">
        <v>164</v>
      </c>
      <c r="AC893" t="s">
        <v>8953</v>
      </c>
      <c r="AD893" t="s">
        <v>5741</v>
      </c>
      <c r="AE893">
        <v>2</v>
      </c>
      <c r="AF893">
        <v>2</v>
      </c>
      <c r="AG893">
        <v>0</v>
      </c>
      <c r="AH893">
        <v>129.15</v>
      </c>
      <c r="AK893" t="s">
        <v>10966</v>
      </c>
      <c r="AL893">
        <v>21840</v>
      </c>
      <c r="AR893">
        <v>1.5</v>
      </c>
      <c r="AS893" t="s">
        <v>6821</v>
      </c>
      <c r="AT893" t="s">
        <v>11184</v>
      </c>
      <c r="AU893" t="s">
        <v>11228</v>
      </c>
      <c r="AV893" t="s">
        <v>11231</v>
      </c>
      <c r="AW893" t="s">
        <v>6821</v>
      </c>
    </row>
    <row r="894" spans="1:49">
      <c r="A894" s="1">
        <f>HYPERLINK("https://lsnyc.legalserver.org/matter/dynamic-profile/view/1904912","19-1904912")</f>
        <v>0</v>
      </c>
      <c r="B894" t="s">
        <v>55</v>
      </c>
      <c r="C894" t="s">
        <v>953</v>
      </c>
      <c r="D894" t="s">
        <v>2285</v>
      </c>
      <c r="E894" t="s">
        <v>3925</v>
      </c>
      <c r="F894" t="s">
        <v>5396</v>
      </c>
      <c r="G894" t="s">
        <v>5638</v>
      </c>
      <c r="H894">
        <v>10026</v>
      </c>
      <c r="I894" t="s">
        <v>5695</v>
      </c>
      <c r="J894" t="s">
        <v>5696</v>
      </c>
      <c r="K894" t="s">
        <v>6054</v>
      </c>
      <c r="L894" t="s">
        <v>6714</v>
      </c>
      <c r="M894" t="s">
        <v>6734</v>
      </c>
      <c r="O894" t="s">
        <v>6749</v>
      </c>
      <c r="P894" t="s">
        <v>5697</v>
      </c>
      <c r="R894" t="s">
        <v>6793</v>
      </c>
      <c r="T894" t="s">
        <v>6812</v>
      </c>
      <c r="U894">
        <v>783</v>
      </c>
      <c r="V894" t="s">
        <v>6836</v>
      </c>
      <c r="W894" t="s">
        <v>6843</v>
      </c>
      <c r="Y894" t="s">
        <v>7721</v>
      </c>
      <c r="AA894" t="s">
        <v>9778</v>
      </c>
      <c r="AB894">
        <v>42</v>
      </c>
      <c r="AC894" t="s">
        <v>10938</v>
      </c>
      <c r="AD894" t="s">
        <v>10946</v>
      </c>
      <c r="AE894">
        <v>27</v>
      </c>
      <c r="AF894">
        <v>2</v>
      </c>
      <c r="AG894">
        <v>1</v>
      </c>
      <c r="AH894">
        <v>0</v>
      </c>
      <c r="AK894" t="s">
        <v>10967</v>
      </c>
      <c r="AL894">
        <v>0</v>
      </c>
      <c r="AR894">
        <v>3</v>
      </c>
      <c r="AS894" t="s">
        <v>6818</v>
      </c>
      <c r="AT894" t="s">
        <v>11218</v>
      </c>
      <c r="AU894" t="s">
        <v>11228</v>
      </c>
      <c r="AV894" t="s">
        <v>11231</v>
      </c>
      <c r="AW894" t="s">
        <v>6812</v>
      </c>
    </row>
    <row r="895" spans="1:49">
      <c r="A895" s="1">
        <f>HYPERLINK("https://lsnyc.legalserver.org/matter/dynamic-profile/view/1905952","19-1905952")</f>
        <v>0</v>
      </c>
      <c r="B895" t="s">
        <v>138</v>
      </c>
      <c r="C895" t="s">
        <v>954</v>
      </c>
      <c r="D895" t="s">
        <v>317</v>
      </c>
      <c r="E895" t="s">
        <v>3926</v>
      </c>
      <c r="F895" t="s">
        <v>5397</v>
      </c>
      <c r="G895" t="s">
        <v>5637</v>
      </c>
      <c r="H895">
        <v>11213</v>
      </c>
      <c r="I895" t="s">
        <v>5695</v>
      </c>
      <c r="J895" t="s">
        <v>5696</v>
      </c>
      <c r="K895" t="s">
        <v>6055</v>
      </c>
      <c r="L895" t="s">
        <v>6714</v>
      </c>
      <c r="M895" t="s">
        <v>6734</v>
      </c>
      <c r="O895" t="s">
        <v>6746</v>
      </c>
      <c r="R895" t="s">
        <v>6793</v>
      </c>
      <c r="U895">
        <v>450</v>
      </c>
      <c r="V895" t="s">
        <v>6835</v>
      </c>
      <c r="Y895" t="s">
        <v>7722</v>
      </c>
      <c r="AA895" t="s">
        <v>9779</v>
      </c>
      <c r="AB895">
        <v>18</v>
      </c>
      <c r="AD895" t="s">
        <v>10944</v>
      </c>
      <c r="AE895">
        <v>2</v>
      </c>
      <c r="AF895">
        <v>1</v>
      </c>
      <c r="AG895">
        <v>1</v>
      </c>
      <c r="AH895">
        <v>80.26000000000001</v>
      </c>
      <c r="AK895" t="s">
        <v>10966</v>
      </c>
      <c r="AL895">
        <v>13572</v>
      </c>
      <c r="AR895">
        <v>0</v>
      </c>
      <c r="AT895" t="s">
        <v>11190</v>
      </c>
      <c r="AU895" t="s">
        <v>11228</v>
      </c>
      <c r="AV895" t="s">
        <v>11231</v>
      </c>
      <c r="AW895" t="s">
        <v>6826</v>
      </c>
    </row>
    <row r="896" spans="1:49">
      <c r="A896" s="1">
        <f>HYPERLINK("https://lsnyc.legalserver.org/matter/dynamic-profile/view/1903640","19-1903640")</f>
        <v>0</v>
      </c>
      <c r="B896" t="s">
        <v>200</v>
      </c>
      <c r="C896" t="s">
        <v>955</v>
      </c>
      <c r="D896" t="s">
        <v>2286</v>
      </c>
      <c r="E896" t="s">
        <v>3927</v>
      </c>
      <c r="F896" t="s">
        <v>5398</v>
      </c>
      <c r="G896" t="s">
        <v>5644</v>
      </c>
      <c r="H896">
        <v>11434</v>
      </c>
      <c r="I896" t="s">
        <v>5695</v>
      </c>
      <c r="J896" t="s">
        <v>5696</v>
      </c>
      <c r="K896" t="s">
        <v>6056</v>
      </c>
      <c r="L896" t="s">
        <v>6714</v>
      </c>
      <c r="M896" t="s">
        <v>6734</v>
      </c>
      <c r="O896" t="s">
        <v>6752</v>
      </c>
      <c r="R896" t="s">
        <v>6794</v>
      </c>
      <c r="U896">
        <v>460</v>
      </c>
      <c r="V896" t="s">
        <v>6837</v>
      </c>
      <c r="W896" t="s">
        <v>6839</v>
      </c>
      <c r="Y896" t="s">
        <v>7723</v>
      </c>
      <c r="AA896" t="s">
        <v>9780</v>
      </c>
      <c r="AB896">
        <v>80</v>
      </c>
      <c r="AC896" t="s">
        <v>10940</v>
      </c>
      <c r="AE896">
        <v>1</v>
      </c>
      <c r="AF896">
        <v>2</v>
      </c>
      <c r="AG896">
        <v>2</v>
      </c>
      <c r="AH896">
        <v>82.72</v>
      </c>
      <c r="AK896" t="s">
        <v>10966</v>
      </c>
      <c r="AL896">
        <v>21300</v>
      </c>
      <c r="AR896">
        <v>0.6</v>
      </c>
      <c r="AS896" t="s">
        <v>6821</v>
      </c>
      <c r="AT896" t="s">
        <v>11184</v>
      </c>
      <c r="AU896" t="s">
        <v>11228</v>
      </c>
      <c r="AV896" t="s">
        <v>11231</v>
      </c>
      <c r="AW896" t="s">
        <v>11144</v>
      </c>
    </row>
    <row r="897" spans="1:49">
      <c r="A897" s="1">
        <f>HYPERLINK("https://lsnyc.legalserver.org/matter/dynamic-profile/view/1901090","19-1901090")</f>
        <v>0</v>
      </c>
      <c r="B897" t="s">
        <v>248</v>
      </c>
      <c r="C897" t="s">
        <v>956</v>
      </c>
      <c r="D897" t="s">
        <v>2221</v>
      </c>
      <c r="E897" t="s">
        <v>3928</v>
      </c>
      <c r="F897" t="s">
        <v>5228</v>
      </c>
      <c r="G897" t="s">
        <v>5662</v>
      </c>
      <c r="H897">
        <v>11368</v>
      </c>
      <c r="I897" t="s">
        <v>5695</v>
      </c>
      <c r="J897" t="s">
        <v>5696</v>
      </c>
      <c r="K897" t="s">
        <v>6057</v>
      </c>
      <c r="L897" t="s">
        <v>6714</v>
      </c>
      <c r="M897" t="s">
        <v>6734</v>
      </c>
      <c r="O897" t="s">
        <v>6750</v>
      </c>
      <c r="P897" t="s">
        <v>5697</v>
      </c>
      <c r="R897" t="s">
        <v>6793</v>
      </c>
      <c r="U897">
        <v>2066.54</v>
      </c>
      <c r="V897" t="s">
        <v>6837</v>
      </c>
      <c r="W897" t="s">
        <v>6840</v>
      </c>
      <c r="Y897" t="s">
        <v>7724</v>
      </c>
      <c r="Z897" t="s">
        <v>8978</v>
      </c>
      <c r="AA897" t="s">
        <v>9781</v>
      </c>
      <c r="AB897">
        <v>348</v>
      </c>
      <c r="AC897" t="s">
        <v>10930</v>
      </c>
      <c r="AD897" t="s">
        <v>5741</v>
      </c>
      <c r="AE897">
        <v>10</v>
      </c>
      <c r="AF897">
        <v>1</v>
      </c>
      <c r="AG897">
        <v>2</v>
      </c>
      <c r="AH897">
        <v>32.52</v>
      </c>
      <c r="AK897" t="s">
        <v>10966</v>
      </c>
      <c r="AL897">
        <v>6936</v>
      </c>
      <c r="AR897">
        <v>1</v>
      </c>
      <c r="AS897" t="s">
        <v>11143</v>
      </c>
      <c r="AT897" t="s">
        <v>11184</v>
      </c>
      <c r="AU897" t="s">
        <v>11228</v>
      </c>
      <c r="AV897" t="s">
        <v>11231</v>
      </c>
      <c r="AW897" t="s">
        <v>11143</v>
      </c>
    </row>
    <row r="898" spans="1:49">
      <c r="A898" s="1">
        <f>HYPERLINK("https://lsnyc.legalserver.org/matter/dynamic-profile/view/1906275","19-1906275")</f>
        <v>0</v>
      </c>
      <c r="B898" t="s">
        <v>95</v>
      </c>
      <c r="C898" t="s">
        <v>957</v>
      </c>
      <c r="D898" t="s">
        <v>2287</v>
      </c>
      <c r="E898" t="s">
        <v>3929</v>
      </c>
      <c r="F898">
        <v>525</v>
      </c>
      <c r="G898" t="s">
        <v>5637</v>
      </c>
      <c r="H898">
        <v>11249</v>
      </c>
      <c r="I898" t="s">
        <v>5696</v>
      </c>
      <c r="J898" t="s">
        <v>5696</v>
      </c>
      <c r="K898" t="s">
        <v>6058</v>
      </c>
      <c r="L898" t="s">
        <v>6714</v>
      </c>
      <c r="M898" t="s">
        <v>6734</v>
      </c>
      <c r="O898" t="s">
        <v>6755</v>
      </c>
      <c r="R898" t="s">
        <v>6793</v>
      </c>
      <c r="U898">
        <v>992</v>
      </c>
      <c r="V898" t="s">
        <v>6835</v>
      </c>
      <c r="W898" t="s">
        <v>6840</v>
      </c>
      <c r="Y898" t="s">
        <v>7725</v>
      </c>
      <c r="AA898" t="s">
        <v>9782</v>
      </c>
      <c r="AB898">
        <v>0</v>
      </c>
      <c r="AE898">
        <v>0</v>
      </c>
      <c r="AF898">
        <v>1</v>
      </c>
      <c r="AG898">
        <v>0</v>
      </c>
      <c r="AH898">
        <v>0</v>
      </c>
      <c r="AK898" t="s">
        <v>10976</v>
      </c>
      <c r="AL898">
        <v>0</v>
      </c>
      <c r="AR898">
        <v>0</v>
      </c>
      <c r="AT898" t="s">
        <v>11178</v>
      </c>
      <c r="AV898" t="s">
        <v>11231</v>
      </c>
      <c r="AW898" t="s">
        <v>6827</v>
      </c>
    </row>
    <row r="899" spans="1:49">
      <c r="A899" s="1">
        <f>HYPERLINK("https://lsnyc.legalserver.org/matter/dynamic-profile/view/1906250","19-1906250")</f>
        <v>0</v>
      </c>
      <c r="B899" t="s">
        <v>189</v>
      </c>
      <c r="C899" t="s">
        <v>958</v>
      </c>
      <c r="D899" t="s">
        <v>1696</v>
      </c>
      <c r="E899" t="s">
        <v>3930</v>
      </c>
      <c r="F899" t="s">
        <v>5139</v>
      </c>
      <c r="G899" t="s">
        <v>5670</v>
      </c>
      <c r="H899">
        <v>11101</v>
      </c>
      <c r="I899" t="s">
        <v>5695</v>
      </c>
      <c r="J899" t="s">
        <v>5696</v>
      </c>
      <c r="K899" t="s">
        <v>6059</v>
      </c>
      <c r="L899" t="s">
        <v>6714</v>
      </c>
      <c r="M899" t="s">
        <v>6734</v>
      </c>
      <c r="O899" t="s">
        <v>6750</v>
      </c>
      <c r="P899" t="s">
        <v>5695</v>
      </c>
      <c r="R899" t="s">
        <v>6793</v>
      </c>
      <c r="U899">
        <v>997</v>
      </c>
      <c r="V899" t="s">
        <v>6837</v>
      </c>
      <c r="W899" t="s">
        <v>6840</v>
      </c>
      <c r="Y899" t="s">
        <v>7726</v>
      </c>
      <c r="Z899" t="s">
        <v>8979</v>
      </c>
      <c r="AA899" t="s">
        <v>9783</v>
      </c>
      <c r="AB899">
        <v>60</v>
      </c>
      <c r="AC899" t="s">
        <v>8953</v>
      </c>
      <c r="AD899" t="s">
        <v>5741</v>
      </c>
      <c r="AE899">
        <v>22</v>
      </c>
      <c r="AF899">
        <v>2</v>
      </c>
      <c r="AG899">
        <v>0</v>
      </c>
      <c r="AH899">
        <v>118.27</v>
      </c>
      <c r="AL899">
        <v>20000</v>
      </c>
      <c r="AR899">
        <v>0.33</v>
      </c>
      <c r="AS899" t="s">
        <v>6821</v>
      </c>
      <c r="AT899" t="s">
        <v>11184</v>
      </c>
      <c r="AU899" t="s">
        <v>11228</v>
      </c>
      <c r="AV899" t="s">
        <v>11231</v>
      </c>
      <c r="AW899" t="s">
        <v>6821</v>
      </c>
    </row>
    <row r="900" spans="1:49">
      <c r="A900" s="1">
        <f>HYPERLINK("https://lsnyc.legalserver.org/matter/dynamic-profile/view/1904365","19-1904365")</f>
        <v>0</v>
      </c>
      <c r="B900" t="s">
        <v>248</v>
      </c>
      <c r="C900" t="s">
        <v>759</v>
      </c>
      <c r="D900" t="s">
        <v>2288</v>
      </c>
      <c r="E900" t="s">
        <v>3931</v>
      </c>
      <c r="F900" t="s">
        <v>5248</v>
      </c>
      <c r="G900" t="s">
        <v>5662</v>
      </c>
      <c r="H900">
        <v>11368</v>
      </c>
      <c r="I900" t="s">
        <v>5695</v>
      </c>
      <c r="J900" t="s">
        <v>5696</v>
      </c>
      <c r="K900" t="s">
        <v>6060</v>
      </c>
      <c r="L900" t="s">
        <v>6714</v>
      </c>
      <c r="M900" t="s">
        <v>6734</v>
      </c>
      <c r="O900" t="s">
        <v>6750</v>
      </c>
      <c r="P900" t="s">
        <v>5697</v>
      </c>
      <c r="R900" t="s">
        <v>6793</v>
      </c>
      <c r="S900" t="s">
        <v>6804</v>
      </c>
      <c r="T900" t="s">
        <v>6815</v>
      </c>
      <c r="U900">
        <v>819</v>
      </c>
      <c r="V900" t="s">
        <v>6837</v>
      </c>
      <c r="W900" t="s">
        <v>6839</v>
      </c>
      <c r="Y900" t="s">
        <v>7727</v>
      </c>
      <c r="AA900" t="s">
        <v>9784</v>
      </c>
      <c r="AB900">
        <v>10</v>
      </c>
      <c r="AC900" t="s">
        <v>10929</v>
      </c>
      <c r="AD900" t="s">
        <v>5741</v>
      </c>
      <c r="AE900">
        <v>35</v>
      </c>
      <c r="AF900">
        <v>1</v>
      </c>
      <c r="AG900">
        <v>0</v>
      </c>
      <c r="AH900">
        <v>116.64</v>
      </c>
      <c r="AK900" t="s">
        <v>10966</v>
      </c>
      <c r="AL900">
        <v>14568</v>
      </c>
      <c r="AR900">
        <v>2.5</v>
      </c>
      <c r="AS900" t="s">
        <v>6812</v>
      </c>
      <c r="AT900" t="s">
        <v>248</v>
      </c>
      <c r="AU900" t="s">
        <v>11228</v>
      </c>
      <c r="AV900" t="s">
        <v>11231</v>
      </c>
      <c r="AW900" t="s">
        <v>6815</v>
      </c>
    </row>
    <row r="901" spans="1:49">
      <c r="A901" s="1">
        <f>HYPERLINK("https://lsnyc.legalserver.org/matter/dynamic-profile/view/1903920","19-1903920")</f>
        <v>0</v>
      </c>
      <c r="B901" t="s">
        <v>63</v>
      </c>
      <c r="C901" t="s">
        <v>959</v>
      </c>
      <c r="D901" t="s">
        <v>2289</v>
      </c>
      <c r="E901" t="s">
        <v>3932</v>
      </c>
      <c r="F901" t="s">
        <v>5122</v>
      </c>
      <c r="G901" t="s">
        <v>5674</v>
      </c>
      <c r="H901">
        <v>11373</v>
      </c>
      <c r="I901" t="s">
        <v>5695</v>
      </c>
      <c r="J901" t="s">
        <v>5696</v>
      </c>
      <c r="K901" t="s">
        <v>6061</v>
      </c>
      <c r="L901" t="s">
        <v>6714</v>
      </c>
      <c r="M901" t="s">
        <v>6734</v>
      </c>
      <c r="O901" t="s">
        <v>6752</v>
      </c>
      <c r="P901" t="s">
        <v>5695</v>
      </c>
      <c r="R901" t="s">
        <v>6793</v>
      </c>
      <c r="S901" t="s">
        <v>6801</v>
      </c>
      <c r="U901">
        <v>890</v>
      </c>
      <c r="V901" t="s">
        <v>6837</v>
      </c>
      <c r="W901" t="s">
        <v>6840</v>
      </c>
      <c r="Y901" t="s">
        <v>7728</v>
      </c>
      <c r="AA901" t="s">
        <v>9785</v>
      </c>
      <c r="AB901">
        <v>100</v>
      </c>
      <c r="AC901" t="s">
        <v>10933</v>
      </c>
      <c r="AD901" t="s">
        <v>5741</v>
      </c>
      <c r="AE901">
        <v>23</v>
      </c>
      <c r="AF901">
        <v>2</v>
      </c>
      <c r="AG901">
        <v>0</v>
      </c>
      <c r="AH901">
        <v>0</v>
      </c>
      <c r="AK901" t="s">
        <v>10966</v>
      </c>
      <c r="AL901">
        <v>0</v>
      </c>
      <c r="AR901">
        <v>1.2</v>
      </c>
      <c r="AS901" t="s">
        <v>6822</v>
      </c>
      <c r="AT901" t="s">
        <v>11184</v>
      </c>
      <c r="AU901" t="s">
        <v>11228</v>
      </c>
      <c r="AV901" t="s">
        <v>11231</v>
      </c>
      <c r="AW901" t="s">
        <v>6807</v>
      </c>
    </row>
    <row r="902" spans="1:49">
      <c r="A902" s="1">
        <f>HYPERLINK("https://lsnyc.legalserver.org/matter/dynamic-profile/view/1894987","19-1894987")</f>
        <v>0</v>
      </c>
      <c r="B902" t="s">
        <v>51</v>
      </c>
      <c r="C902" t="s">
        <v>666</v>
      </c>
      <c r="D902" t="s">
        <v>2290</v>
      </c>
      <c r="E902" t="s">
        <v>3933</v>
      </c>
      <c r="F902" t="s">
        <v>5187</v>
      </c>
      <c r="G902" t="s">
        <v>5636</v>
      </c>
      <c r="H902">
        <v>10303</v>
      </c>
      <c r="I902" t="s">
        <v>5695</v>
      </c>
      <c r="J902" t="s">
        <v>5696</v>
      </c>
      <c r="K902" t="s">
        <v>6062</v>
      </c>
      <c r="L902" t="s">
        <v>6714</v>
      </c>
      <c r="M902" t="s">
        <v>6734</v>
      </c>
      <c r="O902" t="s">
        <v>6762</v>
      </c>
      <c r="P902" t="s">
        <v>5697</v>
      </c>
      <c r="R902" t="s">
        <v>6794</v>
      </c>
      <c r="S902" t="s">
        <v>6801</v>
      </c>
      <c r="U902">
        <v>462.62</v>
      </c>
      <c r="V902" t="s">
        <v>6834</v>
      </c>
      <c r="W902" t="s">
        <v>6839</v>
      </c>
      <c r="Y902" t="s">
        <v>7729</v>
      </c>
      <c r="AA902" t="s">
        <v>9786</v>
      </c>
      <c r="AB902">
        <v>0</v>
      </c>
      <c r="AC902" t="s">
        <v>10931</v>
      </c>
      <c r="AD902" t="s">
        <v>10944</v>
      </c>
      <c r="AE902">
        <v>20</v>
      </c>
      <c r="AF902">
        <v>2</v>
      </c>
      <c r="AG902">
        <v>2</v>
      </c>
      <c r="AH902">
        <v>210.6</v>
      </c>
      <c r="AK902" t="s">
        <v>10966</v>
      </c>
      <c r="AL902">
        <v>54230.4</v>
      </c>
      <c r="AR902">
        <v>10.15</v>
      </c>
      <c r="AS902" t="s">
        <v>6807</v>
      </c>
      <c r="AT902" t="s">
        <v>11220</v>
      </c>
      <c r="AU902" t="s">
        <v>11228</v>
      </c>
      <c r="AV902" t="s">
        <v>11231</v>
      </c>
      <c r="AW902" t="s">
        <v>11154</v>
      </c>
    </row>
    <row r="903" spans="1:49">
      <c r="A903" s="1">
        <f>HYPERLINK("https://lsnyc.legalserver.org/matter/dynamic-profile/view/1905353","19-1905353")</f>
        <v>0</v>
      </c>
      <c r="B903" t="s">
        <v>217</v>
      </c>
      <c r="C903" t="s">
        <v>388</v>
      </c>
      <c r="D903" t="s">
        <v>2291</v>
      </c>
      <c r="E903" t="s">
        <v>3934</v>
      </c>
      <c r="F903" t="s">
        <v>5109</v>
      </c>
      <c r="G903" t="s">
        <v>5662</v>
      </c>
      <c r="H903">
        <v>11368</v>
      </c>
      <c r="I903" t="s">
        <v>5695</v>
      </c>
      <c r="J903" t="s">
        <v>5696</v>
      </c>
      <c r="K903" t="s">
        <v>6063</v>
      </c>
      <c r="L903" t="s">
        <v>6714</v>
      </c>
      <c r="M903" t="s">
        <v>6734</v>
      </c>
      <c r="O903" t="s">
        <v>6750</v>
      </c>
      <c r="P903" t="s">
        <v>5697</v>
      </c>
      <c r="R903" t="s">
        <v>6793</v>
      </c>
      <c r="U903">
        <v>1400</v>
      </c>
      <c r="V903" t="s">
        <v>6837</v>
      </c>
      <c r="W903" t="s">
        <v>6840</v>
      </c>
      <c r="Y903" t="s">
        <v>7730</v>
      </c>
      <c r="AA903" t="s">
        <v>9787</v>
      </c>
      <c r="AB903">
        <v>3</v>
      </c>
      <c r="AC903" t="s">
        <v>8953</v>
      </c>
      <c r="AD903" t="s">
        <v>5741</v>
      </c>
      <c r="AE903">
        <v>6</v>
      </c>
      <c r="AF903">
        <v>1</v>
      </c>
      <c r="AG903">
        <v>0</v>
      </c>
      <c r="AH903">
        <v>0</v>
      </c>
      <c r="AL903">
        <v>0</v>
      </c>
      <c r="AR903">
        <v>1.5</v>
      </c>
      <c r="AS903" t="s">
        <v>6828</v>
      </c>
      <c r="AT903" t="s">
        <v>11184</v>
      </c>
      <c r="AU903" t="s">
        <v>11228</v>
      </c>
      <c r="AV903" t="s">
        <v>11231</v>
      </c>
      <c r="AW903" t="s">
        <v>6828</v>
      </c>
    </row>
    <row r="904" spans="1:49">
      <c r="A904" s="1">
        <f>HYPERLINK("https://lsnyc.legalserver.org/matter/dynamic-profile/view/1905345","19-1905345")</f>
        <v>0</v>
      </c>
      <c r="B904" t="s">
        <v>232</v>
      </c>
      <c r="C904" t="s">
        <v>960</v>
      </c>
      <c r="D904" t="s">
        <v>2292</v>
      </c>
      <c r="E904" t="s">
        <v>3935</v>
      </c>
      <c r="F904" t="s">
        <v>5204</v>
      </c>
      <c r="G904" t="s">
        <v>5653</v>
      </c>
      <c r="H904">
        <v>11374</v>
      </c>
      <c r="I904" t="s">
        <v>5695</v>
      </c>
      <c r="J904" t="s">
        <v>5696</v>
      </c>
      <c r="K904" t="s">
        <v>6064</v>
      </c>
      <c r="L904" t="s">
        <v>6714</v>
      </c>
      <c r="M904" t="s">
        <v>6734</v>
      </c>
      <c r="O904" t="s">
        <v>6745</v>
      </c>
      <c r="P904" t="s">
        <v>5695</v>
      </c>
      <c r="R904" t="s">
        <v>6793</v>
      </c>
      <c r="U904">
        <v>0</v>
      </c>
      <c r="V904" t="s">
        <v>6837</v>
      </c>
      <c r="W904" t="s">
        <v>6840</v>
      </c>
      <c r="Y904" t="s">
        <v>7731</v>
      </c>
      <c r="AA904" t="s">
        <v>9788</v>
      </c>
      <c r="AB904">
        <v>0</v>
      </c>
      <c r="AC904" t="s">
        <v>10933</v>
      </c>
      <c r="AD904" t="s">
        <v>5741</v>
      </c>
      <c r="AE904">
        <v>16</v>
      </c>
      <c r="AF904">
        <v>4</v>
      </c>
      <c r="AG904">
        <v>1</v>
      </c>
      <c r="AH904">
        <v>34.47</v>
      </c>
      <c r="AK904" t="s">
        <v>10966</v>
      </c>
      <c r="AL904">
        <v>10400</v>
      </c>
      <c r="AR904">
        <v>1.2</v>
      </c>
      <c r="AS904" t="s">
        <v>6820</v>
      </c>
      <c r="AT904" t="s">
        <v>11184</v>
      </c>
      <c r="AU904" t="s">
        <v>11228</v>
      </c>
      <c r="AV904" t="s">
        <v>11231</v>
      </c>
      <c r="AW904" t="s">
        <v>6828</v>
      </c>
    </row>
    <row r="905" spans="1:49">
      <c r="A905" s="1">
        <f>HYPERLINK("https://lsnyc.legalserver.org/matter/dynamic-profile/view/1898136","19-1898136")</f>
        <v>0</v>
      </c>
      <c r="B905" t="s">
        <v>182</v>
      </c>
      <c r="C905" t="s">
        <v>903</v>
      </c>
      <c r="D905" t="s">
        <v>2247</v>
      </c>
      <c r="E905" t="s">
        <v>3936</v>
      </c>
      <c r="G905" t="s">
        <v>5637</v>
      </c>
      <c r="H905">
        <v>11218</v>
      </c>
      <c r="I905" t="s">
        <v>5695</v>
      </c>
      <c r="J905" t="s">
        <v>5695</v>
      </c>
      <c r="K905" t="s">
        <v>6065</v>
      </c>
      <c r="L905" t="s">
        <v>6714</v>
      </c>
      <c r="M905" t="s">
        <v>6734</v>
      </c>
      <c r="O905" t="s">
        <v>6746</v>
      </c>
      <c r="P905" t="s">
        <v>5697</v>
      </c>
      <c r="R905" t="s">
        <v>6793</v>
      </c>
      <c r="U905">
        <v>0</v>
      </c>
      <c r="V905" t="s">
        <v>6835</v>
      </c>
      <c r="W905" t="s">
        <v>6854</v>
      </c>
      <c r="Y905" t="s">
        <v>7732</v>
      </c>
      <c r="AA905" t="s">
        <v>9789</v>
      </c>
      <c r="AB905">
        <v>0</v>
      </c>
      <c r="AE905">
        <v>0</v>
      </c>
      <c r="AF905">
        <v>1</v>
      </c>
      <c r="AG905">
        <v>0</v>
      </c>
      <c r="AH905">
        <v>96.08</v>
      </c>
      <c r="AK905" t="s">
        <v>10981</v>
      </c>
      <c r="AL905">
        <v>12000</v>
      </c>
      <c r="AR905">
        <v>0</v>
      </c>
      <c r="AT905" t="s">
        <v>11197</v>
      </c>
      <c r="AV905" t="s">
        <v>11231</v>
      </c>
      <c r="AW905" t="s">
        <v>10961</v>
      </c>
    </row>
    <row r="906" spans="1:49">
      <c r="A906" s="1">
        <f>HYPERLINK("https://lsnyc.legalserver.org/matter/dynamic-profile/view/1900986","19-1900986")</f>
        <v>0</v>
      </c>
      <c r="B906" t="s">
        <v>199</v>
      </c>
      <c r="C906" t="s">
        <v>961</v>
      </c>
      <c r="D906" t="s">
        <v>1718</v>
      </c>
      <c r="E906" t="s">
        <v>3937</v>
      </c>
      <c r="F906" t="s">
        <v>5204</v>
      </c>
      <c r="G906" t="s">
        <v>5635</v>
      </c>
      <c r="H906">
        <v>10472</v>
      </c>
      <c r="I906" t="s">
        <v>5695</v>
      </c>
      <c r="J906" t="s">
        <v>5696</v>
      </c>
      <c r="K906" t="s">
        <v>6066</v>
      </c>
      <c r="L906" t="s">
        <v>6714</v>
      </c>
      <c r="M906" t="s">
        <v>6734</v>
      </c>
      <c r="O906" t="s">
        <v>6747</v>
      </c>
      <c r="P906" t="s">
        <v>5697</v>
      </c>
      <c r="R906" t="s">
        <v>6793</v>
      </c>
      <c r="U906">
        <v>896</v>
      </c>
      <c r="V906" t="s">
        <v>6833</v>
      </c>
      <c r="W906" t="s">
        <v>6850</v>
      </c>
      <c r="Y906" t="s">
        <v>7733</v>
      </c>
      <c r="AA906" t="s">
        <v>9790</v>
      </c>
      <c r="AB906">
        <v>594</v>
      </c>
      <c r="AD906" t="s">
        <v>10944</v>
      </c>
      <c r="AE906">
        <v>10</v>
      </c>
      <c r="AF906">
        <v>2</v>
      </c>
      <c r="AG906">
        <v>0</v>
      </c>
      <c r="AH906">
        <v>146.68</v>
      </c>
      <c r="AK906" t="s">
        <v>10966</v>
      </c>
      <c r="AL906">
        <v>24804</v>
      </c>
      <c r="AR906">
        <v>6.2</v>
      </c>
      <c r="AS906" t="s">
        <v>6818</v>
      </c>
      <c r="AT906" t="s">
        <v>11196</v>
      </c>
      <c r="AU906" t="s">
        <v>11228</v>
      </c>
      <c r="AV906" t="s">
        <v>11231</v>
      </c>
      <c r="AW906" t="s">
        <v>11120</v>
      </c>
    </row>
    <row r="907" spans="1:49">
      <c r="A907" s="1">
        <f>HYPERLINK("https://lsnyc.legalserver.org/matter/dynamic-profile/view/1905987","19-1905987")</f>
        <v>0</v>
      </c>
      <c r="B907" t="s">
        <v>244</v>
      </c>
      <c r="C907" t="s">
        <v>962</v>
      </c>
      <c r="D907" t="s">
        <v>2239</v>
      </c>
      <c r="E907" t="s">
        <v>3938</v>
      </c>
      <c r="F907" t="s">
        <v>5280</v>
      </c>
      <c r="G907" t="s">
        <v>5638</v>
      </c>
      <c r="H907">
        <v>10037</v>
      </c>
      <c r="I907" t="s">
        <v>5695</v>
      </c>
      <c r="J907" t="s">
        <v>5696</v>
      </c>
      <c r="K907" t="s">
        <v>6067</v>
      </c>
      <c r="L907" t="s">
        <v>6714</v>
      </c>
      <c r="M907" t="s">
        <v>6734</v>
      </c>
      <c r="O907" t="s">
        <v>6759</v>
      </c>
      <c r="P907" t="s">
        <v>5697</v>
      </c>
      <c r="R907" t="s">
        <v>6794</v>
      </c>
      <c r="T907" t="s">
        <v>6826</v>
      </c>
      <c r="U907">
        <v>460</v>
      </c>
      <c r="V907" t="s">
        <v>6836</v>
      </c>
      <c r="W907" t="s">
        <v>6838</v>
      </c>
      <c r="Y907" t="s">
        <v>7734</v>
      </c>
      <c r="Z907" t="s">
        <v>8980</v>
      </c>
      <c r="AA907" t="s">
        <v>9791</v>
      </c>
      <c r="AB907">
        <v>0</v>
      </c>
      <c r="AC907" t="s">
        <v>10931</v>
      </c>
      <c r="AD907" t="s">
        <v>5741</v>
      </c>
      <c r="AE907">
        <v>21</v>
      </c>
      <c r="AF907">
        <v>4</v>
      </c>
      <c r="AG907">
        <v>2</v>
      </c>
      <c r="AH907">
        <v>20.32</v>
      </c>
      <c r="AK907" t="s">
        <v>10966</v>
      </c>
      <c r="AL907">
        <v>7030</v>
      </c>
      <c r="AR907">
        <v>0.1</v>
      </c>
      <c r="AS907" t="s">
        <v>6826</v>
      </c>
      <c r="AT907" t="s">
        <v>11218</v>
      </c>
      <c r="AU907" t="s">
        <v>11229</v>
      </c>
      <c r="AV907" t="s">
        <v>11231</v>
      </c>
      <c r="AW907" t="s">
        <v>6826</v>
      </c>
    </row>
    <row r="908" spans="1:49">
      <c r="A908" s="1">
        <f>HYPERLINK("https://lsnyc.legalserver.org/matter/dynamic-profile/view/1905233","19-1905233")</f>
        <v>0</v>
      </c>
      <c r="B908" t="s">
        <v>191</v>
      </c>
      <c r="C908" t="s">
        <v>963</v>
      </c>
      <c r="D908" t="s">
        <v>2293</v>
      </c>
      <c r="E908" t="s">
        <v>3939</v>
      </c>
      <c r="F908" t="s">
        <v>5399</v>
      </c>
      <c r="G908" t="s">
        <v>5639</v>
      </c>
      <c r="H908">
        <v>11693</v>
      </c>
      <c r="I908" t="s">
        <v>5695</v>
      </c>
      <c r="J908" t="s">
        <v>5696</v>
      </c>
      <c r="K908" t="s">
        <v>6068</v>
      </c>
      <c r="L908" t="s">
        <v>6714</v>
      </c>
      <c r="M908" t="s">
        <v>6734</v>
      </c>
      <c r="O908" t="s">
        <v>6750</v>
      </c>
      <c r="P908" t="s">
        <v>5697</v>
      </c>
      <c r="R908" t="s">
        <v>6794</v>
      </c>
      <c r="T908" t="s">
        <v>6808</v>
      </c>
      <c r="U908">
        <v>215</v>
      </c>
      <c r="V908" t="s">
        <v>6837</v>
      </c>
      <c r="W908" t="s">
        <v>6840</v>
      </c>
      <c r="Y908" t="s">
        <v>7735</v>
      </c>
      <c r="AA908" t="s">
        <v>9792</v>
      </c>
      <c r="AB908">
        <v>42</v>
      </c>
      <c r="AC908" t="s">
        <v>10931</v>
      </c>
      <c r="AD908" t="s">
        <v>5741</v>
      </c>
      <c r="AE908">
        <v>3</v>
      </c>
      <c r="AF908">
        <v>2</v>
      </c>
      <c r="AG908">
        <v>0</v>
      </c>
      <c r="AH908">
        <v>70.95999999999999</v>
      </c>
      <c r="AK908" t="s">
        <v>10966</v>
      </c>
      <c r="AL908">
        <v>12000</v>
      </c>
      <c r="AR908">
        <v>1</v>
      </c>
      <c r="AS908" t="s">
        <v>6808</v>
      </c>
      <c r="AT908" t="s">
        <v>11182</v>
      </c>
      <c r="AU908" t="s">
        <v>11228</v>
      </c>
      <c r="AV908" t="s">
        <v>11231</v>
      </c>
      <c r="AW908" t="s">
        <v>6808</v>
      </c>
    </row>
    <row r="909" spans="1:49">
      <c r="A909" s="1">
        <f>HYPERLINK("https://lsnyc.legalserver.org/matter/dynamic-profile/view/1904362","19-1904362")</f>
        <v>0</v>
      </c>
      <c r="B909" t="s">
        <v>136</v>
      </c>
      <c r="C909" t="s">
        <v>964</v>
      </c>
      <c r="D909" t="s">
        <v>2294</v>
      </c>
      <c r="E909" t="s">
        <v>3940</v>
      </c>
      <c r="G909" t="s">
        <v>5637</v>
      </c>
      <c r="H909">
        <v>11213</v>
      </c>
      <c r="I909" t="s">
        <v>5696</v>
      </c>
      <c r="J909" t="s">
        <v>5696</v>
      </c>
      <c r="K909" t="s">
        <v>6069</v>
      </c>
      <c r="L909" t="s">
        <v>6714</v>
      </c>
      <c r="M909" t="s">
        <v>6734</v>
      </c>
      <c r="O909" t="s">
        <v>6771</v>
      </c>
      <c r="P909" t="s">
        <v>5697</v>
      </c>
      <c r="R909" t="s">
        <v>6793</v>
      </c>
      <c r="U909">
        <v>241</v>
      </c>
      <c r="V909" t="s">
        <v>6835</v>
      </c>
      <c r="W909" t="s">
        <v>6840</v>
      </c>
      <c r="Y909" t="s">
        <v>7736</v>
      </c>
      <c r="AA909" t="s">
        <v>9793</v>
      </c>
      <c r="AB909">
        <v>0</v>
      </c>
      <c r="AC909" t="s">
        <v>10932</v>
      </c>
      <c r="AE909">
        <v>14</v>
      </c>
      <c r="AF909">
        <v>1</v>
      </c>
      <c r="AG909">
        <v>0</v>
      </c>
      <c r="AH909">
        <v>81.67</v>
      </c>
      <c r="AL909">
        <v>10200</v>
      </c>
      <c r="AR909">
        <v>0.5</v>
      </c>
      <c r="AS909" t="s">
        <v>6808</v>
      </c>
      <c r="AT909" t="s">
        <v>141</v>
      </c>
      <c r="AV909" t="s">
        <v>11231</v>
      </c>
      <c r="AW909" t="s">
        <v>6813</v>
      </c>
    </row>
    <row r="910" spans="1:49">
      <c r="A910" s="1">
        <f>HYPERLINK("https://lsnyc.legalserver.org/matter/dynamic-profile/view/1897360","19-1897360")</f>
        <v>0</v>
      </c>
      <c r="B910" t="s">
        <v>85</v>
      </c>
      <c r="C910" t="s">
        <v>965</v>
      </c>
      <c r="D910" t="s">
        <v>2295</v>
      </c>
      <c r="E910" t="s">
        <v>3941</v>
      </c>
      <c r="F910" t="s">
        <v>5400</v>
      </c>
      <c r="G910" t="s">
        <v>5637</v>
      </c>
      <c r="H910">
        <v>11218</v>
      </c>
      <c r="I910" t="s">
        <v>5696</v>
      </c>
      <c r="J910" t="s">
        <v>5696</v>
      </c>
      <c r="L910" t="s">
        <v>6714</v>
      </c>
      <c r="M910" t="s">
        <v>6734</v>
      </c>
      <c r="O910" t="s">
        <v>6754</v>
      </c>
      <c r="R910" t="s">
        <v>6793</v>
      </c>
      <c r="U910">
        <v>410</v>
      </c>
      <c r="V910" t="s">
        <v>6835</v>
      </c>
      <c r="Y910" t="s">
        <v>7737</v>
      </c>
      <c r="AA910" t="s">
        <v>9794</v>
      </c>
      <c r="AB910">
        <v>0</v>
      </c>
      <c r="AC910" t="s">
        <v>10929</v>
      </c>
      <c r="AD910" t="s">
        <v>10945</v>
      </c>
      <c r="AE910">
        <v>20</v>
      </c>
      <c r="AF910">
        <v>1</v>
      </c>
      <c r="AG910">
        <v>0</v>
      </c>
      <c r="AH910">
        <v>82.43000000000001</v>
      </c>
      <c r="AK910" t="s">
        <v>10969</v>
      </c>
      <c r="AL910">
        <v>10296</v>
      </c>
      <c r="AR910">
        <v>15.5</v>
      </c>
      <c r="AS910" t="s">
        <v>6810</v>
      </c>
      <c r="AT910" t="s">
        <v>85</v>
      </c>
      <c r="AV910" t="s">
        <v>11231</v>
      </c>
      <c r="AW910" t="s">
        <v>11145</v>
      </c>
    </row>
    <row r="911" spans="1:49">
      <c r="A911" s="1">
        <f>HYPERLINK("https://lsnyc.legalserver.org/matter/dynamic-profile/view/1903442","19-1903442")</f>
        <v>0</v>
      </c>
      <c r="B911" t="s">
        <v>142</v>
      </c>
      <c r="C911" t="s">
        <v>966</v>
      </c>
      <c r="D911" t="s">
        <v>1846</v>
      </c>
      <c r="E911" t="s">
        <v>3942</v>
      </c>
      <c r="F911" t="s">
        <v>5401</v>
      </c>
      <c r="G911" t="s">
        <v>5635</v>
      </c>
      <c r="H911">
        <v>10453</v>
      </c>
      <c r="I911" t="s">
        <v>5696</v>
      </c>
      <c r="J911" t="s">
        <v>5696</v>
      </c>
      <c r="K911" t="s">
        <v>6070</v>
      </c>
      <c r="L911" t="s">
        <v>6714</v>
      </c>
      <c r="M911" t="s">
        <v>6734</v>
      </c>
      <c r="O911" t="s">
        <v>6745</v>
      </c>
      <c r="R911" t="s">
        <v>6793</v>
      </c>
      <c r="U911">
        <v>300</v>
      </c>
      <c r="V911" t="s">
        <v>6833</v>
      </c>
      <c r="Y911" t="s">
        <v>7738</v>
      </c>
      <c r="AA911" t="s">
        <v>9795</v>
      </c>
      <c r="AB911">
        <v>80</v>
      </c>
      <c r="AE911">
        <v>14</v>
      </c>
      <c r="AF911">
        <v>1</v>
      </c>
      <c r="AG911">
        <v>0</v>
      </c>
      <c r="AH911">
        <v>70.14</v>
      </c>
      <c r="AK911" t="s">
        <v>10966</v>
      </c>
      <c r="AL911">
        <v>8760</v>
      </c>
      <c r="AR911">
        <v>2.2</v>
      </c>
      <c r="AS911" t="s">
        <v>6808</v>
      </c>
      <c r="AT911" t="s">
        <v>11181</v>
      </c>
      <c r="AV911" t="s">
        <v>11231</v>
      </c>
      <c r="AW911" t="s">
        <v>11136</v>
      </c>
    </row>
    <row r="912" spans="1:49">
      <c r="A912" s="1">
        <f>HYPERLINK("https://lsnyc.legalserver.org/matter/dynamic-profile/view/1903360","19-1903360")</f>
        <v>0</v>
      </c>
      <c r="B912" t="s">
        <v>245</v>
      </c>
      <c r="C912" t="s">
        <v>620</v>
      </c>
      <c r="D912" t="s">
        <v>2296</v>
      </c>
      <c r="E912" t="s">
        <v>3943</v>
      </c>
      <c r="F912" t="s">
        <v>5147</v>
      </c>
      <c r="G912" t="s">
        <v>5638</v>
      </c>
      <c r="H912">
        <v>10025</v>
      </c>
      <c r="I912" t="s">
        <v>5695</v>
      </c>
      <c r="J912" t="s">
        <v>5696</v>
      </c>
      <c r="K912" t="s">
        <v>6071</v>
      </c>
      <c r="L912" t="s">
        <v>6714</v>
      </c>
      <c r="M912" t="s">
        <v>6734</v>
      </c>
      <c r="O912" t="s">
        <v>6759</v>
      </c>
      <c r="P912" t="s">
        <v>5697</v>
      </c>
      <c r="R912" t="s">
        <v>6793</v>
      </c>
      <c r="S912" t="s">
        <v>6801</v>
      </c>
      <c r="U912">
        <v>1900</v>
      </c>
      <c r="V912" t="s">
        <v>6836</v>
      </c>
      <c r="W912" t="s">
        <v>6839</v>
      </c>
      <c r="Y912" t="s">
        <v>7739</v>
      </c>
      <c r="AA912" t="s">
        <v>9796</v>
      </c>
      <c r="AB912">
        <v>0</v>
      </c>
      <c r="AC912" t="s">
        <v>8953</v>
      </c>
      <c r="AD912" t="s">
        <v>5741</v>
      </c>
      <c r="AE912">
        <v>42</v>
      </c>
      <c r="AF912">
        <v>1</v>
      </c>
      <c r="AG912">
        <v>0</v>
      </c>
      <c r="AH912">
        <v>307.45</v>
      </c>
      <c r="AK912" t="s">
        <v>10966</v>
      </c>
      <c r="AL912">
        <v>38400</v>
      </c>
      <c r="AR912">
        <v>0</v>
      </c>
      <c r="AT912" t="s">
        <v>305</v>
      </c>
      <c r="AU912" t="s">
        <v>11228</v>
      </c>
      <c r="AV912" t="s">
        <v>11231</v>
      </c>
      <c r="AW912" t="s">
        <v>11136</v>
      </c>
    </row>
    <row r="913" spans="1:49">
      <c r="A913" s="1">
        <f>HYPERLINK("https://lsnyc.legalserver.org/matter/dynamic-profile/view/1901323","19-1901323")</f>
        <v>0</v>
      </c>
      <c r="B913" t="s">
        <v>124</v>
      </c>
      <c r="C913" t="s">
        <v>967</v>
      </c>
      <c r="D913" t="s">
        <v>2297</v>
      </c>
      <c r="E913" t="s">
        <v>3944</v>
      </c>
      <c r="F913">
        <v>4</v>
      </c>
      <c r="G913" t="s">
        <v>5637</v>
      </c>
      <c r="H913">
        <v>11220</v>
      </c>
      <c r="I913" t="s">
        <v>5696</v>
      </c>
      <c r="J913" t="s">
        <v>5696</v>
      </c>
      <c r="K913" t="s">
        <v>6072</v>
      </c>
      <c r="L913" t="s">
        <v>6714</v>
      </c>
      <c r="M913" t="s">
        <v>6734</v>
      </c>
      <c r="O913" t="s">
        <v>6746</v>
      </c>
      <c r="R913" t="s">
        <v>6793</v>
      </c>
      <c r="U913">
        <v>1068.5</v>
      </c>
      <c r="V913" t="s">
        <v>6835</v>
      </c>
      <c r="W913" t="s">
        <v>6843</v>
      </c>
      <c r="Y913" t="s">
        <v>7740</v>
      </c>
      <c r="AA913" t="s">
        <v>9797</v>
      </c>
      <c r="AB913">
        <v>6</v>
      </c>
      <c r="AC913" t="s">
        <v>10929</v>
      </c>
      <c r="AD913" t="s">
        <v>5741</v>
      </c>
      <c r="AE913">
        <v>24</v>
      </c>
      <c r="AF913">
        <v>2</v>
      </c>
      <c r="AG913">
        <v>2</v>
      </c>
      <c r="AH913">
        <v>77.67</v>
      </c>
      <c r="AK913" t="s">
        <v>10966</v>
      </c>
      <c r="AL913">
        <v>20000</v>
      </c>
      <c r="AR913">
        <v>5.1</v>
      </c>
      <c r="AS913" t="s">
        <v>6822</v>
      </c>
      <c r="AT913" t="s">
        <v>11178</v>
      </c>
      <c r="AV913" t="s">
        <v>11231</v>
      </c>
      <c r="AW913" t="s">
        <v>11148</v>
      </c>
    </row>
    <row r="914" spans="1:49">
      <c r="A914" s="1">
        <f>HYPERLINK("https://lsnyc.legalserver.org/matter/dynamic-profile/view/1902806","19-1902806")</f>
        <v>0</v>
      </c>
      <c r="B914" t="s">
        <v>256</v>
      </c>
      <c r="C914" t="s">
        <v>968</v>
      </c>
      <c r="D914" t="s">
        <v>710</v>
      </c>
      <c r="E914" t="s">
        <v>3945</v>
      </c>
      <c r="F914" t="s">
        <v>5176</v>
      </c>
      <c r="G914" t="s">
        <v>5644</v>
      </c>
      <c r="H914">
        <v>11433</v>
      </c>
      <c r="I914" t="s">
        <v>5695</v>
      </c>
      <c r="J914" t="s">
        <v>5696</v>
      </c>
      <c r="K914" t="s">
        <v>6073</v>
      </c>
      <c r="L914" t="s">
        <v>6714</v>
      </c>
      <c r="M914" t="s">
        <v>6734</v>
      </c>
      <c r="O914" t="s">
        <v>6752</v>
      </c>
      <c r="P914" t="s">
        <v>5695</v>
      </c>
      <c r="R914" t="s">
        <v>6794</v>
      </c>
      <c r="U914">
        <v>1237</v>
      </c>
      <c r="V914" t="s">
        <v>6837</v>
      </c>
      <c r="W914" t="s">
        <v>6840</v>
      </c>
      <c r="Y914" t="s">
        <v>7741</v>
      </c>
      <c r="AA914" t="s">
        <v>9798</v>
      </c>
      <c r="AB914">
        <v>9</v>
      </c>
      <c r="AD914" t="s">
        <v>5741</v>
      </c>
      <c r="AE914">
        <v>29</v>
      </c>
      <c r="AF914">
        <v>2</v>
      </c>
      <c r="AG914">
        <v>1</v>
      </c>
      <c r="AH914">
        <v>170.65</v>
      </c>
      <c r="AK914" t="s">
        <v>10966</v>
      </c>
      <c r="AL914">
        <v>36400</v>
      </c>
      <c r="AR914">
        <v>12.6</v>
      </c>
      <c r="AS914" t="s">
        <v>6823</v>
      </c>
      <c r="AT914" t="s">
        <v>11184</v>
      </c>
      <c r="AU914" t="s">
        <v>11228</v>
      </c>
      <c r="AV914" t="s">
        <v>11231</v>
      </c>
      <c r="AW914" t="s">
        <v>11133</v>
      </c>
    </row>
    <row r="915" spans="1:49">
      <c r="A915" s="1">
        <f>HYPERLINK("https://lsnyc.legalserver.org/matter/dynamic-profile/view/1904832","19-1904832")</f>
        <v>0</v>
      </c>
      <c r="B915" t="s">
        <v>64</v>
      </c>
      <c r="C915" t="s">
        <v>770</v>
      </c>
      <c r="D915" t="s">
        <v>1741</v>
      </c>
      <c r="E915" t="s">
        <v>3946</v>
      </c>
      <c r="F915" t="s">
        <v>5346</v>
      </c>
      <c r="G915" t="s">
        <v>5635</v>
      </c>
      <c r="H915">
        <v>10452</v>
      </c>
      <c r="I915" t="s">
        <v>5696</v>
      </c>
      <c r="J915" t="s">
        <v>5696</v>
      </c>
      <c r="K915" t="s">
        <v>6074</v>
      </c>
      <c r="L915" t="s">
        <v>6714</v>
      </c>
      <c r="M915" t="s">
        <v>6734</v>
      </c>
      <c r="O915" t="s">
        <v>6745</v>
      </c>
      <c r="P915" t="s">
        <v>5697</v>
      </c>
      <c r="R915" t="s">
        <v>6793</v>
      </c>
      <c r="S915" t="s">
        <v>6804</v>
      </c>
      <c r="U915">
        <v>952</v>
      </c>
      <c r="V915" t="s">
        <v>6833</v>
      </c>
      <c r="W915" t="s">
        <v>6843</v>
      </c>
      <c r="Y915" t="s">
        <v>7742</v>
      </c>
      <c r="AA915" t="s">
        <v>9799</v>
      </c>
      <c r="AB915">
        <v>15000</v>
      </c>
      <c r="AC915" t="s">
        <v>10929</v>
      </c>
      <c r="AD915" t="s">
        <v>10948</v>
      </c>
      <c r="AE915">
        <v>31</v>
      </c>
      <c r="AF915">
        <v>1</v>
      </c>
      <c r="AG915">
        <v>0</v>
      </c>
      <c r="AH915">
        <v>137.29</v>
      </c>
      <c r="AK915" t="s">
        <v>10966</v>
      </c>
      <c r="AL915">
        <v>17148</v>
      </c>
      <c r="AR915">
        <v>1</v>
      </c>
      <c r="AS915" t="s">
        <v>6816</v>
      </c>
      <c r="AT915" t="s">
        <v>11203</v>
      </c>
      <c r="AV915" t="s">
        <v>11231</v>
      </c>
      <c r="AW915" t="s">
        <v>6816</v>
      </c>
    </row>
    <row r="916" spans="1:49">
      <c r="A916" s="1">
        <f>HYPERLINK("https://lsnyc.legalserver.org/matter/dynamic-profile/view/1905813","19-1905813")</f>
        <v>0</v>
      </c>
      <c r="B916" t="s">
        <v>217</v>
      </c>
      <c r="C916" t="s">
        <v>785</v>
      </c>
      <c r="D916" t="s">
        <v>2298</v>
      </c>
      <c r="E916" t="s">
        <v>3947</v>
      </c>
      <c r="G916" t="s">
        <v>5673</v>
      </c>
      <c r="H916">
        <v>11420</v>
      </c>
      <c r="I916" t="s">
        <v>5695</v>
      </c>
      <c r="J916" t="s">
        <v>5696</v>
      </c>
      <c r="K916" t="s">
        <v>6075</v>
      </c>
      <c r="L916" t="s">
        <v>6714</v>
      </c>
      <c r="M916" t="s">
        <v>6734</v>
      </c>
      <c r="O916" t="s">
        <v>6750</v>
      </c>
      <c r="P916" t="s">
        <v>5697</v>
      </c>
      <c r="R916" t="s">
        <v>6793</v>
      </c>
      <c r="T916" t="s">
        <v>6824</v>
      </c>
      <c r="U916">
        <v>1956</v>
      </c>
      <c r="V916" t="s">
        <v>6837</v>
      </c>
      <c r="W916" t="s">
        <v>6840</v>
      </c>
      <c r="Y916" t="s">
        <v>7743</v>
      </c>
      <c r="Z916" t="s">
        <v>8981</v>
      </c>
      <c r="AA916" t="s">
        <v>9800</v>
      </c>
      <c r="AB916">
        <v>1</v>
      </c>
      <c r="AC916" t="s">
        <v>8953</v>
      </c>
      <c r="AD916" t="s">
        <v>10946</v>
      </c>
      <c r="AE916">
        <v>3</v>
      </c>
      <c r="AF916">
        <v>2</v>
      </c>
      <c r="AG916">
        <v>3</v>
      </c>
      <c r="AH916">
        <v>51.71</v>
      </c>
      <c r="AK916" t="s">
        <v>10966</v>
      </c>
      <c r="AL916">
        <v>15600</v>
      </c>
      <c r="AR916">
        <v>1.3</v>
      </c>
      <c r="AS916" t="s">
        <v>6824</v>
      </c>
      <c r="AT916" t="s">
        <v>11182</v>
      </c>
      <c r="AU916" t="s">
        <v>11228</v>
      </c>
      <c r="AV916" t="s">
        <v>11231</v>
      </c>
      <c r="AW916" t="s">
        <v>6824</v>
      </c>
    </row>
    <row r="917" spans="1:49">
      <c r="A917" s="1">
        <f>HYPERLINK("https://lsnyc.legalserver.org/matter/dynamic-profile/view/1905021","19-1905021")</f>
        <v>0</v>
      </c>
      <c r="B917" t="s">
        <v>60</v>
      </c>
      <c r="C917" t="s">
        <v>969</v>
      </c>
      <c r="D917" t="s">
        <v>2299</v>
      </c>
      <c r="E917" t="s">
        <v>3948</v>
      </c>
      <c r="F917" t="s">
        <v>5198</v>
      </c>
      <c r="G917" t="s">
        <v>5636</v>
      </c>
      <c r="H917">
        <v>10304</v>
      </c>
      <c r="I917" t="s">
        <v>5695</v>
      </c>
      <c r="J917" t="s">
        <v>5696</v>
      </c>
      <c r="K917" t="s">
        <v>5738</v>
      </c>
      <c r="L917" t="s">
        <v>6714</v>
      </c>
      <c r="M917" t="s">
        <v>6734</v>
      </c>
      <c r="O917" t="s">
        <v>6745</v>
      </c>
      <c r="P917" t="s">
        <v>5697</v>
      </c>
      <c r="R917" t="s">
        <v>6793</v>
      </c>
      <c r="S917" t="s">
        <v>6801</v>
      </c>
      <c r="T917" t="s">
        <v>6819</v>
      </c>
      <c r="U917">
        <v>463</v>
      </c>
      <c r="V917" t="s">
        <v>6834</v>
      </c>
      <c r="W917" t="s">
        <v>6843</v>
      </c>
      <c r="Y917" t="s">
        <v>7744</v>
      </c>
      <c r="AA917" t="s">
        <v>9801</v>
      </c>
      <c r="AB917">
        <v>131</v>
      </c>
      <c r="AC917" t="s">
        <v>10929</v>
      </c>
      <c r="AD917" t="s">
        <v>5741</v>
      </c>
      <c r="AE917">
        <v>8</v>
      </c>
      <c r="AF917">
        <v>2</v>
      </c>
      <c r="AG917">
        <v>1</v>
      </c>
      <c r="AH917">
        <v>156.02</v>
      </c>
      <c r="AK917" t="s">
        <v>10966</v>
      </c>
      <c r="AL917">
        <v>33279.96</v>
      </c>
      <c r="AR917">
        <v>1</v>
      </c>
      <c r="AS917" t="s">
        <v>6819</v>
      </c>
      <c r="AT917" t="s">
        <v>11177</v>
      </c>
      <c r="AU917" t="s">
        <v>11228</v>
      </c>
      <c r="AV917" t="s">
        <v>11231</v>
      </c>
      <c r="AW917" t="s">
        <v>6819</v>
      </c>
    </row>
    <row r="918" spans="1:49">
      <c r="A918" s="1">
        <f>HYPERLINK("https://lsnyc.legalserver.org/matter/dynamic-profile/view/1906101","19-1906101")</f>
        <v>0</v>
      </c>
      <c r="B918" t="s">
        <v>137</v>
      </c>
      <c r="C918" t="s">
        <v>970</v>
      </c>
      <c r="D918" t="s">
        <v>636</v>
      </c>
      <c r="E918" t="s">
        <v>3949</v>
      </c>
      <c r="F918" t="s">
        <v>5344</v>
      </c>
      <c r="G918" t="s">
        <v>5635</v>
      </c>
      <c r="H918">
        <v>10472</v>
      </c>
      <c r="I918" t="s">
        <v>5696</v>
      </c>
      <c r="J918" t="s">
        <v>5696</v>
      </c>
      <c r="K918" t="s">
        <v>6076</v>
      </c>
      <c r="L918" t="s">
        <v>6714</v>
      </c>
      <c r="M918" t="s">
        <v>6734</v>
      </c>
      <c r="O918" t="s">
        <v>6786</v>
      </c>
      <c r="P918" t="s">
        <v>5697</v>
      </c>
      <c r="R918" t="s">
        <v>6793</v>
      </c>
      <c r="U918">
        <v>1350</v>
      </c>
      <c r="V918" t="s">
        <v>6833</v>
      </c>
      <c r="Y918" t="s">
        <v>7745</v>
      </c>
      <c r="AA918" t="s">
        <v>9802</v>
      </c>
      <c r="AB918">
        <v>0</v>
      </c>
      <c r="AC918" t="s">
        <v>8953</v>
      </c>
      <c r="AD918" t="s">
        <v>10943</v>
      </c>
      <c r="AE918">
        <v>4</v>
      </c>
      <c r="AF918">
        <v>1</v>
      </c>
      <c r="AG918">
        <v>0</v>
      </c>
      <c r="AH918">
        <v>66.29000000000001</v>
      </c>
      <c r="AK918" t="s">
        <v>10966</v>
      </c>
      <c r="AL918">
        <v>8280</v>
      </c>
      <c r="AR918">
        <v>1.1</v>
      </c>
      <c r="AS918" t="s">
        <v>6820</v>
      </c>
      <c r="AT918" t="s">
        <v>11186</v>
      </c>
      <c r="AV918" t="s">
        <v>11231</v>
      </c>
      <c r="AW918" t="s">
        <v>6820</v>
      </c>
    </row>
    <row r="919" spans="1:49">
      <c r="A919" s="1">
        <f>HYPERLINK("https://lsnyc.legalserver.org/matter/dynamic-profile/view/1905315","19-1905315")</f>
        <v>0</v>
      </c>
      <c r="B919" t="s">
        <v>155</v>
      </c>
      <c r="C919" t="s">
        <v>971</v>
      </c>
      <c r="D919" t="s">
        <v>2300</v>
      </c>
      <c r="E919" t="s">
        <v>3950</v>
      </c>
      <c r="F919" t="s">
        <v>5402</v>
      </c>
      <c r="G919" t="s">
        <v>5637</v>
      </c>
      <c r="H919">
        <v>11208</v>
      </c>
      <c r="I919" t="s">
        <v>5695</v>
      </c>
      <c r="J919" t="s">
        <v>5696</v>
      </c>
      <c r="K919" t="s">
        <v>6077</v>
      </c>
      <c r="L919" t="s">
        <v>6714</v>
      </c>
      <c r="M919" t="s">
        <v>6734</v>
      </c>
      <c r="O919" t="s">
        <v>6745</v>
      </c>
      <c r="P919" t="s">
        <v>5697</v>
      </c>
      <c r="R919" t="s">
        <v>6793</v>
      </c>
      <c r="T919" t="s">
        <v>6808</v>
      </c>
      <c r="U919">
        <v>1146</v>
      </c>
      <c r="V919" t="s">
        <v>6835</v>
      </c>
      <c r="W919" t="s">
        <v>6852</v>
      </c>
      <c r="Y919" t="s">
        <v>7746</v>
      </c>
      <c r="AA919" t="s">
        <v>9803</v>
      </c>
      <c r="AB919">
        <v>294</v>
      </c>
      <c r="AC919" t="s">
        <v>10929</v>
      </c>
      <c r="AD919" t="s">
        <v>10944</v>
      </c>
      <c r="AE919">
        <v>4</v>
      </c>
      <c r="AF919">
        <v>1</v>
      </c>
      <c r="AG919">
        <v>0</v>
      </c>
      <c r="AH919">
        <v>230.58</v>
      </c>
      <c r="AK919" t="s">
        <v>10966</v>
      </c>
      <c r="AL919">
        <v>28800</v>
      </c>
      <c r="AR919">
        <v>0</v>
      </c>
      <c r="AT919" t="s">
        <v>11190</v>
      </c>
      <c r="AU919" t="s">
        <v>11228</v>
      </c>
      <c r="AV919" t="s">
        <v>11231</v>
      </c>
      <c r="AW919" t="s">
        <v>6808</v>
      </c>
    </row>
    <row r="920" spans="1:49">
      <c r="A920" s="1">
        <f>HYPERLINK("https://lsnyc.legalserver.org/matter/dynamic-profile/view/1896572","19-1896572")</f>
        <v>0</v>
      </c>
      <c r="B920" t="s">
        <v>99</v>
      </c>
      <c r="C920" t="s">
        <v>972</v>
      </c>
      <c r="D920" t="s">
        <v>2301</v>
      </c>
      <c r="E920" t="s">
        <v>3951</v>
      </c>
      <c r="F920" t="s">
        <v>5093</v>
      </c>
      <c r="G920" t="s">
        <v>5637</v>
      </c>
      <c r="H920">
        <v>11218</v>
      </c>
      <c r="I920" t="s">
        <v>5696</v>
      </c>
      <c r="J920" t="s">
        <v>5696</v>
      </c>
      <c r="K920" t="s">
        <v>6078</v>
      </c>
      <c r="L920" t="s">
        <v>6714</v>
      </c>
      <c r="M920" t="s">
        <v>6734</v>
      </c>
      <c r="O920" t="s">
        <v>6754</v>
      </c>
      <c r="R920" t="s">
        <v>6793</v>
      </c>
      <c r="U920">
        <v>899.87</v>
      </c>
      <c r="V920" t="s">
        <v>6835</v>
      </c>
      <c r="W920" t="s">
        <v>6854</v>
      </c>
      <c r="Y920" t="s">
        <v>7747</v>
      </c>
      <c r="AA920" t="s">
        <v>9804</v>
      </c>
      <c r="AB920">
        <v>96</v>
      </c>
      <c r="AC920" t="s">
        <v>8953</v>
      </c>
      <c r="AD920" t="s">
        <v>5741</v>
      </c>
      <c r="AE920">
        <v>25</v>
      </c>
      <c r="AF920">
        <v>1</v>
      </c>
      <c r="AG920">
        <v>0</v>
      </c>
      <c r="AH920">
        <v>76.48</v>
      </c>
      <c r="AK920" t="s">
        <v>10966</v>
      </c>
      <c r="AL920">
        <v>9552</v>
      </c>
      <c r="AR920">
        <v>15.5</v>
      </c>
      <c r="AS920" t="s">
        <v>6822</v>
      </c>
      <c r="AT920" t="s">
        <v>11184</v>
      </c>
      <c r="AV920" t="s">
        <v>11231</v>
      </c>
      <c r="AW920" t="s">
        <v>11154</v>
      </c>
    </row>
    <row r="921" spans="1:49">
      <c r="A921" s="1">
        <f>HYPERLINK("https://lsnyc.legalserver.org/matter/dynamic-profile/view/1898446","19-1898446")</f>
        <v>0</v>
      </c>
      <c r="B921" t="s">
        <v>68</v>
      </c>
      <c r="C921" t="s">
        <v>973</v>
      </c>
      <c r="D921" t="s">
        <v>2302</v>
      </c>
      <c r="E921" t="s">
        <v>3952</v>
      </c>
      <c r="F921" t="s">
        <v>5093</v>
      </c>
      <c r="G921" t="s">
        <v>5637</v>
      </c>
      <c r="H921">
        <v>11229</v>
      </c>
      <c r="I921" t="s">
        <v>5696</v>
      </c>
      <c r="J921" t="s">
        <v>5696</v>
      </c>
      <c r="K921" t="s">
        <v>6079</v>
      </c>
      <c r="L921" t="s">
        <v>6714</v>
      </c>
      <c r="M921" t="s">
        <v>6734</v>
      </c>
      <c r="O921" t="s">
        <v>6754</v>
      </c>
      <c r="R921" t="s">
        <v>6793</v>
      </c>
      <c r="U921">
        <v>0</v>
      </c>
      <c r="V921" t="s">
        <v>6835</v>
      </c>
      <c r="Y921" t="s">
        <v>7748</v>
      </c>
      <c r="AA921" t="s">
        <v>9805</v>
      </c>
      <c r="AB921">
        <v>0</v>
      </c>
      <c r="AE921">
        <v>57</v>
      </c>
      <c r="AF921">
        <v>1</v>
      </c>
      <c r="AG921">
        <v>0</v>
      </c>
      <c r="AH921">
        <v>893.51</v>
      </c>
      <c r="AK921" t="s">
        <v>10966</v>
      </c>
      <c r="AL921">
        <v>111600</v>
      </c>
      <c r="AR921">
        <v>8.5</v>
      </c>
      <c r="AS921" t="s">
        <v>6820</v>
      </c>
      <c r="AT921" t="s">
        <v>68</v>
      </c>
      <c r="AV921" t="s">
        <v>11231</v>
      </c>
      <c r="AW921" t="s">
        <v>11141</v>
      </c>
    </row>
    <row r="922" spans="1:49">
      <c r="A922" s="1">
        <f>HYPERLINK("https://lsnyc.legalserver.org/matter/dynamic-profile/view/1905130","19-1905130")</f>
        <v>0</v>
      </c>
      <c r="B922" t="s">
        <v>245</v>
      </c>
      <c r="C922" t="s">
        <v>974</v>
      </c>
      <c r="D922" t="s">
        <v>2303</v>
      </c>
      <c r="E922" t="s">
        <v>3953</v>
      </c>
      <c r="F922">
        <v>3</v>
      </c>
      <c r="G922" t="s">
        <v>5638</v>
      </c>
      <c r="H922">
        <v>10031</v>
      </c>
      <c r="I922" t="s">
        <v>5695</v>
      </c>
      <c r="J922" t="s">
        <v>5696</v>
      </c>
      <c r="K922" t="s">
        <v>6080</v>
      </c>
      <c r="L922" t="s">
        <v>6714</v>
      </c>
      <c r="M922" t="s">
        <v>6734</v>
      </c>
      <c r="O922" t="s">
        <v>6749</v>
      </c>
      <c r="P922" t="s">
        <v>5697</v>
      </c>
      <c r="R922" t="s">
        <v>6793</v>
      </c>
      <c r="S922" t="s">
        <v>6803</v>
      </c>
      <c r="T922" t="s">
        <v>6814</v>
      </c>
      <c r="U922">
        <v>837</v>
      </c>
      <c r="V922" t="s">
        <v>6836</v>
      </c>
      <c r="W922" t="s">
        <v>6839</v>
      </c>
      <c r="Y922" t="s">
        <v>7749</v>
      </c>
      <c r="AA922" t="s">
        <v>9806</v>
      </c>
      <c r="AB922">
        <v>4</v>
      </c>
      <c r="AC922" t="s">
        <v>10929</v>
      </c>
      <c r="AD922" t="s">
        <v>5741</v>
      </c>
      <c r="AE922">
        <v>17</v>
      </c>
      <c r="AF922">
        <v>1</v>
      </c>
      <c r="AG922">
        <v>0</v>
      </c>
      <c r="AH922">
        <v>80.06</v>
      </c>
      <c r="AK922" t="s">
        <v>10966</v>
      </c>
      <c r="AL922">
        <v>10000</v>
      </c>
      <c r="AR922">
        <v>0</v>
      </c>
      <c r="AT922" t="s">
        <v>305</v>
      </c>
      <c r="AU922" t="s">
        <v>11228</v>
      </c>
      <c r="AV922" t="s">
        <v>11231</v>
      </c>
      <c r="AW922" t="s">
        <v>6814</v>
      </c>
    </row>
    <row r="923" spans="1:49">
      <c r="A923" s="1">
        <f>HYPERLINK("https://lsnyc.legalserver.org/matter/dynamic-profile/view/1904579","19-1904579")</f>
        <v>0</v>
      </c>
      <c r="B923" t="s">
        <v>82</v>
      </c>
      <c r="C923" t="s">
        <v>975</v>
      </c>
      <c r="D923" t="s">
        <v>2304</v>
      </c>
      <c r="E923" t="s">
        <v>3954</v>
      </c>
      <c r="F923" t="s">
        <v>5344</v>
      </c>
      <c r="G923" t="s">
        <v>5637</v>
      </c>
      <c r="H923">
        <v>11216</v>
      </c>
      <c r="I923" t="s">
        <v>5695</v>
      </c>
      <c r="J923" t="s">
        <v>5696</v>
      </c>
      <c r="K923" t="s">
        <v>6081</v>
      </c>
      <c r="L923" t="s">
        <v>6714</v>
      </c>
      <c r="M923" t="s">
        <v>6734</v>
      </c>
      <c r="O923" t="s">
        <v>6755</v>
      </c>
      <c r="R923" t="s">
        <v>6793</v>
      </c>
      <c r="U923">
        <v>298</v>
      </c>
      <c r="V923" t="s">
        <v>6835</v>
      </c>
      <c r="Y923" t="s">
        <v>7750</v>
      </c>
      <c r="AA923" t="s">
        <v>9807</v>
      </c>
      <c r="AB923">
        <v>0</v>
      </c>
      <c r="AD923" t="s">
        <v>10944</v>
      </c>
      <c r="AE923">
        <v>6</v>
      </c>
      <c r="AF923">
        <v>1</v>
      </c>
      <c r="AG923">
        <v>2</v>
      </c>
      <c r="AH923">
        <v>97.52</v>
      </c>
      <c r="AL923">
        <v>20800</v>
      </c>
      <c r="AR923">
        <v>6.5</v>
      </c>
      <c r="AS923" t="s">
        <v>6820</v>
      </c>
      <c r="AT923" t="s">
        <v>11178</v>
      </c>
      <c r="AU923" t="s">
        <v>11228</v>
      </c>
      <c r="AV923" t="s">
        <v>11231</v>
      </c>
      <c r="AW923" t="s">
        <v>6810</v>
      </c>
    </row>
    <row r="924" spans="1:49">
      <c r="A924" s="1">
        <f>HYPERLINK("https://lsnyc.legalserver.org/matter/dynamic-profile/view/1905843","19-1905843")</f>
        <v>0</v>
      </c>
      <c r="B924" t="s">
        <v>259</v>
      </c>
      <c r="C924" t="s">
        <v>976</v>
      </c>
      <c r="D924" t="s">
        <v>1220</v>
      </c>
      <c r="E924" t="s">
        <v>3955</v>
      </c>
      <c r="F924" t="s">
        <v>5176</v>
      </c>
      <c r="G924" t="s">
        <v>5635</v>
      </c>
      <c r="H924">
        <v>10457</v>
      </c>
      <c r="I924" t="s">
        <v>5695</v>
      </c>
      <c r="J924" t="s">
        <v>5696</v>
      </c>
      <c r="K924" t="s">
        <v>6082</v>
      </c>
      <c r="L924" t="s">
        <v>6714</v>
      </c>
      <c r="M924" t="s">
        <v>6734</v>
      </c>
      <c r="O924" t="s">
        <v>6763</v>
      </c>
      <c r="P924" t="s">
        <v>5697</v>
      </c>
      <c r="R924" t="s">
        <v>6793</v>
      </c>
      <c r="S924" t="s">
        <v>6801</v>
      </c>
      <c r="U924">
        <v>972</v>
      </c>
      <c r="V924" t="s">
        <v>6833</v>
      </c>
      <c r="Y924" t="s">
        <v>7751</v>
      </c>
      <c r="AA924" t="s">
        <v>9808</v>
      </c>
      <c r="AB924">
        <v>55</v>
      </c>
      <c r="AE924">
        <v>10</v>
      </c>
      <c r="AF924">
        <v>1</v>
      </c>
      <c r="AG924">
        <v>0</v>
      </c>
      <c r="AH924">
        <v>208.17</v>
      </c>
      <c r="AK924" t="s">
        <v>10967</v>
      </c>
      <c r="AL924">
        <v>26000</v>
      </c>
      <c r="AR924">
        <v>0</v>
      </c>
      <c r="AT924" t="s">
        <v>288</v>
      </c>
      <c r="AU924" t="s">
        <v>11228</v>
      </c>
      <c r="AV924" t="s">
        <v>11231</v>
      </c>
      <c r="AW924" t="s">
        <v>6824</v>
      </c>
    </row>
    <row r="925" spans="1:49">
      <c r="A925" s="1">
        <f>HYPERLINK("https://lsnyc.legalserver.org/matter/dynamic-profile/view/1904645","19-1904645")</f>
        <v>0</v>
      </c>
      <c r="B925" t="s">
        <v>249</v>
      </c>
      <c r="C925" t="s">
        <v>977</v>
      </c>
      <c r="D925" t="s">
        <v>2305</v>
      </c>
      <c r="E925" t="s">
        <v>3956</v>
      </c>
      <c r="F925">
        <v>10</v>
      </c>
      <c r="G925" t="s">
        <v>5638</v>
      </c>
      <c r="H925">
        <v>10003</v>
      </c>
      <c r="I925" t="s">
        <v>5695</v>
      </c>
      <c r="J925" t="s">
        <v>5696</v>
      </c>
      <c r="K925" t="s">
        <v>6083</v>
      </c>
      <c r="L925" t="s">
        <v>6714</v>
      </c>
      <c r="M925" t="s">
        <v>6734</v>
      </c>
      <c r="O925" t="s">
        <v>6745</v>
      </c>
      <c r="P925" t="s">
        <v>5697</v>
      </c>
      <c r="R925" t="s">
        <v>6793</v>
      </c>
      <c r="T925" t="s">
        <v>6809</v>
      </c>
      <c r="U925">
        <v>651.63</v>
      </c>
      <c r="V925" t="s">
        <v>6836</v>
      </c>
      <c r="W925" t="s">
        <v>6840</v>
      </c>
      <c r="Y925" t="s">
        <v>7752</v>
      </c>
      <c r="AA925" t="s">
        <v>9809</v>
      </c>
      <c r="AB925">
        <v>0</v>
      </c>
      <c r="AC925" t="s">
        <v>10929</v>
      </c>
      <c r="AD925" t="s">
        <v>10945</v>
      </c>
      <c r="AE925">
        <v>43</v>
      </c>
      <c r="AF925">
        <v>1</v>
      </c>
      <c r="AG925">
        <v>0</v>
      </c>
      <c r="AH925">
        <v>149.93</v>
      </c>
      <c r="AK925" t="s">
        <v>10966</v>
      </c>
      <c r="AL925">
        <v>18726</v>
      </c>
      <c r="AR925">
        <v>2.2</v>
      </c>
      <c r="AS925" t="s">
        <v>6823</v>
      </c>
      <c r="AT925" t="s">
        <v>11218</v>
      </c>
      <c r="AU925" t="s">
        <v>11228</v>
      </c>
      <c r="AV925" t="s">
        <v>11231</v>
      </c>
      <c r="AW925" t="s">
        <v>6809</v>
      </c>
    </row>
    <row r="926" spans="1:49">
      <c r="A926" s="1">
        <f>HYPERLINK("https://lsnyc.legalserver.org/matter/dynamic-profile/view/1904457","19-1904457")</f>
        <v>0</v>
      </c>
      <c r="B926" t="s">
        <v>252</v>
      </c>
      <c r="C926" t="s">
        <v>978</v>
      </c>
      <c r="D926" t="s">
        <v>2306</v>
      </c>
      <c r="E926" t="s">
        <v>3957</v>
      </c>
      <c r="F926" t="s">
        <v>5354</v>
      </c>
      <c r="G926" t="s">
        <v>5638</v>
      </c>
      <c r="H926">
        <v>10025</v>
      </c>
      <c r="I926" t="s">
        <v>5695</v>
      </c>
      <c r="J926" t="s">
        <v>5696</v>
      </c>
      <c r="K926" t="s">
        <v>6084</v>
      </c>
      <c r="L926" t="s">
        <v>6714</v>
      </c>
      <c r="M926" t="s">
        <v>6734</v>
      </c>
      <c r="O926" t="s">
        <v>6749</v>
      </c>
      <c r="P926" t="s">
        <v>5697</v>
      </c>
      <c r="R926" t="s">
        <v>6793</v>
      </c>
      <c r="T926" t="s">
        <v>6815</v>
      </c>
      <c r="U926">
        <v>0</v>
      </c>
      <c r="V926" t="s">
        <v>6836</v>
      </c>
      <c r="W926" t="s">
        <v>6840</v>
      </c>
      <c r="Y926" t="s">
        <v>7753</v>
      </c>
      <c r="Z926" t="s">
        <v>8982</v>
      </c>
      <c r="AA926" t="s">
        <v>9810</v>
      </c>
      <c r="AB926">
        <v>0</v>
      </c>
      <c r="AC926" t="s">
        <v>8953</v>
      </c>
      <c r="AD926" t="s">
        <v>5741</v>
      </c>
      <c r="AE926">
        <v>35</v>
      </c>
      <c r="AF926">
        <v>1</v>
      </c>
      <c r="AG926">
        <v>0</v>
      </c>
      <c r="AH926">
        <v>84.06999999999999</v>
      </c>
      <c r="AK926" t="s">
        <v>10966</v>
      </c>
      <c r="AL926">
        <v>10500</v>
      </c>
      <c r="AR926">
        <v>1.2</v>
      </c>
      <c r="AS926" t="s">
        <v>6815</v>
      </c>
      <c r="AT926" t="s">
        <v>305</v>
      </c>
      <c r="AU926" t="s">
        <v>11229</v>
      </c>
      <c r="AV926" t="s">
        <v>11231</v>
      </c>
      <c r="AW926" t="s">
        <v>6815</v>
      </c>
    </row>
    <row r="927" spans="1:49">
      <c r="A927" s="1">
        <f>HYPERLINK("https://lsnyc.legalserver.org/matter/dynamic-profile/view/1903867","19-1903867")</f>
        <v>0</v>
      </c>
      <c r="B927" t="s">
        <v>243</v>
      </c>
      <c r="C927" t="s">
        <v>935</v>
      </c>
      <c r="D927" t="s">
        <v>2307</v>
      </c>
      <c r="E927" t="s">
        <v>3958</v>
      </c>
      <c r="F927">
        <v>14027</v>
      </c>
      <c r="G927" t="s">
        <v>5659</v>
      </c>
      <c r="H927">
        <v>11413</v>
      </c>
      <c r="I927" t="s">
        <v>5697</v>
      </c>
      <c r="J927" t="s">
        <v>5696</v>
      </c>
      <c r="K927" t="s">
        <v>6085</v>
      </c>
      <c r="L927" t="s">
        <v>6714</v>
      </c>
      <c r="M927" t="s">
        <v>6734</v>
      </c>
      <c r="O927" t="s">
        <v>6750</v>
      </c>
      <c r="P927" t="s">
        <v>5695</v>
      </c>
      <c r="R927" t="s">
        <v>6793</v>
      </c>
      <c r="U927">
        <v>1281</v>
      </c>
      <c r="V927" t="s">
        <v>6837</v>
      </c>
      <c r="W927" t="s">
        <v>6842</v>
      </c>
      <c r="Y927" t="s">
        <v>7754</v>
      </c>
      <c r="Z927" t="s">
        <v>5741</v>
      </c>
      <c r="AA927" t="s">
        <v>9811</v>
      </c>
      <c r="AB927">
        <v>56</v>
      </c>
      <c r="AC927" t="s">
        <v>10929</v>
      </c>
      <c r="AD927" t="s">
        <v>5741</v>
      </c>
      <c r="AE927">
        <v>35</v>
      </c>
      <c r="AF927">
        <v>3</v>
      </c>
      <c r="AG927">
        <v>2</v>
      </c>
      <c r="AH927">
        <v>149.15</v>
      </c>
      <c r="AK927" t="s">
        <v>10966</v>
      </c>
      <c r="AL927">
        <v>45000</v>
      </c>
      <c r="AR927">
        <v>7.5</v>
      </c>
      <c r="AS927" t="s">
        <v>6820</v>
      </c>
      <c r="AT927" t="s">
        <v>11184</v>
      </c>
      <c r="AU927" t="s">
        <v>11228</v>
      </c>
      <c r="AV927" t="s">
        <v>11231</v>
      </c>
      <c r="AW927" t="s">
        <v>6807</v>
      </c>
    </row>
    <row r="928" spans="1:49">
      <c r="A928" s="1">
        <f>HYPERLINK("https://lsnyc.legalserver.org/matter/dynamic-profile/view/1905765","19-1905765")</f>
        <v>0</v>
      </c>
      <c r="B928" t="s">
        <v>170</v>
      </c>
      <c r="C928" t="s">
        <v>335</v>
      </c>
      <c r="D928" t="s">
        <v>2308</v>
      </c>
      <c r="E928" t="s">
        <v>3959</v>
      </c>
      <c r="F928" t="s">
        <v>5167</v>
      </c>
      <c r="G928" t="s">
        <v>5638</v>
      </c>
      <c r="H928">
        <v>10026</v>
      </c>
      <c r="I928" t="s">
        <v>5695</v>
      </c>
      <c r="J928" t="s">
        <v>5696</v>
      </c>
      <c r="K928" t="s">
        <v>6086</v>
      </c>
      <c r="L928" t="s">
        <v>6714</v>
      </c>
      <c r="M928" t="s">
        <v>6734</v>
      </c>
      <c r="O928" t="s">
        <v>6759</v>
      </c>
      <c r="P928" t="s">
        <v>5697</v>
      </c>
      <c r="R928" t="s">
        <v>6793</v>
      </c>
      <c r="U928">
        <v>0</v>
      </c>
      <c r="V928" t="s">
        <v>6836</v>
      </c>
      <c r="W928" t="s">
        <v>6839</v>
      </c>
      <c r="Y928" t="s">
        <v>7755</v>
      </c>
      <c r="AA928" t="s">
        <v>9812</v>
      </c>
      <c r="AB928">
        <v>0</v>
      </c>
      <c r="AC928" t="s">
        <v>10929</v>
      </c>
      <c r="AD928" t="s">
        <v>5741</v>
      </c>
      <c r="AE928">
        <v>0</v>
      </c>
      <c r="AF928">
        <v>1</v>
      </c>
      <c r="AG928">
        <v>1</v>
      </c>
      <c r="AH928">
        <v>425.78</v>
      </c>
      <c r="AK928" t="s">
        <v>10966</v>
      </c>
      <c r="AL928">
        <v>72000</v>
      </c>
      <c r="AR928">
        <v>0</v>
      </c>
      <c r="AT928" t="s">
        <v>305</v>
      </c>
      <c r="AU928" t="s">
        <v>11228</v>
      </c>
      <c r="AV928" t="s">
        <v>11231</v>
      </c>
      <c r="AW928" t="s">
        <v>6823</v>
      </c>
    </row>
    <row r="929" spans="1:49">
      <c r="A929" s="1">
        <f>HYPERLINK("https://lsnyc.legalserver.org/matter/dynamic-profile/view/1897424","19-1897424")</f>
        <v>0</v>
      </c>
      <c r="B929" t="s">
        <v>85</v>
      </c>
      <c r="C929" t="s">
        <v>734</v>
      </c>
      <c r="D929" t="s">
        <v>397</v>
      </c>
      <c r="E929" t="s">
        <v>3960</v>
      </c>
      <c r="F929" t="s">
        <v>5224</v>
      </c>
      <c r="G929" t="s">
        <v>5637</v>
      </c>
      <c r="H929">
        <v>11235</v>
      </c>
      <c r="I929" t="s">
        <v>5696</v>
      </c>
      <c r="J929" t="s">
        <v>5696</v>
      </c>
      <c r="L929" t="s">
        <v>6714</v>
      </c>
      <c r="M929" t="s">
        <v>6734</v>
      </c>
      <c r="O929" t="s">
        <v>6754</v>
      </c>
      <c r="R929" t="s">
        <v>6793</v>
      </c>
      <c r="U929">
        <v>0</v>
      </c>
      <c r="V929" t="s">
        <v>6835</v>
      </c>
      <c r="Y929" t="s">
        <v>7756</v>
      </c>
      <c r="AA929" t="s">
        <v>9813</v>
      </c>
      <c r="AB929">
        <v>0</v>
      </c>
      <c r="AC929" t="s">
        <v>10929</v>
      </c>
      <c r="AE929">
        <v>0</v>
      </c>
      <c r="AF929">
        <v>1</v>
      </c>
      <c r="AG929">
        <v>0</v>
      </c>
      <c r="AH929">
        <v>82.63</v>
      </c>
      <c r="AK929" t="s">
        <v>10969</v>
      </c>
      <c r="AL929">
        <v>10320</v>
      </c>
      <c r="AR929">
        <v>3</v>
      </c>
      <c r="AS929" t="s">
        <v>11129</v>
      </c>
      <c r="AT929" t="s">
        <v>85</v>
      </c>
      <c r="AV929" t="s">
        <v>11231</v>
      </c>
      <c r="AW929" t="s">
        <v>11165</v>
      </c>
    </row>
    <row r="930" spans="1:49">
      <c r="A930" s="1">
        <f>HYPERLINK("https://lsnyc.legalserver.org/matter/dynamic-profile/view/1904495","19-1904495")</f>
        <v>0</v>
      </c>
      <c r="B930" t="s">
        <v>200</v>
      </c>
      <c r="C930" t="s">
        <v>979</v>
      </c>
      <c r="D930" t="s">
        <v>2309</v>
      </c>
      <c r="E930" t="s">
        <v>3961</v>
      </c>
      <c r="F930" t="s">
        <v>5162</v>
      </c>
      <c r="G930" t="s">
        <v>5650</v>
      </c>
      <c r="H930">
        <v>11365</v>
      </c>
      <c r="I930" t="s">
        <v>5695</v>
      </c>
      <c r="J930" t="s">
        <v>5696</v>
      </c>
      <c r="K930" t="s">
        <v>6087</v>
      </c>
      <c r="L930" t="s">
        <v>6714</v>
      </c>
      <c r="M930" t="s">
        <v>6734</v>
      </c>
      <c r="O930" t="s">
        <v>6750</v>
      </c>
      <c r="P930" t="s">
        <v>5697</v>
      </c>
      <c r="R930" t="s">
        <v>6794</v>
      </c>
      <c r="T930" t="s">
        <v>6810</v>
      </c>
      <c r="U930">
        <v>263</v>
      </c>
      <c r="V930" t="s">
        <v>6837</v>
      </c>
      <c r="W930" t="s">
        <v>6840</v>
      </c>
      <c r="Y930" t="s">
        <v>7757</v>
      </c>
      <c r="Z930" t="s">
        <v>8983</v>
      </c>
      <c r="AA930" t="s">
        <v>9814</v>
      </c>
      <c r="AB930">
        <v>28</v>
      </c>
      <c r="AC930" t="s">
        <v>10931</v>
      </c>
      <c r="AD930" t="s">
        <v>5741</v>
      </c>
      <c r="AE930">
        <v>5</v>
      </c>
      <c r="AF930">
        <v>1</v>
      </c>
      <c r="AG930">
        <v>0</v>
      </c>
      <c r="AH930">
        <v>82.34</v>
      </c>
      <c r="AK930" t="s">
        <v>10966</v>
      </c>
      <c r="AL930">
        <v>10284</v>
      </c>
      <c r="AR930">
        <v>1.3</v>
      </c>
      <c r="AS930" t="s">
        <v>6810</v>
      </c>
      <c r="AT930" t="s">
        <v>11182</v>
      </c>
      <c r="AU930" t="s">
        <v>11228</v>
      </c>
      <c r="AV930" t="s">
        <v>11231</v>
      </c>
      <c r="AW930" t="s">
        <v>6810</v>
      </c>
    </row>
    <row r="931" spans="1:49">
      <c r="A931" s="1">
        <f>HYPERLINK("https://lsnyc.legalserver.org/matter/dynamic-profile/view/1903513","19-1903513")</f>
        <v>0</v>
      </c>
      <c r="B931" t="s">
        <v>63</v>
      </c>
      <c r="C931" t="s">
        <v>980</v>
      </c>
      <c r="D931" t="s">
        <v>2310</v>
      </c>
      <c r="E931" t="s">
        <v>3962</v>
      </c>
      <c r="F931" t="s">
        <v>5110</v>
      </c>
      <c r="G931" t="s">
        <v>5649</v>
      </c>
      <c r="H931">
        <v>11385</v>
      </c>
      <c r="I931" t="s">
        <v>5695</v>
      </c>
      <c r="J931" t="s">
        <v>5696</v>
      </c>
      <c r="K931" t="s">
        <v>6088</v>
      </c>
      <c r="L931" t="s">
        <v>6714</v>
      </c>
      <c r="M931" t="s">
        <v>6734</v>
      </c>
      <c r="O931" t="s">
        <v>6752</v>
      </c>
      <c r="P931" t="s">
        <v>5697</v>
      </c>
      <c r="R931" t="s">
        <v>6793</v>
      </c>
      <c r="S931" t="s">
        <v>6801</v>
      </c>
      <c r="U931">
        <v>1615</v>
      </c>
      <c r="V931" t="s">
        <v>6837</v>
      </c>
      <c r="W931" t="s">
        <v>6839</v>
      </c>
      <c r="Y931" t="s">
        <v>7758</v>
      </c>
      <c r="AA931" t="s">
        <v>9815</v>
      </c>
      <c r="AB931">
        <v>6</v>
      </c>
      <c r="AC931" t="s">
        <v>10929</v>
      </c>
      <c r="AD931" t="s">
        <v>5741</v>
      </c>
      <c r="AE931">
        <v>1</v>
      </c>
      <c r="AF931">
        <v>2</v>
      </c>
      <c r="AG931">
        <v>0</v>
      </c>
      <c r="AH931">
        <v>172.44</v>
      </c>
      <c r="AK931" t="s">
        <v>10966</v>
      </c>
      <c r="AL931">
        <v>29160</v>
      </c>
      <c r="AR931">
        <v>0.85</v>
      </c>
      <c r="AS931" t="s">
        <v>11147</v>
      </c>
      <c r="AT931" t="s">
        <v>11184</v>
      </c>
      <c r="AU931" t="s">
        <v>11228</v>
      </c>
      <c r="AV931" t="s">
        <v>11231</v>
      </c>
      <c r="AW931" t="s">
        <v>11147</v>
      </c>
    </row>
    <row r="932" spans="1:49">
      <c r="A932" s="1">
        <f>HYPERLINK("https://lsnyc.legalserver.org/matter/dynamic-profile/view/1905893","19-1905893")</f>
        <v>0</v>
      </c>
      <c r="B932" t="s">
        <v>183</v>
      </c>
      <c r="C932" t="s">
        <v>900</v>
      </c>
      <c r="D932" t="s">
        <v>2311</v>
      </c>
      <c r="E932" t="s">
        <v>3963</v>
      </c>
      <c r="F932" t="s">
        <v>5403</v>
      </c>
      <c r="G932" t="s">
        <v>5635</v>
      </c>
      <c r="H932">
        <v>10459</v>
      </c>
      <c r="I932" t="s">
        <v>5695</v>
      </c>
      <c r="J932" t="s">
        <v>5696</v>
      </c>
      <c r="K932" t="s">
        <v>6089</v>
      </c>
      <c r="L932" t="s">
        <v>6714</v>
      </c>
      <c r="M932" t="s">
        <v>6734</v>
      </c>
      <c r="O932" t="s">
        <v>6747</v>
      </c>
      <c r="P932" t="s">
        <v>5697</v>
      </c>
      <c r="R932" t="s">
        <v>6793</v>
      </c>
      <c r="U932">
        <v>1532</v>
      </c>
      <c r="V932" t="s">
        <v>6833</v>
      </c>
      <c r="W932" t="s">
        <v>6840</v>
      </c>
      <c r="Y932" t="s">
        <v>7331</v>
      </c>
      <c r="AA932" t="s">
        <v>9816</v>
      </c>
      <c r="AB932">
        <v>0</v>
      </c>
      <c r="AC932" t="s">
        <v>10929</v>
      </c>
      <c r="AD932" t="s">
        <v>10944</v>
      </c>
      <c r="AE932">
        <v>9</v>
      </c>
      <c r="AF932">
        <v>1</v>
      </c>
      <c r="AG932">
        <v>1</v>
      </c>
      <c r="AH932">
        <v>165.58</v>
      </c>
      <c r="AK932" t="s">
        <v>10966</v>
      </c>
      <c r="AL932">
        <v>28000</v>
      </c>
      <c r="AR932">
        <v>0.5</v>
      </c>
      <c r="AS932" t="s">
        <v>6827</v>
      </c>
      <c r="AT932" t="s">
        <v>11196</v>
      </c>
      <c r="AV932" t="s">
        <v>11231</v>
      </c>
      <c r="AW932" t="s">
        <v>6824</v>
      </c>
    </row>
    <row r="933" spans="1:49">
      <c r="A933" s="1">
        <f>HYPERLINK("https://lsnyc.legalserver.org/matter/dynamic-profile/view/1905844","19-1905844")</f>
        <v>0</v>
      </c>
      <c r="B933" t="s">
        <v>247</v>
      </c>
      <c r="C933" t="s">
        <v>981</v>
      </c>
      <c r="D933" t="s">
        <v>2312</v>
      </c>
      <c r="E933" t="s">
        <v>3964</v>
      </c>
      <c r="F933" t="s">
        <v>5140</v>
      </c>
      <c r="G933" t="s">
        <v>5662</v>
      </c>
      <c r="H933">
        <v>11368</v>
      </c>
      <c r="I933" t="s">
        <v>5695</v>
      </c>
      <c r="J933" t="s">
        <v>5696</v>
      </c>
      <c r="K933" t="s">
        <v>6090</v>
      </c>
      <c r="L933" t="s">
        <v>6714</v>
      </c>
      <c r="M933" t="s">
        <v>6734</v>
      </c>
      <c r="O933" t="s">
        <v>6750</v>
      </c>
      <c r="P933" t="s">
        <v>5697</v>
      </c>
      <c r="R933" t="s">
        <v>6793</v>
      </c>
      <c r="T933" t="s">
        <v>6824</v>
      </c>
      <c r="U933">
        <v>1888</v>
      </c>
      <c r="V933" t="s">
        <v>6837</v>
      </c>
      <c r="W933" t="s">
        <v>6840</v>
      </c>
      <c r="Y933" t="s">
        <v>7759</v>
      </c>
      <c r="Z933" t="s">
        <v>8984</v>
      </c>
      <c r="AA933" t="s">
        <v>9817</v>
      </c>
      <c r="AB933">
        <v>180</v>
      </c>
      <c r="AC933" t="s">
        <v>8953</v>
      </c>
      <c r="AD933" t="s">
        <v>10945</v>
      </c>
      <c r="AE933">
        <v>10</v>
      </c>
      <c r="AF933">
        <v>2</v>
      </c>
      <c r="AG933">
        <v>0</v>
      </c>
      <c r="AH933">
        <v>193.87</v>
      </c>
      <c r="AK933" t="s">
        <v>10966</v>
      </c>
      <c r="AL933">
        <v>32784</v>
      </c>
      <c r="AR933">
        <v>0.3</v>
      </c>
      <c r="AS933" t="s">
        <v>6824</v>
      </c>
      <c r="AT933" t="s">
        <v>11182</v>
      </c>
      <c r="AU933" t="s">
        <v>11228</v>
      </c>
      <c r="AV933" t="s">
        <v>11231</v>
      </c>
      <c r="AW933" t="s">
        <v>6824</v>
      </c>
    </row>
    <row r="934" spans="1:49">
      <c r="A934" s="1">
        <f>HYPERLINK("https://lsnyc.legalserver.org/matter/dynamic-profile/view/1903911","19-1903911")</f>
        <v>0</v>
      </c>
      <c r="B934" t="s">
        <v>57</v>
      </c>
      <c r="C934" t="s">
        <v>982</v>
      </c>
      <c r="D934" t="s">
        <v>2313</v>
      </c>
      <c r="E934" t="s">
        <v>3932</v>
      </c>
      <c r="F934" t="s">
        <v>5190</v>
      </c>
      <c r="G934" t="s">
        <v>5674</v>
      </c>
      <c r="H934">
        <v>11373</v>
      </c>
      <c r="I934" t="s">
        <v>5695</v>
      </c>
      <c r="J934" t="s">
        <v>5696</v>
      </c>
      <c r="K934" t="s">
        <v>6091</v>
      </c>
      <c r="L934" t="s">
        <v>6714</v>
      </c>
      <c r="M934" t="s">
        <v>6734</v>
      </c>
      <c r="O934" t="s">
        <v>6752</v>
      </c>
      <c r="P934" t="s">
        <v>5695</v>
      </c>
      <c r="R934" t="s">
        <v>6793</v>
      </c>
      <c r="U934">
        <v>700</v>
      </c>
      <c r="V934" t="s">
        <v>6837</v>
      </c>
      <c r="W934" t="s">
        <v>6840</v>
      </c>
      <c r="Y934" t="s">
        <v>7760</v>
      </c>
      <c r="Z934" t="s">
        <v>5741</v>
      </c>
      <c r="AA934" t="s">
        <v>9818</v>
      </c>
      <c r="AB934">
        <v>96</v>
      </c>
      <c r="AC934" t="s">
        <v>10930</v>
      </c>
      <c r="AD934" t="s">
        <v>5741</v>
      </c>
      <c r="AE934">
        <v>18</v>
      </c>
      <c r="AF934">
        <v>2</v>
      </c>
      <c r="AG934">
        <v>0</v>
      </c>
      <c r="AH934">
        <v>47.31</v>
      </c>
      <c r="AK934" t="s">
        <v>10966</v>
      </c>
      <c r="AL934">
        <v>8000</v>
      </c>
      <c r="AR934">
        <v>1.33</v>
      </c>
      <c r="AS934" t="s">
        <v>6807</v>
      </c>
      <c r="AT934" t="s">
        <v>11184</v>
      </c>
      <c r="AU934" t="s">
        <v>11228</v>
      </c>
      <c r="AV934" t="s">
        <v>11231</v>
      </c>
      <c r="AW934" t="s">
        <v>6807</v>
      </c>
    </row>
    <row r="935" spans="1:49">
      <c r="A935" s="1">
        <f>HYPERLINK("https://lsnyc.legalserver.org/matter/dynamic-profile/view/1903628","19-1903628")</f>
        <v>0</v>
      </c>
      <c r="B935" t="s">
        <v>256</v>
      </c>
      <c r="C935" t="s">
        <v>983</v>
      </c>
      <c r="D935" t="s">
        <v>863</v>
      </c>
      <c r="E935" t="s">
        <v>3965</v>
      </c>
      <c r="G935" t="s">
        <v>5644</v>
      </c>
      <c r="H935">
        <v>11433</v>
      </c>
      <c r="I935" t="s">
        <v>5695</v>
      </c>
      <c r="J935" t="s">
        <v>5696</v>
      </c>
      <c r="K935" t="s">
        <v>6092</v>
      </c>
      <c r="L935" t="s">
        <v>6714</v>
      </c>
      <c r="M935" t="s">
        <v>6734</v>
      </c>
      <c r="O935" t="s">
        <v>6752</v>
      </c>
      <c r="P935" t="s">
        <v>5695</v>
      </c>
      <c r="R935" t="s">
        <v>6794</v>
      </c>
      <c r="U935">
        <v>861</v>
      </c>
      <c r="V935" t="s">
        <v>6837</v>
      </c>
      <c r="W935" t="s">
        <v>6839</v>
      </c>
      <c r="Y935" t="s">
        <v>7761</v>
      </c>
      <c r="Z935">
        <v>5927801</v>
      </c>
      <c r="AA935" t="s">
        <v>9819</v>
      </c>
      <c r="AB935">
        <v>0</v>
      </c>
      <c r="AC935" t="s">
        <v>10940</v>
      </c>
      <c r="AD935" t="s">
        <v>5741</v>
      </c>
      <c r="AE935">
        <v>2</v>
      </c>
      <c r="AF935">
        <v>1</v>
      </c>
      <c r="AG935">
        <v>1</v>
      </c>
      <c r="AH935">
        <v>146.19</v>
      </c>
      <c r="AK935" t="s">
        <v>10966</v>
      </c>
      <c r="AL935">
        <v>24720</v>
      </c>
      <c r="AR935">
        <v>1</v>
      </c>
      <c r="AS935" t="s">
        <v>6826</v>
      </c>
      <c r="AT935" t="s">
        <v>11184</v>
      </c>
      <c r="AU935" t="s">
        <v>11228</v>
      </c>
      <c r="AV935" t="s">
        <v>11231</v>
      </c>
      <c r="AW935" t="s">
        <v>11144</v>
      </c>
    </row>
    <row r="936" spans="1:49">
      <c r="A936" s="1">
        <f>HYPERLINK("https://lsnyc.legalserver.org/matter/dynamic-profile/view/1903259","19-1903259")</f>
        <v>0</v>
      </c>
      <c r="B936" t="s">
        <v>64</v>
      </c>
      <c r="C936" t="s">
        <v>984</v>
      </c>
      <c r="D936" t="s">
        <v>1658</v>
      </c>
      <c r="E936" t="s">
        <v>3966</v>
      </c>
      <c r="F936" t="s">
        <v>5100</v>
      </c>
      <c r="G936" t="s">
        <v>5635</v>
      </c>
      <c r="H936">
        <v>10462</v>
      </c>
      <c r="I936" t="s">
        <v>5695</v>
      </c>
      <c r="J936" t="s">
        <v>5696</v>
      </c>
      <c r="K936" t="s">
        <v>6093</v>
      </c>
      <c r="L936" t="s">
        <v>6714</v>
      </c>
      <c r="M936" t="s">
        <v>6734</v>
      </c>
      <c r="O936" t="s">
        <v>6757</v>
      </c>
      <c r="P936" t="s">
        <v>5697</v>
      </c>
      <c r="R936" t="s">
        <v>6793</v>
      </c>
      <c r="S936" t="s">
        <v>6801</v>
      </c>
      <c r="U936">
        <v>1700</v>
      </c>
      <c r="V936" t="s">
        <v>6833</v>
      </c>
      <c r="W936" t="s">
        <v>6839</v>
      </c>
      <c r="Y936" t="s">
        <v>7762</v>
      </c>
      <c r="Z936" t="s">
        <v>8985</v>
      </c>
      <c r="AA936" t="s">
        <v>9820</v>
      </c>
      <c r="AB936">
        <v>4</v>
      </c>
      <c r="AC936" t="s">
        <v>8953</v>
      </c>
      <c r="AD936" t="s">
        <v>5741</v>
      </c>
      <c r="AE936">
        <v>3</v>
      </c>
      <c r="AF936">
        <v>1</v>
      </c>
      <c r="AG936">
        <v>1</v>
      </c>
      <c r="AH936">
        <v>0</v>
      </c>
      <c r="AK936" t="s">
        <v>10967</v>
      </c>
      <c r="AL936">
        <v>0</v>
      </c>
      <c r="AR936">
        <v>1.1</v>
      </c>
      <c r="AS936" t="s">
        <v>11139</v>
      </c>
      <c r="AT936" t="s">
        <v>11196</v>
      </c>
      <c r="AU936" t="s">
        <v>11228</v>
      </c>
      <c r="AV936" t="s">
        <v>11231</v>
      </c>
      <c r="AW936" t="s">
        <v>11139</v>
      </c>
    </row>
    <row r="937" spans="1:49">
      <c r="A937" s="1">
        <f>HYPERLINK("https://lsnyc.legalserver.org/matter/dynamic-profile/view/1899282","19-1899282")</f>
        <v>0</v>
      </c>
      <c r="B937" t="s">
        <v>216</v>
      </c>
      <c r="C937" t="s">
        <v>889</v>
      </c>
      <c r="D937" t="s">
        <v>1887</v>
      </c>
      <c r="E937" t="s">
        <v>3967</v>
      </c>
      <c r="F937" t="s">
        <v>5158</v>
      </c>
      <c r="G937" t="s">
        <v>5638</v>
      </c>
      <c r="H937">
        <v>10040</v>
      </c>
      <c r="I937" t="s">
        <v>5695</v>
      </c>
      <c r="J937" t="s">
        <v>5696</v>
      </c>
      <c r="K937" t="s">
        <v>6094</v>
      </c>
      <c r="L937" t="s">
        <v>6714</v>
      </c>
      <c r="M937" t="s">
        <v>6734</v>
      </c>
      <c r="O937" t="s">
        <v>6749</v>
      </c>
      <c r="P937" t="s">
        <v>5697</v>
      </c>
      <c r="R937" t="s">
        <v>6793</v>
      </c>
      <c r="S937" t="s">
        <v>6805</v>
      </c>
      <c r="U937">
        <v>925</v>
      </c>
      <c r="V937" t="s">
        <v>6836</v>
      </c>
      <c r="W937" t="s">
        <v>6840</v>
      </c>
      <c r="Y937" t="s">
        <v>7763</v>
      </c>
      <c r="AA937" t="s">
        <v>9821</v>
      </c>
      <c r="AB937">
        <v>0</v>
      </c>
      <c r="AC937" t="s">
        <v>10936</v>
      </c>
      <c r="AD937" t="s">
        <v>10945</v>
      </c>
      <c r="AE937">
        <v>25</v>
      </c>
      <c r="AF937">
        <v>1</v>
      </c>
      <c r="AG937">
        <v>0</v>
      </c>
      <c r="AH937">
        <v>80.06</v>
      </c>
      <c r="AK937" t="s">
        <v>10966</v>
      </c>
      <c r="AL937">
        <v>10000</v>
      </c>
      <c r="AR937">
        <v>0</v>
      </c>
      <c r="AT937" t="s">
        <v>305</v>
      </c>
      <c r="AV937" t="s">
        <v>11231</v>
      </c>
      <c r="AW937" t="s">
        <v>11126</v>
      </c>
    </row>
    <row r="938" spans="1:49">
      <c r="A938" s="1">
        <f>HYPERLINK("https://lsnyc.legalserver.org/matter/dynamic-profile/view/1904621","19-1904621")</f>
        <v>0</v>
      </c>
      <c r="B938" t="s">
        <v>212</v>
      </c>
      <c r="C938" t="s">
        <v>985</v>
      </c>
      <c r="D938" t="s">
        <v>2314</v>
      </c>
      <c r="E938" t="s">
        <v>3968</v>
      </c>
      <c r="F938" t="s">
        <v>5404</v>
      </c>
      <c r="G938" t="s">
        <v>5638</v>
      </c>
      <c r="H938">
        <v>10033</v>
      </c>
      <c r="I938" t="s">
        <v>5695</v>
      </c>
      <c r="J938" t="s">
        <v>5696</v>
      </c>
      <c r="K938" t="s">
        <v>6095</v>
      </c>
      <c r="L938" t="s">
        <v>6714</v>
      </c>
      <c r="M938" t="s">
        <v>6734</v>
      </c>
      <c r="O938" t="s">
        <v>6745</v>
      </c>
      <c r="P938" t="s">
        <v>5697</v>
      </c>
      <c r="R938" t="s">
        <v>6793</v>
      </c>
      <c r="T938" t="s">
        <v>6809</v>
      </c>
      <c r="U938">
        <v>868.62</v>
      </c>
      <c r="V938" t="s">
        <v>6836</v>
      </c>
      <c r="W938" t="s">
        <v>6840</v>
      </c>
      <c r="Y938" t="s">
        <v>7764</v>
      </c>
      <c r="AA938" t="s">
        <v>9822</v>
      </c>
      <c r="AB938">
        <v>0</v>
      </c>
      <c r="AC938" t="s">
        <v>10929</v>
      </c>
      <c r="AD938" t="s">
        <v>5741</v>
      </c>
      <c r="AE938">
        <v>46</v>
      </c>
      <c r="AF938">
        <v>2</v>
      </c>
      <c r="AG938">
        <v>3</v>
      </c>
      <c r="AH938">
        <v>116.01</v>
      </c>
      <c r="AK938" t="s">
        <v>10966</v>
      </c>
      <c r="AL938">
        <v>35000</v>
      </c>
      <c r="AR938">
        <v>1</v>
      </c>
      <c r="AS938" t="s">
        <v>6809</v>
      </c>
      <c r="AT938" t="s">
        <v>11218</v>
      </c>
      <c r="AU938" t="s">
        <v>11228</v>
      </c>
      <c r="AV938" t="s">
        <v>11231</v>
      </c>
      <c r="AW938" t="s">
        <v>6809</v>
      </c>
    </row>
    <row r="939" spans="1:49">
      <c r="A939" s="1">
        <f>HYPERLINK("https://lsnyc.legalserver.org/matter/dynamic-profile/view/1904971","19-1904971")</f>
        <v>0</v>
      </c>
      <c r="B939" t="s">
        <v>64</v>
      </c>
      <c r="C939" t="s">
        <v>335</v>
      </c>
      <c r="D939" t="s">
        <v>1739</v>
      </c>
      <c r="E939" t="s">
        <v>3969</v>
      </c>
      <c r="F939" t="s">
        <v>5405</v>
      </c>
      <c r="G939" t="s">
        <v>5635</v>
      </c>
      <c r="H939">
        <v>10457</v>
      </c>
      <c r="I939" t="s">
        <v>5696</v>
      </c>
      <c r="J939" t="s">
        <v>5696</v>
      </c>
      <c r="K939" t="s">
        <v>6096</v>
      </c>
      <c r="L939" t="s">
        <v>6714</v>
      </c>
      <c r="M939" t="s">
        <v>6734</v>
      </c>
      <c r="O939" t="s">
        <v>6745</v>
      </c>
      <c r="P939" t="s">
        <v>5697</v>
      </c>
      <c r="R939" t="s">
        <v>6793</v>
      </c>
      <c r="U939">
        <v>0</v>
      </c>
      <c r="V939" t="s">
        <v>6833</v>
      </c>
      <c r="W939" t="s">
        <v>6842</v>
      </c>
      <c r="Y939" t="s">
        <v>7765</v>
      </c>
      <c r="AA939" t="s">
        <v>9823</v>
      </c>
      <c r="AB939">
        <v>71</v>
      </c>
      <c r="AD939" t="s">
        <v>10944</v>
      </c>
      <c r="AE939">
        <v>39</v>
      </c>
      <c r="AF939">
        <v>1</v>
      </c>
      <c r="AG939">
        <v>0</v>
      </c>
      <c r="AH939">
        <v>74.08</v>
      </c>
      <c r="AK939" t="s">
        <v>10967</v>
      </c>
      <c r="AL939">
        <v>9252</v>
      </c>
      <c r="AR939">
        <v>0.6</v>
      </c>
      <c r="AS939" t="s">
        <v>6812</v>
      </c>
      <c r="AT939" t="s">
        <v>11188</v>
      </c>
      <c r="AV939" t="s">
        <v>11231</v>
      </c>
      <c r="AW939" t="s">
        <v>6812</v>
      </c>
    </row>
    <row r="940" spans="1:49">
      <c r="A940" s="1">
        <f>HYPERLINK("https://lsnyc.legalserver.org/matter/dynamic-profile/view/1906334","19-1906334")</f>
        <v>0</v>
      </c>
      <c r="B940" t="s">
        <v>95</v>
      </c>
      <c r="C940" t="s">
        <v>986</v>
      </c>
      <c r="D940" t="s">
        <v>2315</v>
      </c>
      <c r="E940" t="s">
        <v>3970</v>
      </c>
      <c r="F940" t="s">
        <v>5180</v>
      </c>
      <c r="G940" t="s">
        <v>5637</v>
      </c>
      <c r="H940">
        <v>11225</v>
      </c>
      <c r="I940" t="s">
        <v>5695</v>
      </c>
      <c r="J940" t="s">
        <v>5696</v>
      </c>
      <c r="K940" t="s">
        <v>6097</v>
      </c>
      <c r="L940" t="s">
        <v>6714</v>
      </c>
      <c r="M940" t="s">
        <v>6734</v>
      </c>
      <c r="O940" t="s">
        <v>6753</v>
      </c>
      <c r="R940" t="s">
        <v>6793</v>
      </c>
      <c r="U940">
        <v>852</v>
      </c>
      <c r="V940" t="s">
        <v>6835</v>
      </c>
      <c r="W940" t="s">
        <v>6854</v>
      </c>
      <c r="Y940" t="s">
        <v>7766</v>
      </c>
      <c r="AA940" t="s">
        <v>9824</v>
      </c>
      <c r="AB940">
        <v>20</v>
      </c>
      <c r="AD940" t="s">
        <v>5741</v>
      </c>
      <c r="AE940">
        <v>35</v>
      </c>
      <c r="AF940">
        <v>1</v>
      </c>
      <c r="AG940">
        <v>0</v>
      </c>
      <c r="AH940">
        <v>208.17</v>
      </c>
      <c r="AK940" t="s">
        <v>10966</v>
      </c>
      <c r="AL940">
        <v>26000</v>
      </c>
      <c r="AR940">
        <v>0</v>
      </c>
      <c r="AT940" t="s">
        <v>11178</v>
      </c>
      <c r="AU940" t="s">
        <v>11228</v>
      </c>
      <c r="AV940" t="s">
        <v>11231</v>
      </c>
      <c r="AW940" t="s">
        <v>6827</v>
      </c>
    </row>
    <row r="941" spans="1:49">
      <c r="A941" s="1">
        <f>HYPERLINK("https://lsnyc.legalserver.org/matter/dynamic-profile/view/1904678","19-1904678")</f>
        <v>0</v>
      </c>
      <c r="B941" t="s">
        <v>55</v>
      </c>
      <c r="C941" t="s">
        <v>987</v>
      </c>
      <c r="D941" t="s">
        <v>2316</v>
      </c>
      <c r="E941" t="s">
        <v>3971</v>
      </c>
      <c r="F941" t="s">
        <v>5205</v>
      </c>
      <c r="G941" t="s">
        <v>5635</v>
      </c>
      <c r="H941">
        <v>10463</v>
      </c>
      <c r="I941" t="s">
        <v>5695</v>
      </c>
      <c r="J941" t="s">
        <v>5696</v>
      </c>
      <c r="K941" t="s">
        <v>6098</v>
      </c>
      <c r="L941" t="s">
        <v>6714</v>
      </c>
      <c r="M941" t="s">
        <v>6734</v>
      </c>
      <c r="O941" t="s">
        <v>6745</v>
      </c>
      <c r="P941" t="s">
        <v>5697</v>
      </c>
      <c r="R941" t="s">
        <v>6793</v>
      </c>
      <c r="T941" t="s">
        <v>6809</v>
      </c>
      <c r="U941">
        <v>1133</v>
      </c>
      <c r="V941" t="s">
        <v>6836</v>
      </c>
      <c r="W941" t="s">
        <v>6841</v>
      </c>
      <c r="Y941" t="s">
        <v>7767</v>
      </c>
      <c r="Z941" t="s">
        <v>8986</v>
      </c>
      <c r="AA941" t="s">
        <v>9825</v>
      </c>
      <c r="AB941">
        <v>0</v>
      </c>
      <c r="AC941" t="s">
        <v>10929</v>
      </c>
      <c r="AD941" t="s">
        <v>5741</v>
      </c>
      <c r="AE941">
        <v>5</v>
      </c>
      <c r="AF941">
        <v>1</v>
      </c>
      <c r="AG941">
        <v>1</v>
      </c>
      <c r="AH941">
        <v>60.86</v>
      </c>
      <c r="AK941" t="s">
        <v>10967</v>
      </c>
      <c r="AL941">
        <v>10292.04</v>
      </c>
      <c r="AR941">
        <v>3.1</v>
      </c>
      <c r="AS941" t="s">
        <v>6824</v>
      </c>
      <c r="AT941" t="s">
        <v>11218</v>
      </c>
      <c r="AU941" t="s">
        <v>11229</v>
      </c>
      <c r="AV941" t="s">
        <v>11231</v>
      </c>
      <c r="AW941" t="s">
        <v>6809</v>
      </c>
    </row>
    <row r="942" spans="1:49">
      <c r="A942" s="1">
        <f>HYPERLINK("https://lsnyc.legalserver.org/matter/dynamic-profile/view/1902183","19-1902183")</f>
        <v>0</v>
      </c>
      <c r="B942" t="s">
        <v>254</v>
      </c>
      <c r="C942" t="s">
        <v>988</v>
      </c>
      <c r="D942" t="s">
        <v>2245</v>
      </c>
      <c r="E942" t="s">
        <v>3972</v>
      </c>
      <c r="F942">
        <v>404</v>
      </c>
      <c r="G942" t="s">
        <v>5635</v>
      </c>
      <c r="H942">
        <v>10457</v>
      </c>
      <c r="I942" t="s">
        <v>5696</v>
      </c>
      <c r="J942" t="s">
        <v>5696</v>
      </c>
      <c r="L942" t="s">
        <v>6714</v>
      </c>
      <c r="M942" t="s">
        <v>6734</v>
      </c>
      <c r="O942" t="s">
        <v>6748</v>
      </c>
      <c r="R942" t="s">
        <v>6793</v>
      </c>
      <c r="U942">
        <v>1275</v>
      </c>
      <c r="V942" t="s">
        <v>6833</v>
      </c>
      <c r="Y942" t="s">
        <v>7768</v>
      </c>
      <c r="AA942" t="s">
        <v>9826</v>
      </c>
      <c r="AB942">
        <v>0</v>
      </c>
      <c r="AC942" t="s">
        <v>10934</v>
      </c>
      <c r="AD942" t="s">
        <v>10943</v>
      </c>
      <c r="AE942">
        <v>8</v>
      </c>
      <c r="AF942">
        <v>1</v>
      </c>
      <c r="AG942">
        <v>0</v>
      </c>
      <c r="AH942">
        <v>74.56</v>
      </c>
      <c r="AK942" t="s">
        <v>10966</v>
      </c>
      <c r="AL942">
        <v>9312</v>
      </c>
      <c r="AR942">
        <v>1</v>
      </c>
      <c r="AS942" t="s">
        <v>11163</v>
      </c>
      <c r="AT942" t="s">
        <v>11186</v>
      </c>
      <c r="AV942" t="s">
        <v>11231</v>
      </c>
      <c r="AW942" t="s">
        <v>11163</v>
      </c>
    </row>
    <row r="943" spans="1:49">
      <c r="A943" s="1">
        <f>HYPERLINK("https://lsnyc.legalserver.org/matter/dynamic-profile/view/1904638","19-1904638")</f>
        <v>0</v>
      </c>
      <c r="B943" t="s">
        <v>249</v>
      </c>
      <c r="C943" t="s">
        <v>989</v>
      </c>
      <c r="D943" t="s">
        <v>2317</v>
      </c>
      <c r="E943" t="s">
        <v>3973</v>
      </c>
      <c r="F943" t="s">
        <v>5248</v>
      </c>
      <c r="G943" t="s">
        <v>5638</v>
      </c>
      <c r="H943">
        <v>10010</v>
      </c>
      <c r="I943" t="s">
        <v>5695</v>
      </c>
      <c r="J943" t="s">
        <v>5696</v>
      </c>
      <c r="K943" t="s">
        <v>6099</v>
      </c>
      <c r="L943" t="s">
        <v>6714</v>
      </c>
      <c r="M943" t="s">
        <v>6734</v>
      </c>
      <c r="O943" t="s">
        <v>6745</v>
      </c>
      <c r="P943" t="s">
        <v>5697</v>
      </c>
      <c r="R943" t="s">
        <v>6793</v>
      </c>
      <c r="S943" t="s">
        <v>6801</v>
      </c>
      <c r="T943" t="s">
        <v>6809</v>
      </c>
      <c r="U943">
        <v>1567.75</v>
      </c>
      <c r="V943" t="s">
        <v>6836</v>
      </c>
      <c r="W943" t="s">
        <v>6838</v>
      </c>
      <c r="Y943" t="s">
        <v>7769</v>
      </c>
      <c r="AA943" t="s">
        <v>9827</v>
      </c>
      <c r="AB943">
        <v>16</v>
      </c>
      <c r="AC943" t="s">
        <v>10929</v>
      </c>
      <c r="AD943" t="s">
        <v>5741</v>
      </c>
      <c r="AE943">
        <v>26</v>
      </c>
      <c r="AF943">
        <v>1</v>
      </c>
      <c r="AG943">
        <v>0</v>
      </c>
      <c r="AH943">
        <v>240.19</v>
      </c>
      <c r="AK943" t="s">
        <v>10966</v>
      </c>
      <c r="AL943">
        <v>30000</v>
      </c>
      <c r="AR943">
        <v>1</v>
      </c>
      <c r="AS943" t="s">
        <v>6808</v>
      </c>
      <c r="AT943" t="s">
        <v>11219</v>
      </c>
      <c r="AU943" t="s">
        <v>11228</v>
      </c>
      <c r="AV943" t="s">
        <v>11231</v>
      </c>
      <c r="AW943" t="s">
        <v>6809</v>
      </c>
    </row>
    <row r="944" spans="1:49">
      <c r="A944" s="1">
        <f>HYPERLINK("https://lsnyc.legalserver.org/matter/dynamic-profile/view/1902766","19-1902766")</f>
        <v>0</v>
      </c>
      <c r="B944" t="s">
        <v>247</v>
      </c>
      <c r="C944" t="s">
        <v>990</v>
      </c>
      <c r="D944" t="s">
        <v>2318</v>
      </c>
      <c r="E944" t="s">
        <v>3974</v>
      </c>
      <c r="G944" t="s">
        <v>5665</v>
      </c>
      <c r="H944">
        <v>11377</v>
      </c>
      <c r="I944" t="s">
        <v>5695</v>
      </c>
      <c r="J944" t="s">
        <v>5696</v>
      </c>
      <c r="K944" t="s">
        <v>6100</v>
      </c>
      <c r="L944" t="s">
        <v>6714</v>
      </c>
      <c r="M944" t="s">
        <v>6734</v>
      </c>
      <c r="O944" t="s">
        <v>6750</v>
      </c>
      <c r="P944" t="s">
        <v>5695</v>
      </c>
      <c r="R944" t="s">
        <v>6793</v>
      </c>
      <c r="S944" t="s">
        <v>6801</v>
      </c>
      <c r="U944">
        <v>885</v>
      </c>
      <c r="V944" t="s">
        <v>6837</v>
      </c>
      <c r="W944" t="s">
        <v>6840</v>
      </c>
      <c r="Y944" t="s">
        <v>7770</v>
      </c>
      <c r="AA944" t="s">
        <v>9828</v>
      </c>
      <c r="AB944">
        <v>110</v>
      </c>
      <c r="AC944" t="s">
        <v>10929</v>
      </c>
      <c r="AD944" t="s">
        <v>10945</v>
      </c>
      <c r="AE944">
        <v>23</v>
      </c>
      <c r="AF944">
        <v>1</v>
      </c>
      <c r="AG944">
        <v>0</v>
      </c>
      <c r="AH944">
        <v>67.54000000000001</v>
      </c>
      <c r="AK944" t="s">
        <v>10966</v>
      </c>
      <c r="AL944">
        <v>8436</v>
      </c>
      <c r="AR944">
        <v>0.65</v>
      </c>
      <c r="AS944" t="s">
        <v>11133</v>
      </c>
      <c r="AT944" t="s">
        <v>11184</v>
      </c>
      <c r="AU944" t="s">
        <v>11228</v>
      </c>
      <c r="AV944" t="s">
        <v>11231</v>
      </c>
      <c r="AW944" t="s">
        <v>11133</v>
      </c>
    </row>
    <row r="945" spans="1:49">
      <c r="A945" s="1">
        <f>HYPERLINK("https://lsnyc.legalserver.org/matter/dynamic-profile/view/1905525","19-1905525")</f>
        <v>0</v>
      </c>
      <c r="B945" t="s">
        <v>136</v>
      </c>
      <c r="C945" t="s">
        <v>445</v>
      </c>
      <c r="D945" t="s">
        <v>2319</v>
      </c>
      <c r="E945" t="s">
        <v>3975</v>
      </c>
      <c r="F945">
        <v>412</v>
      </c>
      <c r="G945" t="s">
        <v>5637</v>
      </c>
      <c r="H945">
        <v>11216</v>
      </c>
      <c r="I945" t="s">
        <v>5696</v>
      </c>
      <c r="J945" t="s">
        <v>5696</v>
      </c>
      <c r="K945" t="s">
        <v>6101</v>
      </c>
      <c r="L945" t="s">
        <v>6714</v>
      </c>
      <c r="M945" t="s">
        <v>6734</v>
      </c>
      <c r="O945" t="s">
        <v>6755</v>
      </c>
      <c r="P945" t="s">
        <v>5697</v>
      </c>
      <c r="R945" t="s">
        <v>6793</v>
      </c>
      <c r="U945">
        <v>1400</v>
      </c>
      <c r="V945" t="s">
        <v>6835</v>
      </c>
      <c r="W945" t="s">
        <v>6843</v>
      </c>
      <c r="Y945" t="s">
        <v>7771</v>
      </c>
      <c r="AA945" t="s">
        <v>9829</v>
      </c>
      <c r="AB945">
        <v>71</v>
      </c>
      <c r="AC945" t="s">
        <v>10929</v>
      </c>
      <c r="AE945">
        <v>6</v>
      </c>
      <c r="AF945">
        <v>1</v>
      </c>
      <c r="AG945">
        <v>0</v>
      </c>
      <c r="AH945">
        <v>39.14</v>
      </c>
      <c r="AL945">
        <v>4888</v>
      </c>
      <c r="AR945">
        <v>0.45</v>
      </c>
      <c r="AS945" t="s">
        <v>6824</v>
      </c>
      <c r="AT945" t="s">
        <v>141</v>
      </c>
      <c r="AV945" t="s">
        <v>11231</v>
      </c>
      <c r="AW945" t="s">
        <v>6819</v>
      </c>
    </row>
    <row r="946" spans="1:49">
      <c r="A946" s="1">
        <f>HYPERLINK("https://lsnyc.legalserver.org/matter/dynamic-profile/view/1903856","19-1903856")</f>
        <v>0</v>
      </c>
      <c r="B946" t="s">
        <v>193</v>
      </c>
      <c r="C946" t="s">
        <v>991</v>
      </c>
      <c r="D946" t="s">
        <v>2320</v>
      </c>
      <c r="E946" t="s">
        <v>3976</v>
      </c>
      <c r="F946">
        <v>5</v>
      </c>
      <c r="G946" t="s">
        <v>5635</v>
      </c>
      <c r="H946">
        <v>10467</v>
      </c>
      <c r="I946" t="s">
        <v>5695</v>
      </c>
      <c r="J946" t="s">
        <v>5696</v>
      </c>
      <c r="K946" t="s">
        <v>6102</v>
      </c>
      <c r="L946" t="s">
        <v>6714</v>
      </c>
      <c r="M946" t="s">
        <v>6734</v>
      </c>
      <c r="O946" t="s">
        <v>6763</v>
      </c>
      <c r="P946" t="s">
        <v>5697</v>
      </c>
      <c r="R946" t="s">
        <v>6793</v>
      </c>
      <c r="U946">
        <v>1224</v>
      </c>
      <c r="V946" t="s">
        <v>6833</v>
      </c>
      <c r="Y946" t="s">
        <v>7772</v>
      </c>
      <c r="Z946" t="s">
        <v>8987</v>
      </c>
      <c r="AA946" t="s">
        <v>9830</v>
      </c>
      <c r="AB946">
        <v>0</v>
      </c>
      <c r="AE946">
        <v>4</v>
      </c>
      <c r="AF946">
        <v>1</v>
      </c>
      <c r="AG946">
        <v>0</v>
      </c>
      <c r="AH946">
        <v>39.14</v>
      </c>
      <c r="AK946" t="s">
        <v>10966</v>
      </c>
      <c r="AL946">
        <v>4888</v>
      </c>
      <c r="AR946">
        <v>1</v>
      </c>
      <c r="AS946" t="s">
        <v>6823</v>
      </c>
      <c r="AT946" t="s">
        <v>288</v>
      </c>
      <c r="AU946" t="s">
        <v>11229</v>
      </c>
      <c r="AV946" t="s">
        <v>11231</v>
      </c>
      <c r="AW946" t="s">
        <v>6807</v>
      </c>
    </row>
    <row r="947" spans="1:49">
      <c r="A947" s="1">
        <f>HYPERLINK("https://lsnyc.legalserver.org/matter/dynamic-profile/view/1900171","19-1900171")</f>
        <v>0</v>
      </c>
      <c r="B947" t="s">
        <v>109</v>
      </c>
      <c r="C947" t="s">
        <v>992</v>
      </c>
      <c r="D947" t="s">
        <v>2321</v>
      </c>
      <c r="E947" t="s">
        <v>3977</v>
      </c>
      <c r="F947" t="s">
        <v>5252</v>
      </c>
      <c r="G947" t="s">
        <v>5635</v>
      </c>
      <c r="H947">
        <v>10472</v>
      </c>
      <c r="I947" t="s">
        <v>5695</v>
      </c>
      <c r="J947" t="s">
        <v>5696</v>
      </c>
      <c r="K947" t="s">
        <v>6103</v>
      </c>
      <c r="L947" t="s">
        <v>6714</v>
      </c>
      <c r="M947" t="s">
        <v>6734</v>
      </c>
      <c r="O947" t="s">
        <v>6747</v>
      </c>
      <c r="P947" t="s">
        <v>5697</v>
      </c>
      <c r="R947" t="s">
        <v>6793</v>
      </c>
      <c r="S947" t="s">
        <v>6805</v>
      </c>
      <c r="U947">
        <v>1350</v>
      </c>
      <c r="V947" t="s">
        <v>6833</v>
      </c>
      <c r="Y947" t="s">
        <v>7773</v>
      </c>
      <c r="AA947" t="s">
        <v>9831</v>
      </c>
      <c r="AB947">
        <v>46</v>
      </c>
      <c r="AC947" t="s">
        <v>10929</v>
      </c>
      <c r="AD947" t="s">
        <v>5741</v>
      </c>
      <c r="AE947">
        <v>6</v>
      </c>
      <c r="AF947">
        <v>3</v>
      </c>
      <c r="AG947">
        <v>0</v>
      </c>
      <c r="AH947">
        <v>91.03</v>
      </c>
      <c r="AK947" t="s">
        <v>10978</v>
      </c>
      <c r="AL947">
        <v>19417</v>
      </c>
      <c r="AR947">
        <v>5</v>
      </c>
      <c r="AS947" t="s">
        <v>11140</v>
      </c>
      <c r="AT947" t="s">
        <v>288</v>
      </c>
      <c r="AU947" t="s">
        <v>11228</v>
      </c>
      <c r="AV947" t="s">
        <v>11231</v>
      </c>
      <c r="AW947" t="s">
        <v>11127</v>
      </c>
    </row>
    <row r="948" spans="1:49">
      <c r="A948" s="1">
        <f>HYPERLINK("https://lsnyc.legalserver.org/matter/dynamic-profile/view/1905427","19-1905427")</f>
        <v>0</v>
      </c>
      <c r="B948" t="s">
        <v>66</v>
      </c>
      <c r="C948" t="s">
        <v>458</v>
      </c>
      <c r="D948" t="s">
        <v>2322</v>
      </c>
      <c r="E948" t="s">
        <v>3978</v>
      </c>
      <c r="F948">
        <v>43</v>
      </c>
      <c r="G948" t="s">
        <v>5635</v>
      </c>
      <c r="H948">
        <v>10458</v>
      </c>
      <c r="I948" t="s">
        <v>5695</v>
      </c>
      <c r="J948" t="s">
        <v>5696</v>
      </c>
      <c r="K948" t="s">
        <v>6104</v>
      </c>
      <c r="L948" t="s">
        <v>6714</v>
      </c>
      <c r="M948" t="s">
        <v>6734</v>
      </c>
      <c r="O948" t="s">
        <v>6747</v>
      </c>
      <c r="R948" t="s">
        <v>6793</v>
      </c>
      <c r="U948">
        <v>1139.04</v>
      </c>
      <c r="V948" t="s">
        <v>6833</v>
      </c>
      <c r="Y948" t="s">
        <v>7774</v>
      </c>
      <c r="AA948" t="s">
        <v>9832</v>
      </c>
      <c r="AB948">
        <v>0</v>
      </c>
      <c r="AE948">
        <v>6</v>
      </c>
      <c r="AF948">
        <v>1</v>
      </c>
      <c r="AG948">
        <v>2</v>
      </c>
      <c r="AH948">
        <v>95.64</v>
      </c>
      <c r="AK948" t="s">
        <v>10967</v>
      </c>
      <c r="AL948">
        <v>20400</v>
      </c>
      <c r="AR948">
        <v>0</v>
      </c>
      <c r="AT948" t="s">
        <v>139</v>
      </c>
      <c r="AU948" t="s">
        <v>11228</v>
      </c>
      <c r="AV948" t="s">
        <v>11231</v>
      </c>
      <c r="AW948" t="s">
        <v>6822</v>
      </c>
    </row>
    <row r="949" spans="1:49">
      <c r="A949" s="1">
        <f>HYPERLINK("https://lsnyc.legalserver.org/matter/dynamic-profile/view/1905323","19-1905323")</f>
        <v>0</v>
      </c>
      <c r="B949" t="s">
        <v>117</v>
      </c>
      <c r="C949" t="s">
        <v>993</v>
      </c>
      <c r="D949" t="s">
        <v>2323</v>
      </c>
      <c r="E949" t="s">
        <v>3979</v>
      </c>
      <c r="F949" t="s">
        <v>5116</v>
      </c>
      <c r="G949" t="s">
        <v>5637</v>
      </c>
      <c r="H949">
        <v>11239</v>
      </c>
      <c r="I949" t="s">
        <v>5696</v>
      </c>
      <c r="J949" t="s">
        <v>5696</v>
      </c>
      <c r="K949" t="s">
        <v>6105</v>
      </c>
      <c r="L949" t="s">
        <v>6714</v>
      </c>
      <c r="M949" t="s">
        <v>6734</v>
      </c>
      <c r="O949" t="s">
        <v>6787</v>
      </c>
      <c r="R949" t="s">
        <v>6793</v>
      </c>
      <c r="U949">
        <v>1225</v>
      </c>
      <c r="V949" t="s">
        <v>6835</v>
      </c>
      <c r="Y949" t="s">
        <v>7775</v>
      </c>
      <c r="AA949" t="s">
        <v>9833</v>
      </c>
      <c r="AB949">
        <v>0</v>
      </c>
      <c r="AC949" t="s">
        <v>10929</v>
      </c>
      <c r="AD949" t="s">
        <v>5741</v>
      </c>
      <c r="AE949">
        <v>28</v>
      </c>
      <c r="AF949">
        <v>1</v>
      </c>
      <c r="AG949">
        <v>0</v>
      </c>
      <c r="AH949">
        <v>480.38</v>
      </c>
      <c r="AK949" t="s">
        <v>10966</v>
      </c>
      <c r="AL949">
        <v>60000</v>
      </c>
      <c r="AR949">
        <v>5.5</v>
      </c>
      <c r="AS949" t="s">
        <v>6821</v>
      </c>
      <c r="AT949" t="s">
        <v>85</v>
      </c>
      <c r="AV949" t="s">
        <v>11231</v>
      </c>
      <c r="AW949" t="s">
        <v>6808</v>
      </c>
    </row>
    <row r="950" spans="1:49">
      <c r="A950" s="1">
        <f>HYPERLINK("https://lsnyc.legalserver.org/matter/dynamic-profile/view/1905745","19-1905745")</f>
        <v>0</v>
      </c>
      <c r="B950" t="s">
        <v>117</v>
      </c>
      <c r="C950" t="s">
        <v>994</v>
      </c>
      <c r="D950" t="s">
        <v>2324</v>
      </c>
      <c r="E950" t="s">
        <v>3980</v>
      </c>
      <c r="F950" t="s">
        <v>5253</v>
      </c>
      <c r="G950" t="s">
        <v>5637</v>
      </c>
      <c r="H950">
        <v>11208</v>
      </c>
      <c r="I950" t="s">
        <v>5696</v>
      </c>
      <c r="J950" t="s">
        <v>5696</v>
      </c>
      <c r="K950" t="s">
        <v>6106</v>
      </c>
      <c r="L950" t="s">
        <v>6714</v>
      </c>
      <c r="M950" t="s">
        <v>6734</v>
      </c>
      <c r="O950" t="s">
        <v>6754</v>
      </c>
      <c r="P950" t="s">
        <v>5697</v>
      </c>
      <c r="R950" t="s">
        <v>6793</v>
      </c>
      <c r="U950">
        <v>1450</v>
      </c>
      <c r="V950" t="s">
        <v>6835</v>
      </c>
      <c r="Y950" t="s">
        <v>7776</v>
      </c>
      <c r="AA950" t="s">
        <v>9834</v>
      </c>
      <c r="AB950">
        <v>350</v>
      </c>
      <c r="AC950" t="s">
        <v>10934</v>
      </c>
      <c r="AD950" t="s">
        <v>10944</v>
      </c>
      <c r="AE950">
        <v>36</v>
      </c>
      <c r="AF950">
        <v>1</v>
      </c>
      <c r="AG950">
        <v>0</v>
      </c>
      <c r="AH950">
        <v>192.15</v>
      </c>
      <c r="AK950" t="s">
        <v>10966</v>
      </c>
      <c r="AL950">
        <v>24000</v>
      </c>
      <c r="AR950">
        <v>1.5</v>
      </c>
      <c r="AS950" t="s">
        <v>6826</v>
      </c>
      <c r="AT950" t="s">
        <v>11189</v>
      </c>
      <c r="AV950" t="s">
        <v>11231</v>
      </c>
      <c r="AW950" t="s">
        <v>6823</v>
      </c>
    </row>
    <row r="951" spans="1:49">
      <c r="A951" s="1">
        <f>HYPERLINK("https://lsnyc.legalserver.org/matter/dynamic-profile/view/1904259","19-1904259")</f>
        <v>0</v>
      </c>
      <c r="B951" t="s">
        <v>129</v>
      </c>
      <c r="C951" t="s">
        <v>995</v>
      </c>
      <c r="D951" t="s">
        <v>2325</v>
      </c>
      <c r="E951" t="s">
        <v>3981</v>
      </c>
      <c r="F951" t="s">
        <v>5148</v>
      </c>
      <c r="G951" t="s">
        <v>5637</v>
      </c>
      <c r="H951">
        <v>11221</v>
      </c>
      <c r="I951" t="s">
        <v>5695</v>
      </c>
      <c r="J951" t="s">
        <v>5696</v>
      </c>
      <c r="L951" t="s">
        <v>6714</v>
      </c>
      <c r="M951" t="s">
        <v>6734</v>
      </c>
      <c r="O951" t="s">
        <v>6755</v>
      </c>
      <c r="R951" t="s">
        <v>6793</v>
      </c>
      <c r="U951">
        <v>1124</v>
      </c>
      <c r="V951" t="s">
        <v>6835</v>
      </c>
      <c r="W951" t="s">
        <v>6843</v>
      </c>
      <c r="Y951" t="s">
        <v>7777</v>
      </c>
      <c r="AA951" t="s">
        <v>9835</v>
      </c>
      <c r="AB951">
        <v>0</v>
      </c>
      <c r="AD951" t="s">
        <v>10944</v>
      </c>
      <c r="AE951">
        <v>16</v>
      </c>
      <c r="AF951">
        <v>2</v>
      </c>
      <c r="AG951">
        <v>1</v>
      </c>
      <c r="AH951">
        <v>112.14</v>
      </c>
      <c r="AK951" t="s">
        <v>10966</v>
      </c>
      <c r="AL951">
        <v>23920</v>
      </c>
      <c r="AR951">
        <v>0.3</v>
      </c>
      <c r="AS951" t="s">
        <v>6826</v>
      </c>
      <c r="AT951" t="s">
        <v>11178</v>
      </c>
      <c r="AU951" t="s">
        <v>11228</v>
      </c>
      <c r="AV951" t="s">
        <v>11231</v>
      </c>
      <c r="AW951" t="s">
        <v>6813</v>
      </c>
    </row>
    <row r="952" spans="1:49">
      <c r="A952" s="1">
        <f>HYPERLINK("https://lsnyc.legalserver.org/matter/dynamic-profile/view/1902512","19-1902512")</f>
        <v>0</v>
      </c>
      <c r="B952" t="s">
        <v>95</v>
      </c>
      <c r="C952" t="s">
        <v>491</v>
      </c>
      <c r="D952" t="s">
        <v>2326</v>
      </c>
      <c r="E952" t="s">
        <v>3982</v>
      </c>
      <c r="F952" t="s">
        <v>5406</v>
      </c>
      <c r="G952" t="s">
        <v>5637</v>
      </c>
      <c r="H952">
        <v>11203</v>
      </c>
      <c r="I952" t="s">
        <v>5695</v>
      </c>
      <c r="J952" t="s">
        <v>5696</v>
      </c>
      <c r="K952" t="s">
        <v>6107</v>
      </c>
      <c r="L952" t="s">
        <v>6714</v>
      </c>
      <c r="M952" t="s">
        <v>6734</v>
      </c>
      <c r="O952" t="s">
        <v>6746</v>
      </c>
      <c r="R952" t="s">
        <v>6793</v>
      </c>
      <c r="U952">
        <v>504</v>
      </c>
      <c r="V952" t="s">
        <v>6835</v>
      </c>
      <c r="W952" t="s">
        <v>6840</v>
      </c>
      <c r="Y952" t="s">
        <v>7778</v>
      </c>
      <c r="AA952" t="s">
        <v>9836</v>
      </c>
      <c r="AB952">
        <v>0</v>
      </c>
      <c r="AE952">
        <v>0</v>
      </c>
      <c r="AF952">
        <v>1</v>
      </c>
      <c r="AG952">
        <v>0</v>
      </c>
      <c r="AH952">
        <v>80.22</v>
      </c>
      <c r="AK952" t="s">
        <v>10966</v>
      </c>
      <c r="AL952">
        <v>10020</v>
      </c>
      <c r="AR952">
        <v>1.3</v>
      </c>
      <c r="AS952" t="s">
        <v>6827</v>
      </c>
      <c r="AT952" t="s">
        <v>11190</v>
      </c>
      <c r="AU952" t="s">
        <v>11228</v>
      </c>
      <c r="AV952" t="s">
        <v>11231</v>
      </c>
      <c r="AW952" t="s">
        <v>11116</v>
      </c>
    </row>
    <row r="953" spans="1:49">
      <c r="A953" s="1">
        <f>HYPERLINK("https://lsnyc.legalserver.org/matter/dynamic-profile/view/1904623","19-1904623")</f>
        <v>0</v>
      </c>
      <c r="B953" t="s">
        <v>249</v>
      </c>
      <c r="C953" t="s">
        <v>491</v>
      </c>
      <c r="D953" t="s">
        <v>2327</v>
      </c>
      <c r="E953" t="s">
        <v>3983</v>
      </c>
      <c r="F953">
        <v>5</v>
      </c>
      <c r="G953" t="s">
        <v>5638</v>
      </c>
      <c r="H953">
        <v>10009</v>
      </c>
      <c r="I953" t="s">
        <v>5695</v>
      </c>
      <c r="J953" t="s">
        <v>5696</v>
      </c>
      <c r="K953" t="s">
        <v>6108</v>
      </c>
      <c r="L953" t="s">
        <v>6714</v>
      </c>
      <c r="M953" t="s">
        <v>6734</v>
      </c>
      <c r="O953" t="s">
        <v>6745</v>
      </c>
      <c r="P953" t="s">
        <v>5697</v>
      </c>
      <c r="R953" t="s">
        <v>6793</v>
      </c>
      <c r="S953" t="s">
        <v>6801</v>
      </c>
      <c r="T953" t="s">
        <v>6809</v>
      </c>
      <c r="U953">
        <v>3000</v>
      </c>
      <c r="V953" t="s">
        <v>6836</v>
      </c>
      <c r="W953" t="s">
        <v>6840</v>
      </c>
      <c r="Y953" t="s">
        <v>7779</v>
      </c>
      <c r="Z953" t="s">
        <v>8988</v>
      </c>
      <c r="AA953" t="s">
        <v>9837</v>
      </c>
      <c r="AB953">
        <v>4</v>
      </c>
      <c r="AC953" t="s">
        <v>10930</v>
      </c>
      <c r="AD953" t="s">
        <v>5741</v>
      </c>
      <c r="AE953">
        <v>27</v>
      </c>
      <c r="AF953">
        <v>1</v>
      </c>
      <c r="AG953">
        <v>0</v>
      </c>
      <c r="AH953">
        <v>138.11</v>
      </c>
      <c r="AK953" t="s">
        <v>10966</v>
      </c>
      <c r="AL953">
        <v>17250</v>
      </c>
      <c r="AR953">
        <v>0.75</v>
      </c>
      <c r="AS953" t="s">
        <v>6809</v>
      </c>
      <c r="AT953" t="s">
        <v>11219</v>
      </c>
      <c r="AU953" t="s">
        <v>11229</v>
      </c>
      <c r="AV953" t="s">
        <v>11231</v>
      </c>
      <c r="AW953" t="s">
        <v>6809</v>
      </c>
    </row>
    <row r="954" spans="1:49">
      <c r="A954" s="1">
        <f>HYPERLINK("https://lsnyc.legalserver.org/matter/dynamic-profile/view/1903848","19-1903848")</f>
        <v>0</v>
      </c>
      <c r="B954" t="s">
        <v>191</v>
      </c>
      <c r="C954" t="s">
        <v>996</v>
      </c>
      <c r="D954" t="s">
        <v>2328</v>
      </c>
      <c r="E954" t="s">
        <v>3984</v>
      </c>
      <c r="F954">
        <v>1</v>
      </c>
      <c r="G954" t="s">
        <v>5644</v>
      </c>
      <c r="H954">
        <v>11434</v>
      </c>
      <c r="I954" t="s">
        <v>5695</v>
      </c>
      <c r="J954" t="s">
        <v>5696</v>
      </c>
      <c r="K954" t="s">
        <v>6109</v>
      </c>
      <c r="L954" t="s">
        <v>6714</v>
      </c>
      <c r="M954" t="s">
        <v>6734</v>
      </c>
      <c r="O954" t="s">
        <v>6752</v>
      </c>
      <c r="P954" t="s">
        <v>5697</v>
      </c>
      <c r="R954" t="s">
        <v>6793</v>
      </c>
      <c r="S954" t="s">
        <v>6801</v>
      </c>
      <c r="U954">
        <v>2010</v>
      </c>
      <c r="V954" t="s">
        <v>6837</v>
      </c>
      <c r="W954" t="s">
        <v>6840</v>
      </c>
      <c r="Y954" t="s">
        <v>7780</v>
      </c>
      <c r="Z954" t="s">
        <v>8989</v>
      </c>
      <c r="AA954" t="s">
        <v>9838</v>
      </c>
      <c r="AB954">
        <v>2</v>
      </c>
      <c r="AC954" t="s">
        <v>10930</v>
      </c>
      <c r="AD954" t="s">
        <v>10946</v>
      </c>
      <c r="AE954">
        <v>1</v>
      </c>
      <c r="AF954">
        <v>1</v>
      </c>
      <c r="AG954">
        <v>4</v>
      </c>
      <c r="AH954">
        <v>21.29</v>
      </c>
      <c r="AK954" t="s">
        <v>10967</v>
      </c>
      <c r="AL954">
        <v>6422</v>
      </c>
      <c r="AR954">
        <v>1.15</v>
      </c>
      <c r="AS954" t="s">
        <v>6820</v>
      </c>
      <c r="AT954" t="s">
        <v>11182</v>
      </c>
      <c r="AU954" t="s">
        <v>11228</v>
      </c>
      <c r="AV954" t="s">
        <v>11231</v>
      </c>
      <c r="AW954" t="s">
        <v>6807</v>
      </c>
    </row>
    <row r="955" spans="1:49">
      <c r="A955" s="1">
        <f>HYPERLINK("https://lsnyc.legalserver.org/matter/dynamic-profile/view/1906330","19-1906330")</f>
        <v>0</v>
      </c>
      <c r="B955" t="s">
        <v>55</v>
      </c>
      <c r="C955" t="s">
        <v>706</v>
      </c>
      <c r="D955" t="s">
        <v>1741</v>
      </c>
      <c r="E955" t="s">
        <v>3985</v>
      </c>
      <c r="F955" t="s">
        <v>5407</v>
      </c>
      <c r="G955" t="s">
        <v>5638</v>
      </c>
      <c r="H955">
        <v>10026</v>
      </c>
      <c r="I955" t="s">
        <v>5695</v>
      </c>
      <c r="J955" t="s">
        <v>5696</v>
      </c>
      <c r="K955" t="s">
        <v>6110</v>
      </c>
      <c r="L955" t="s">
        <v>6714</v>
      </c>
      <c r="M955" t="s">
        <v>6734</v>
      </c>
      <c r="O955" t="s">
        <v>6759</v>
      </c>
      <c r="P955" t="s">
        <v>5697</v>
      </c>
      <c r="R955" t="s">
        <v>6793</v>
      </c>
      <c r="U955">
        <v>1747.93</v>
      </c>
      <c r="V955" t="s">
        <v>6836</v>
      </c>
      <c r="W955" t="s">
        <v>6839</v>
      </c>
      <c r="Y955" t="s">
        <v>7781</v>
      </c>
      <c r="AA955" t="s">
        <v>9839</v>
      </c>
      <c r="AB955">
        <v>0</v>
      </c>
      <c r="AC955" t="s">
        <v>8953</v>
      </c>
      <c r="AD955" t="s">
        <v>5741</v>
      </c>
      <c r="AE955">
        <v>7</v>
      </c>
      <c r="AF955">
        <v>1</v>
      </c>
      <c r="AG955">
        <v>0</v>
      </c>
      <c r="AH955">
        <v>80.06</v>
      </c>
      <c r="AK955" t="s">
        <v>10966</v>
      </c>
      <c r="AL955">
        <v>10000</v>
      </c>
      <c r="AR955">
        <v>0</v>
      </c>
      <c r="AT955" t="s">
        <v>305</v>
      </c>
      <c r="AU955" t="s">
        <v>11228</v>
      </c>
      <c r="AV955" t="s">
        <v>11231</v>
      </c>
      <c r="AW955" t="s">
        <v>6827</v>
      </c>
    </row>
    <row r="956" spans="1:49">
      <c r="A956" s="1">
        <f>HYPERLINK("https://lsnyc.legalserver.org/matter/dynamic-profile/view/1904371","19-1904371")</f>
        <v>0</v>
      </c>
      <c r="B956" t="s">
        <v>170</v>
      </c>
      <c r="C956" t="s">
        <v>490</v>
      </c>
      <c r="D956" t="s">
        <v>2329</v>
      </c>
      <c r="E956" t="s">
        <v>3986</v>
      </c>
      <c r="F956" t="s">
        <v>5408</v>
      </c>
      <c r="G956" t="s">
        <v>5638</v>
      </c>
      <c r="H956">
        <v>10025</v>
      </c>
      <c r="I956" t="s">
        <v>5695</v>
      </c>
      <c r="J956" t="s">
        <v>5696</v>
      </c>
      <c r="K956" t="s">
        <v>6111</v>
      </c>
      <c r="L956" t="s">
        <v>6714</v>
      </c>
      <c r="M956" t="s">
        <v>6734</v>
      </c>
      <c r="O956" t="s">
        <v>6749</v>
      </c>
      <c r="P956" t="s">
        <v>5697</v>
      </c>
      <c r="R956" t="s">
        <v>6793</v>
      </c>
      <c r="S956" t="s">
        <v>6801</v>
      </c>
      <c r="U956">
        <v>2450</v>
      </c>
      <c r="V956" t="s">
        <v>6836</v>
      </c>
      <c r="W956" t="s">
        <v>6839</v>
      </c>
      <c r="Y956" t="s">
        <v>7782</v>
      </c>
      <c r="AA956" t="s">
        <v>9840</v>
      </c>
      <c r="AB956">
        <v>0</v>
      </c>
      <c r="AC956" t="s">
        <v>10929</v>
      </c>
      <c r="AD956" t="s">
        <v>5741</v>
      </c>
      <c r="AE956">
        <v>35</v>
      </c>
      <c r="AF956">
        <v>1</v>
      </c>
      <c r="AG956">
        <v>0</v>
      </c>
      <c r="AH956">
        <v>0</v>
      </c>
      <c r="AK956" t="s">
        <v>10966</v>
      </c>
      <c r="AL956">
        <v>0</v>
      </c>
      <c r="AR956">
        <v>0</v>
      </c>
      <c r="AT956" t="s">
        <v>305</v>
      </c>
      <c r="AU956" t="s">
        <v>11228</v>
      </c>
      <c r="AV956" t="s">
        <v>11231</v>
      </c>
      <c r="AW956" t="s">
        <v>6815</v>
      </c>
    </row>
    <row r="957" spans="1:49">
      <c r="A957" s="1">
        <f>HYPERLINK("https://lsnyc.legalserver.org/matter/dynamic-profile/view/1906218","19-1906218")</f>
        <v>0</v>
      </c>
      <c r="B957" t="s">
        <v>217</v>
      </c>
      <c r="C957" t="s">
        <v>997</v>
      </c>
      <c r="D957" t="s">
        <v>2330</v>
      </c>
      <c r="E957" t="s">
        <v>3987</v>
      </c>
      <c r="F957" t="s">
        <v>5098</v>
      </c>
      <c r="G957" t="s">
        <v>5645</v>
      </c>
      <c r="H957">
        <v>11102</v>
      </c>
      <c r="I957" t="s">
        <v>5695</v>
      </c>
      <c r="J957" t="s">
        <v>5696</v>
      </c>
      <c r="K957" t="s">
        <v>6112</v>
      </c>
      <c r="L957" t="s">
        <v>6714</v>
      </c>
      <c r="M957" t="s">
        <v>6734</v>
      </c>
      <c r="O957" t="s">
        <v>6750</v>
      </c>
      <c r="R957" t="s">
        <v>6793</v>
      </c>
      <c r="U957">
        <v>2100</v>
      </c>
      <c r="V957" t="s">
        <v>6837</v>
      </c>
      <c r="W957" t="s">
        <v>6840</v>
      </c>
      <c r="Y957" t="s">
        <v>7783</v>
      </c>
      <c r="Z957" t="s">
        <v>8990</v>
      </c>
      <c r="AA957" t="s">
        <v>9841</v>
      </c>
      <c r="AB957">
        <v>4</v>
      </c>
      <c r="AC957" t="s">
        <v>10930</v>
      </c>
      <c r="AD957" t="s">
        <v>5741</v>
      </c>
      <c r="AE957">
        <v>1</v>
      </c>
      <c r="AF957">
        <v>3</v>
      </c>
      <c r="AG957">
        <v>0</v>
      </c>
      <c r="AH957">
        <v>29.54</v>
      </c>
      <c r="AK957" t="s">
        <v>10966</v>
      </c>
      <c r="AL957">
        <v>6300</v>
      </c>
      <c r="AR957">
        <v>1.5</v>
      </c>
      <c r="AS957" t="s">
        <v>6821</v>
      </c>
      <c r="AT957" t="s">
        <v>11184</v>
      </c>
      <c r="AU957" t="s">
        <v>11228</v>
      </c>
      <c r="AV957" t="s">
        <v>11231</v>
      </c>
      <c r="AW957" t="s">
        <v>6821</v>
      </c>
    </row>
    <row r="958" spans="1:49">
      <c r="A958" s="1">
        <f>HYPERLINK("https://lsnyc.legalserver.org/matter/dynamic-profile/view/1900946","19-1900946")</f>
        <v>0</v>
      </c>
      <c r="B958" t="s">
        <v>55</v>
      </c>
      <c r="C958" t="s">
        <v>359</v>
      </c>
      <c r="D958" t="s">
        <v>2331</v>
      </c>
      <c r="E958" t="s">
        <v>3988</v>
      </c>
      <c r="F958" t="s">
        <v>5304</v>
      </c>
      <c r="G958" t="s">
        <v>5638</v>
      </c>
      <c r="H958">
        <v>10031</v>
      </c>
      <c r="I958" t="s">
        <v>5695</v>
      </c>
      <c r="J958" t="s">
        <v>5696</v>
      </c>
      <c r="K958" t="s">
        <v>6113</v>
      </c>
      <c r="L958" t="s">
        <v>6714</v>
      </c>
      <c r="M958" t="s">
        <v>6734</v>
      </c>
      <c r="O958" t="s">
        <v>6759</v>
      </c>
      <c r="P958" t="s">
        <v>5697</v>
      </c>
      <c r="R958" t="s">
        <v>6793</v>
      </c>
      <c r="S958" t="s">
        <v>6801</v>
      </c>
      <c r="U958">
        <v>2500</v>
      </c>
      <c r="V958" t="s">
        <v>6836</v>
      </c>
      <c r="W958" t="s">
        <v>6839</v>
      </c>
      <c r="Y958" t="s">
        <v>7784</v>
      </c>
      <c r="AA958" t="s">
        <v>9842</v>
      </c>
      <c r="AB958">
        <v>0</v>
      </c>
      <c r="AC958" t="s">
        <v>10929</v>
      </c>
      <c r="AD958" t="s">
        <v>5741</v>
      </c>
      <c r="AE958">
        <v>3</v>
      </c>
      <c r="AF958">
        <v>3</v>
      </c>
      <c r="AG958">
        <v>1</v>
      </c>
      <c r="AH958">
        <v>355.81</v>
      </c>
      <c r="AK958" t="s">
        <v>10966</v>
      </c>
      <c r="AL958">
        <v>91619.96000000001</v>
      </c>
      <c r="AR958">
        <v>2</v>
      </c>
      <c r="AS958" t="s">
        <v>11120</v>
      </c>
      <c r="AT958" t="s">
        <v>305</v>
      </c>
      <c r="AU958" t="s">
        <v>11228</v>
      </c>
      <c r="AV958" t="s">
        <v>11231</v>
      </c>
      <c r="AW958" t="s">
        <v>11120</v>
      </c>
    </row>
    <row r="959" spans="1:49">
      <c r="A959" s="1">
        <f>HYPERLINK("https://lsnyc.legalserver.org/matter/dynamic-profile/view/1905242","19-1905242")</f>
        <v>0</v>
      </c>
      <c r="B959" t="s">
        <v>105</v>
      </c>
      <c r="C959" t="s">
        <v>998</v>
      </c>
      <c r="D959" t="s">
        <v>2332</v>
      </c>
      <c r="E959" t="s">
        <v>3989</v>
      </c>
      <c r="F959" t="s">
        <v>5409</v>
      </c>
      <c r="G959" t="s">
        <v>5635</v>
      </c>
      <c r="H959">
        <v>10472</v>
      </c>
      <c r="I959" t="s">
        <v>5695</v>
      </c>
      <c r="J959" t="s">
        <v>5696</v>
      </c>
      <c r="K959" t="s">
        <v>6114</v>
      </c>
      <c r="L959" t="s">
        <v>6714</v>
      </c>
      <c r="M959" t="s">
        <v>6734</v>
      </c>
      <c r="O959" t="s">
        <v>6753</v>
      </c>
      <c r="P959" t="s">
        <v>5697</v>
      </c>
      <c r="R959" t="s">
        <v>6793</v>
      </c>
      <c r="S959" t="s">
        <v>6801</v>
      </c>
      <c r="U959">
        <v>1230</v>
      </c>
      <c r="V959" t="s">
        <v>6833</v>
      </c>
      <c r="Y959" t="s">
        <v>7683</v>
      </c>
      <c r="AA959" t="s">
        <v>9843</v>
      </c>
      <c r="AB959">
        <v>50</v>
      </c>
      <c r="AC959" t="s">
        <v>10929</v>
      </c>
      <c r="AE959">
        <v>2</v>
      </c>
      <c r="AF959">
        <v>3</v>
      </c>
      <c r="AG959">
        <v>0</v>
      </c>
      <c r="AH959">
        <v>226.72</v>
      </c>
      <c r="AK959" t="s">
        <v>10967</v>
      </c>
      <c r="AL959">
        <v>48360</v>
      </c>
      <c r="AM959" t="s">
        <v>11058</v>
      </c>
      <c r="AR959">
        <v>0.25</v>
      </c>
      <c r="AS959" t="s">
        <v>6820</v>
      </c>
      <c r="AT959" t="s">
        <v>288</v>
      </c>
      <c r="AU959" t="s">
        <v>11228</v>
      </c>
      <c r="AV959" t="s">
        <v>11231</v>
      </c>
      <c r="AW959" t="s">
        <v>6808</v>
      </c>
    </row>
    <row r="960" spans="1:49">
      <c r="A960" s="1">
        <f>HYPERLINK("https://lsnyc.legalserver.org/matter/dynamic-profile/view/1904117","19-1904117")</f>
        <v>0</v>
      </c>
      <c r="B960" t="s">
        <v>243</v>
      </c>
      <c r="C960" t="s">
        <v>999</v>
      </c>
      <c r="D960" t="s">
        <v>2333</v>
      </c>
      <c r="E960" t="s">
        <v>3990</v>
      </c>
      <c r="F960">
        <v>2</v>
      </c>
      <c r="G960" t="s">
        <v>5676</v>
      </c>
      <c r="H960">
        <v>11385</v>
      </c>
      <c r="I960" t="s">
        <v>5695</v>
      </c>
      <c r="J960" t="s">
        <v>5696</v>
      </c>
      <c r="K960" t="s">
        <v>6115</v>
      </c>
      <c r="L960" t="s">
        <v>6714</v>
      </c>
      <c r="M960" t="s">
        <v>6734</v>
      </c>
      <c r="O960" t="s">
        <v>6752</v>
      </c>
      <c r="R960" t="s">
        <v>6793</v>
      </c>
      <c r="S960" t="s">
        <v>6801</v>
      </c>
      <c r="T960" t="s">
        <v>6817</v>
      </c>
      <c r="U960">
        <v>1450</v>
      </c>
      <c r="V960" t="s">
        <v>6837</v>
      </c>
      <c r="W960" t="s">
        <v>6840</v>
      </c>
      <c r="Y960" t="s">
        <v>6921</v>
      </c>
      <c r="AA960" t="s">
        <v>9844</v>
      </c>
      <c r="AB960">
        <v>2</v>
      </c>
      <c r="AC960" t="s">
        <v>8953</v>
      </c>
      <c r="AD960" t="s">
        <v>5741</v>
      </c>
      <c r="AE960">
        <v>3</v>
      </c>
      <c r="AF960">
        <v>2</v>
      </c>
      <c r="AG960">
        <v>2</v>
      </c>
      <c r="AH960">
        <v>77.28</v>
      </c>
      <c r="AK960" t="s">
        <v>10966</v>
      </c>
      <c r="AL960">
        <v>19900</v>
      </c>
      <c r="AR960">
        <v>0.1</v>
      </c>
      <c r="AS960" t="s">
        <v>6809</v>
      </c>
      <c r="AT960" t="s">
        <v>243</v>
      </c>
      <c r="AV960" t="s">
        <v>11231</v>
      </c>
      <c r="AW960" t="s">
        <v>6817</v>
      </c>
    </row>
    <row r="961" spans="1:49">
      <c r="A961" s="1">
        <f>HYPERLINK("https://lsnyc.legalserver.org/matter/dynamic-profile/view/1897627","19-1897627")</f>
        <v>0</v>
      </c>
      <c r="B961" t="s">
        <v>117</v>
      </c>
      <c r="C961" t="s">
        <v>1000</v>
      </c>
      <c r="D961" t="s">
        <v>2334</v>
      </c>
      <c r="E961" t="s">
        <v>3991</v>
      </c>
      <c r="F961" t="s">
        <v>5154</v>
      </c>
      <c r="G961" t="s">
        <v>5637</v>
      </c>
      <c r="H961">
        <v>11223</v>
      </c>
      <c r="I961" t="s">
        <v>5696</v>
      </c>
      <c r="J961" t="s">
        <v>5696</v>
      </c>
      <c r="L961" t="s">
        <v>6714</v>
      </c>
      <c r="M961" t="s">
        <v>6734</v>
      </c>
      <c r="O961" t="s">
        <v>6754</v>
      </c>
      <c r="R961" t="s">
        <v>6793</v>
      </c>
      <c r="U961">
        <v>0</v>
      </c>
      <c r="V961" t="s">
        <v>6835</v>
      </c>
      <c r="Y961" t="s">
        <v>7785</v>
      </c>
      <c r="AA961" t="s">
        <v>9845</v>
      </c>
      <c r="AB961">
        <v>0</v>
      </c>
      <c r="AC961" t="s">
        <v>10929</v>
      </c>
      <c r="AD961" t="s">
        <v>5741</v>
      </c>
      <c r="AE961">
        <v>0</v>
      </c>
      <c r="AF961">
        <v>1</v>
      </c>
      <c r="AG961">
        <v>0</v>
      </c>
      <c r="AH961">
        <v>39.96</v>
      </c>
      <c r="AK961" t="s">
        <v>10969</v>
      </c>
      <c r="AL961">
        <v>4991</v>
      </c>
      <c r="AR961">
        <v>11.75</v>
      </c>
      <c r="AS961" t="s">
        <v>11144</v>
      </c>
      <c r="AT961" t="s">
        <v>11198</v>
      </c>
      <c r="AV961" t="s">
        <v>11231</v>
      </c>
      <c r="AW961" t="s">
        <v>11159</v>
      </c>
    </row>
    <row r="962" spans="1:49">
      <c r="A962" s="1">
        <f>HYPERLINK("https://lsnyc.legalserver.org/matter/dynamic-profile/view/1903192","19-1903192")</f>
        <v>0</v>
      </c>
      <c r="B962" t="s">
        <v>231</v>
      </c>
      <c r="C962" t="s">
        <v>1001</v>
      </c>
      <c r="D962" t="s">
        <v>2335</v>
      </c>
      <c r="E962" t="s">
        <v>3992</v>
      </c>
      <c r="F962" t="s">
        <v>5145</v>
      </c>
      <c r="G962" t="s">
        <v>5637</v>
      </c>
      <c r="H962">
        <v>11218</v>
      </c>
      <c r="I962" t="s">
        <v>5695</v>
      </c>
      <c r="J962" t="s">
        <v>5696</v>
      </c>
      <c r="K962" t="s">
        <v>6116</v>
      </c>
      <c r="L962" t="s">
        <v>6714</v>
      </c>
      <c r="M962" t="s">
        <v>6734</v>
      </c>
      <c r="O962" t="s">
        <v>6746</v>
      </c>
      <c r="R962" t="s">
        <v>6793</v>
      </c>
      <c r="U962">
        <v>1800</v>
      </c>
      <c r="V962" t="s">
        <v>6835</v>
      </c>
      <c r="W962" t="s">
        <v>6840</v>
      </c>
      <c r="Y962" t="s">
        <v>7786</v>
      </c>
      <c r="Z962" t="s">
        <v>8991</v>
      </c>
      <c r="AB962">
        <v>6</v>
      </c>
      <c r="AD962" t="s">
        <v>10944</v>
      </c>
      <c r="AE962">
        <v>5</v>
      </c>
      <c r="AF962">
        <v>2</v>
      </c>
      <c r="AG962">
        <v>1</v>
      </c>
      <c r="AH962">
        <v>109.7</v>
      </c>
      <c r="AK962" t="s">
        <v>10966</v>
      </c>
      <c r="AL962">
        <v>23400</v>
      </c>
      <c r="AR962">
        <v>2.6</v>
      </c>
      <c r="AS962" t="s">
        <v>6819</v>
      </c>
      <c r="AT962" t="s">
        <v>11178</v>
      </c>
      <c r="AU962" t="s">
        <v>11228</v>
      </c>
      <c r="AV962" t="s">
        <v>11231</v>
      </c>
      <c r="AW962" t="s">
        <v>10953</v>
      </c>
    </row>
    <row r="963" spans="1:49">
      <c r="A963" s="1">
        <f>HYPERLINK("https://lsnyc.legalserver.org/matter/dynamic-profile/view/1901141","19-1901141")</f>
        <v>0</v>
      </c>
      <c r="B963" t="s">
        <v>84</v>
      </c>
      <c r="C963" t="s">
        <v>986</v>
      </c>
      <c r="D963" t="s">
        <v>1746</v>
      </c>
      <c r="E963" t="s">
        <v>3993</v>
      </c>
      <c r="F963" t="s">
        <v>5410</v>
      </c>
      <c r="G963" t="s">
        <v>5637</v>
      </c>
      <c r="H963">
        <v>11212</v>
      </c>
      <c r="I963" t="s">
        <v>5696</v>
      </c>
      <c r="J963" t="s">
        <v>5696</v>
      </c>
      <c r="L963" t="s">
        <v>6714</v>
      </c>
      <c r="M963" t="s">
        <v>6734</v>
      </c>
      <c r="O963" t="s">
        <v>6745</v>
      </c>
      <c r="P963" t="s">
        <v>5697</v>
      </c>
      <c r="R963" t="s">
        <v>6793</v>
      </c>
      <c r="U963">
        <v>247</v>
      </c>
      <c r="V963" t="s">
        <v>6835</v>
      </c>
      <c r="Y963" t="s">
        <v>7787</v>
      </c>
      <c r="AB963">
        <v>0</v>
      </c>
      <c r="AD963" t="s">
        <v>10944</v>
      </c>
      <c r="AE963">
        <v>0</v>
      </c>
      <c r="AF963">
        <v>1</v>
      </c>
      <c r="AG963">
        <v>0</v>
      </c>
      <c r="AH963">
        <v>76.86</v>
      </c>
      <c r="AK963" t="s">
        <v>10966</v>
      </c>
      <c r="AL963">
        <v>9600</v>
      </c>
      <c r="AR963">
        <v>2.05</v>
      </c>
      <c r="AS963" t="s">
        <v>11150</v>
      </c>
      <c r="AT963" t="s">
        <v>84</v>
      </c>
      <c r="AV963" t="s">
        <v>11231</v>
      </c>
      <c r="AW963" t="s">
        <v>11143</v>
      </c>
    </row>
    <row r="964" spans="1:49">
      <c r="A964" s="1">
        <f>HYPERLINK("https://lsnyc.legalserver.org/matter/dynamic-profile/view/1903741","19-1903741")</f>
        <v>0</v>
      </c>
      <c r="B964" t="s">
        <v>233</v>
      </c>
      <c r="C964" t="s">
        <v>1002</v>
      </c>
      <c r="D964" t="s">
        <v>2336</v>
      </c>
      <c r="E964" t="s">
        <v>3994</v>
      </c>
      <c r="F964" t="s">
        <v>5162</v>
      </c>
      <c r="G964" t="s">
        <v>5637</v>
      </c>
      <c r="H964">
        <v>11226</v>
      </c>
      <c r="I964" t="s">
        <v>5695</v>
      </c>
      <c r="J964" t="s">
        <v>5696</v>
      </c>
      <c r="K964" t="s">
        <v>6117</v>
      </c>
      <c r="L964" t="s">
        <v>6714</v>
      </c>
      <c r="M964" t="s">
        <v>6734</v>
      </c>
      <c r="O964" t="s">
        <v>6755</v>
      </c>
      <c r="R964" t="s">
        <v>6793</v>
      </c>
      <c r="U964">
        <v>0</v>
      </c>
      <c r="V964" t="s">
        <v>6835</v>
      </c>
      <c r="W964" t="s">
        <v>6840</v>
      </c>
      <c r="Y964" t="s">
        <v>7788</v>
      </c>
      <c r="AB964">
        <v>36</v>
      </c>
      <c r="AE964">
        <v>0</v>
      </c>
      <c r="AF964">
        <v>2</v>
      </c>
      <c r="AG964">
        <v>2</v>
      </c>
      <c r="AH964">
        <v>104.85</v>
      </c>
      <c r="AK964" t="s">
        <v>10966</v>
      </c>
      <c r="AL964">
        <v>27000</v>
      </c>
      <c r="AR964">
        <v>2.5</v>
      </c>
      <c r="AS964" t="s">
        <v>6823</v>
      </c>
      <c r="AT964" t="s">
        <v>11178</v>
      </c>
      <c r="AU964" t="s">
        <v>11228</v>
      </c>
      <c r="AV964" t="s">
        <v>11231</v>
      </c>
      <c r="AW964" t="s">
        <v>6811</v>
      </c>
    </row>
    <row r="965" spans="1:49">
      <c r="A965" s="1">
        <f>HYPERLINK("https://lsnyc.legalserver.org/matter/dynamic-profile/view/1906004","19-1906004")</f>
        <v>0</v>
      </c>
      <c r="B965" t="s">
        <v>129</v>
      </c>
      <c r="C965" t="s">
        <v>1003</v>
      </c>
      <c r="D965" t="s">
        <v>2337</v>
      </c>
      <c r="G965" t="s">
        <v>5637</v>
      </c>
      <c r="H965">
        <v>11216</v>
      </c>
      <c r="I965" t="s">
        <v>5696</v>
      </c>
      <c r="J965" t="s">
        <v>5696</v>
      </c>
      <c r="K965" t="s">
        <v>6118</v>
      </c>
      <c r="L965" t="s">
        <v>6714</v>
      </c>
      <c r="M965" t="s">
        <v>6734</v>
      </c>
      <c r="O965" t="s">
        <v>6755</v>
      </c>
      <c r="R965" t="s">
        <v>6793</v>
      </c>
      <c r="U965">
        <v>0</v>
      </c>
      <c r="V965" t="s">
        <v>6835</v>
      </c>
      <c r="W965" t="s">
        <v>6842</v>
      </c>
      <c r="AB965">
        <v>0</v>
      </c>
      <c r="AE965">
        <v>0</v>
      </c>
      <c r="AF965">
        <v>1</v>
      </c>
      <c r="AG965">
        <v>0</v>
      </c>
      <c r="AH965">
        <v>115.29</v>
      </c>
      <c r="AK965" t="s">
        <v>10966</v>
      </c>
      <c r="AL965">
        <v>14400</v>
      </c>
      <c r="AR965">
        <v>0</v>
      </c>
      <c r="AT965" t="s">
        <v>280</v>
      </c>
      <c r="AV965" t="s">
        <v>11231</v>
      </c>
      <c r="AW965" t="s">
        <v>6826</v>
      </c>
    </row>
    <row r="966" spans="1:49">
      <c r="A966" s="1">
        <f>HYPERLINK("https://lsnyc.legalserver.org/matter/dynamic-profile/view/1905975","19-1905975")</f>
        <v>0</v>
      </c>
      <c r="B966" t="s">
        <v>95</v>
      </c>
      <c r="C966" t="s">
        <v>1004</v>
      </c>
      <c r="D966" t="s">
        <v>1453</v>
      </c>
      <c r="E966" t="s">
        <v>3995</v>
      </c>
      <c r="F966" t="s">
        <v>5411</v>
      </c>
      <c r="G966" t="s">
        <v>5637</v>
      </c>
      <c r="H966">
        <v>11212</v>
      </c>
      <c r="I966" t="s">
        <v>5695</v>
      </c>
      <c r="J966" t="s">
        <v>5696</v>
      </c>
      <c r="K966" t="s">
        <v>6119</v>
      </c>
      <c r="L966" t="s">
        <v>6714</v>
      </c>
      <c r="M966" t="s">
        <v>6734</v>
      </c>
      <c r="O966" t="s">
        <v>6746</v>
      </c>
      <c r="R966" t="s">
        <v>6793</v>
      </c>
      <c r="U966">
        <v>482</v>
      </c>
      <c r="V966" t="s">
        <v>6835</v>
      </c>
      <c r="Y966" t="s">
        <v>7789</v>
      </c>
      <c r="AB966">
        <v>0</v>
      </c>
      <c r="AE966">
        <v>0</v>
      </c>
      <c r="AF966">
        <v>1</v>
      </c>
      <c r="AG966">
        <v>0</v>
      </c>
      <c r="AH966">
        <v>124.9</v>
      </c>
      <c r="AK966" t="s">
        <v>10966</v>
      </c>
      <c r="AL966">
        <v>15600</v>
      </c>
      <c r="AR966">
        <v>0</v>
      </c>
      <c r="AT966" t="s">
        <v>11190</v>
      </c>
      <c r="AU966" t="s">
        <v>11228</v>
      </c>
      <c r="AV966" t="s">
        <v>11231</v>
      </c>
      <c r="AW966" t="s">
        <v>6826</v>
      </c>
    </row>
    <row r="967" spans="1:49">
      <c r="A967" s="1">
        <f>HYPERLINK("https://lsnyc.legalserver.org/matter/dynamic-profile/view/1899022","19-1899022")</f>
        <v>0</v>
      </c>
      <c r="B967" t="s">
        <v>117</v>
      </c>
      <c r="C967" t="s">
        <v>846</v>
      </c>
      <c r="D967" t="s">
        <v>2170</v>
      </c>
      <c r="E967" t="s">
        <v>3762</v>
      </c>
      <c r="F967" t="s">
        <v>5328</v>
      </c>
      <c r="G967" t="s">
        <v>5637</v>
      </c>
      <c r="H967">
        <v>11230</v>
      </c>
      <c r="I967" t="s">
        <v>5696</v>
      </c>
      <c r="J967" t="s">
        <v>5696</v>
      </c>
      <c r="K967" t="s">
        <v>6120</v>
      </c>
      <c r="L967" t="s">
        <v>6714</v>
      </c>
      <c r="M967" t="s">
        <v>6734</v>
      </c>
      <c r="O967" t="s">
        <v>6754</v>
      </c>
      <c r="R967" t="s">
        <v>6795</v>
      </c>
      <c r="U967">
        <v>0</v>
      </c>
      <c r="V967" t="s">
        <v>6835</v>
      </c>
      <c r="Y967" t="s">
        <v>7074</v>
      </c>
      <c r="AB967">
        <v>0</v>
      </c>
      <c r="AE967">
        <v>0</v>
      </c>
      <c r="AF967">
        <v>1</v>
      </c>
      <c r="AG967">
        <v>0</v>
      </c>
      <c r="AH967">
        <v>0</v>
      </c>
      <c r="AK967" t="s">
        <v>10969</v>
      </c>
      <c r="AL967">
        <v>0</v>
      </c>
      <c r="AR967">
        <v>22.75</v>
      </c>
      <c r="AS967" t="s">
        <v>6814</v>
      </c>
      <c r="AT967" t="s">
        <v>11198</v>
      </c>
      <c r="AV967" t="s">
        <v>11231</v>
      </c>
      <c r="AW967" t="s">
        <v>11156</v>
      </c>
    </row>
    <row r="968" spans="1:49">
      <c r="A968" s="1">
        <f>HYPERLINK("https://lsnyc.legalserver.org/matter/dynamic-profile/view/1896334","19-1896334")</f>
        <v>0</v>
      </c>
      <c r="B968" t="s">
        <v>226</v>
      </c>
      <c r="C968" t="s">
        <v>1005</v>
      </c>
      <c r="D968" t="s">
        <v>2338</v>
      </c>
      <c r="E968" t="s">
        <v>3996</v>
      </c>
      <c r="F968" t="s">
        <v>5412</v>
      </c>
      <c r="G968" t="s">
        <v>5638</v>
      </c>
      <c r="H968">
        <v>10034</v>
      </c>
      <c r="I968" t="s">
        <v>5696</v>
      </c>
      <c r="J968" t="s">
        <v>5696</v>
      </c>
      <c r="K968" t="s">
        <v>6121</v>
      </c>
      <c r="L968" t="s">
        <v>6714</v>
      </c>
      <c r="M968" t="s">
        <v>6734</v>
      </c>
      <c r="O968" t="s">
        <v>6745</v>
      </c>
      <c r="P968" t="s">
        <v>5697</v>
      </c>
      <c r="R968" t="s">
        <v>6793</v>
      </c>
      <c r="U968">
        <v>1250</v>
      </c>
      <c r="V968" t="s">
        <v>6836</v>
      </c>
      <c r="W968" t="s">
        <v>6842</v>
      </c>
      <c r="Y968" t="s">
        <v>7790</v>
      </c>
      <c r="AB968">
        <v>0</v>
      </c>
      <c r="AC968" t="s">
        <v>10929</v>
      </c>
      <c r="AD968" t="s">
        <v>5741</v>
      </c>
      <c r="AE968">
        <v>13</v>
      </c>
      <c r="AF968">
        <v>1</v>
      </c>
      <c r="AG968">
        <v>0</v>
      </c>
      <c r="AH968">
        <v>0</v>
      </c>
      <c r="AK968" t="s">
        <v>10967</v>
      </c>
      <c r="AL968">
        <v>0</v>
      </c>
      <c r="AR968">
        <v>1</v>
      </c>
      <c r="AS968" t="s">
        <v>11165</v>
      </c>
      <c r="AT968" t="s">
        <v>11194</v>
      </c>
      <c r="AV968" t="s">
        <v>11231</v>
      </c>
      <c r="AW968" t="s">
        <v>11170</v>
      </c>
    </row>
    <row r="969" spans="1:49">
      <c r="A969" s="1">
        <f>HYPERLINK("https://lsnyc.legalserver.org/matter/dynamic-profile/view/1905020","19-1905020")</f>
        <v>0</v>
      </c>
      <c r="B969" t="s">
        <v>171</v>
      </c>
      <c r="C969" t="s">
        <v>355</v>
      </c>
      <c r="D969" t="s">
        <v>2339</v>
      </c>
      <c r="E969" t="s">
        <v>3997</v>
      </c>
      <c r="F969" t="s">
        <v>5380</v>
      </c>
      <c r="G969" t="s">
        <v>5637</v>
      </c>
      <c r="H969">
        <v>11216</v>
      </c>
      <c r="I969" t="s">
        <v>5695</v>
      </c>
      <c r="J969" t="s">
        <v>5696</v>
      </c>
      <c r="K969" t="s">
        <v>6122</v>
      </c>
      <c r="L969" t="s">
        <v>6715</v>
      </c>
      <c r="M969" t="s">
        <v>6734</v>
      </c>
      <c r="O969" t="s">
        <v>6756</v>
      </c>
      <c r="R969" t="s">
        <v>6794</v>
      </c>
      <c r="U969">
        <v>349</v>
      </c>
      <c r="V969" t="s">
        <v>6835</v>
      </c>
      <c r="W969" t="s">
        <v>6838</v>
      </c>
      <c r="Y969" t="s">
        <v>7791</v>
      </c>
      <c r="AA969" t="s">
        <v>9846</v>
      </c>
      <c r="AB969">
        <v>24</v>
      </c>
      <c r="AE969">
        <v>23</v>
      </c>
      <c r="AF969">
        <v>1</v>
      </c>
      <c r="AG969">
        <v>1</v>
      </c>
      <c r="AH969">
        <v>10.16</v>
      </c>
      <c r="AK969" t="s">
        <v>10966</v>
      </c>
      <c r="AL969">
        <v>1718.4</v>
      </c>
      <c r="AR969">
        <v>0</v>
      </c>
      <c r="AT969" t="s">
        <v>11190</v>
      </c>
      <c r="AU969" t="s">
        <v>11228</v>
      </c>
      <c r="AV969" t="s">
        <v>11231</v>
      </c>
      <c r="AW969" t="s">
        <v>6812</v>
      </c>
    </row>
    <row r="970" spans="1:49">
      <c r="A970" s="1">
        <f>HYPERLINK("https://lsnyc.legalserver.org/matter/dynamic-profile/view/1905967","19-1905967")</f>
        <v>0</v>
      </c>
      <c r="B970" t="s">
        <v>244</v>
      </c>
      <c r="C970" t="s">
        <v>763</v>
      </c>
      <c r="D970" t="s">
        <v>1753</v>
      </c>
      <c r="E970" t="s">
        <v>3998</v>
      </c>
      <c r="F970" t="s">
        <v>5413</v>
      </c>
      <c r="G970" t="s">
        <v>5638</v>
      </c>
      <c r="H970">
        <v>10030</v>
      </c>
      <c r="I970" t="s">
        <v>5695</v>
      </c>
      <c r="J970" t="s">
        <v>5696</v>
      </c>
      <c r="K970" t="s">
        <v>6123</v>
      </c>
      <c r="L970" t="s">
        <v>6716</v>
      </c>
      <c r="M970" t="s">
        <v>6734</v>
      </c>
      <c r="O970" t="s">
        <v>6759</v>
      </c>
      <c r="P970" t="s">
        <v>5695</v>
      </c>
      <c r="R970" t="s">
        <v>6794</v>
      </c>
      <c r="U970">
        <v>240.6</v>
      </c>
      <c r="V970" t="s">
        <v>6836</v>
      </c>
      <c r="W970" t="s">
        <v>6842</v>
      </c>
      <c r="Y970" t="s">
        <v>7792</v>
      </c>
      <c r="AA970" t="s">
        <v>9847</v>
      </c>
      <c r="AB970">
        <v>0</v>
      </c>
      <c r="AC970" t="s">
        <v>10931</v>
      </c>
      <c r="AD970" t="s">
        <v>5741</v>
      </c>
      <c r="AE970">
        <v>21</v>
      </c>
      <c r="AF970">
        <v>1</v>
      </c>
      <c r="AG970">
        <v>0</v>
      </c>
      <c r="AH970">
        <v>72.06</v>
      </c>
      <c r="AK970" t="s">
        <v>10966</v>
      </c>
      <c r="AL970">
        <v>9000</v>
      </c>
      <c r="AR970">
        <v>0</v>
      </c>
      <c r="AT970" t="s">
        <v>305</v>
      </c>
      <c r="AU970" t="s">
        <v>11228</v>
      </c>
      <c r="AV970" t="s">
        <v>11231</v>
      </c>
      <c r="AW970" t="s">
        <v>6826</v>
      </c>
    </row>
    <row r="971" spans="1:49">
      <c r="A971" s="1">
        <f>HYPERLINK("https://lsnyc.legalserver.org/matter/dynamic-profile/view/1899705","19-1899705")</f>
        <v>0</v>
      </c>
      <c r="B971" t="s">
        <v>136</v>
      </c>
      <c r="C971" t="s">
        <v>1006</v>
      </c>
      <c r="D971" t="s">
        <v>2340</v>
      </c>
      <c r="E971" t="s">
        <v>3999</v>
      </c>
      <c r="F971" t="s">
        <v>5100</v>
      </c>
      <c r="G971" t="s">
        <v>5637</v>
      </c>
      <c r="H971">
        <v>11225</v>
      </c>
      <c r="I971" t="s">
        <v>5696</v>
      </c>
      <c r="J971" t="s">
        <v>5696</v>
      </c>
      <c r="L971" t="s">
        <v>6727</v>
      </c>
      <c r="M971" t="s">
        <v>6734</v>
      </c>
      <c r="O971" t="s">
        <v>6771</v>
      </c>
      <c r="P971" t="s">
        <v>5697</v>
      </c>
      <c r="R971" t="s">
        <v>6793</v>
      </c>
      <c r="U971">
        <v>1331.74</v>
      </c>
      <c r="V971" t="s">
        <v>6835</v>
      </c>
      <c r="W971" t="s">
        <v>6843</v>
      </c>
      <c r="Y971" t="s">
        <v>7793</v>
      </c>
      <c r="AA971" t="s">
        <v>9848</v>
      </c>
      <c r="AB971">
        <v>23</v>
      </c>
      <c r="AC971" t="s">
        <v>10929</v>
      </c>
      <c r="AE971">
        <v>7</v>
      </c>
      <c r="AF971">
        <v>1</v>
      </c>
      <c r="AG971">
        <v>0</v>
      </c>
      <c r="AH971">
        <v>33.73</v>
      </c>
      <c r="AK971" t="s">
        <v>10966</v>
      </c>
      <c r="AL971">
        <v>4212.48</v>
      </c>
      <c r="AR971">
        <v>18.25</v>
      </c>
      <c r="AS971" t="s">
        <v>11168</v>
      </c>
      <c r="AT971" t="s">
        <v>141</v>
      </c>
      <c r="AV971" t="s">
        <v>11231</v>
      </c>
      <c r="AW971" t="s">
        <v>11146</v>
      </c>
    </row>
    <row r="972" spans="1:49">
      <c r="A972" s="1">
        <f>HYPERLINK("https://lsnyc.legalserver.org/matter/dynamic-profile/view/1895525","19-1895525")</f>
        <v>0</v>
      </c>
      <c r="B972" t="s">
        <v>85</v>
      </c>
      <c r="C972" t="s">
        <v>1007</v>
      </c>
      <c r="D972" t="s">
        <v>2341</v>
      </c>
      <c r="E972" t="s">
        <v>4000</v>
      </c>
      <c r="F972">
        <v>329</v>
      </c>
      <c r="G972" t="s">
        <v>5637</v>
      </c>
      <c r="H972">
        <v>11224</v>
      </c>
      <c r="I972" t="s">
        <v>5696</v>
      </c>
      <c r="J972" t="s">
        <v>5696</v>
      </c>
      <c r="L972" t="s">
        <v>6717</v>
      </c>
      <c r="M972" t="s">
        <v>6734</v>
      </c>
      <c r="O972" t="s">
        <v>6746</v>
      </c>
      <c r="R972" t="s">
        <v>6796</v>
      </c>
      <c r="U972">
        <v>0</v>
      </c>
      <c r="V972" t="s">
        <v>6835</v>
      </c>
      <c r="Y972" t="s">
        <v>7794</v>
      </c>
      <c r="AB972">
        <v>0</v>
      </c>
      <c r="AD972" t="s">
        <v>10944</v>
      </c>
      <c r="AE972">
        <v>0</v>
      </c>
      <c r="AF972">
        <v>1</v>
      </c>
      <c r="AG972">
        <v>0</v>
      </c>
      <c r="AH972">
        <v>83.68000000000001</v>
      </c>
      <c r="AK972" t="s">
        <v>10969</v>
      </c>
      <c r="AL972">
        <v>10452</v>
      </c>
      <c r="AR972">
        <v>12</v>
      </c>
      <c r="AS972" t="s">
        <v>6825</v>
      </c>
      <c r="AT972" t="s">
        <v>85</v>
      </c>
      <c r="AV972" t="s">
        <v>11231</v>
      </c>
      <c r="AW972" t="s">
        <v>10960</v>
      </c>
    </row>
    <row r="973" spans="1:49">
      <c r="A973" s="1">
        <f>HYPERLINK("https://lsnyc.legalserver.org/matter/dynamic-profile/view/1902568","19-1902568")</f>
        <v>0</v>
      </c>
      <c r="B973" t="s">
        <v>99</v>
      </c>
      <c r="C973" t="s">
        <v>1008</v>
      </c>
      <c r="D973" t="s">
        <v>2342</v>
      </c>
      <c r="E973" t="s">
        <v>4001</v>
      </c>
      <c r="F973" t="s">
        <v>5105</v>
      </c>
      <c r="G973" t="s">
        <v>5637</v>
      </c>
      <c r="H973">
        <v>11220</v>
      </c>
      <c r="I973" t="s">
        <v>5695</v>
      </c>
      <c r="J973" t="s">
        <v>5696</v>
      </c>
      <c r="K973" t="s">
        <v>6124</v>
      </c>
      <c r="L973" t="s">
        <v>6719</v>
      </c>
      <c r="M973" t="s">
        <v>6734</v>
      </c>
      <c r="O973" t="s">
        <v>6754</v>
      </c>
      <c r="R973" t="s">
        <v>6796</v>
      </c>
      <c r="U973">
        <v>188</v>
      </c>
      <c r="V973" t="s">
        <v>6835</v>
      </c>
      <c r="W973" t="s">
        <v>6841</v>
      </c>
      <c r="Y973" t="s">
        <v>7795</v>
      </c>
      <c r="AA973" t="s">
        <v>9849</v>
      </c>
      <c r="AB973">
        <v>8</v>
      </c>
      <c r="AD973" t="s">
        <v>10944</v>
      </c>
      <c r="AE973">
        <v>20</v>
      </c>
      <c r="AF973">
        <v>1</v>
      </c>
      <c r="AG973">
        <v>0</v>
      </c>
      <c r="AH973">
        <v>80.94</v>
      </c>
      <c r="AK973" t="s">
        <v>10967</v>
      </c>
      <c r="AL973">
        <v>10110</v>
      </c>
      <c r="AR973">
        <v>6</v>
      </c>
      <c r="AS973" t="s">
        <v>6814</v>
      </c>
      <c r="AT973" t="s">
        <v>11198</v>
      </c>
      <c r="AU973" t="s">
        <v>11228</v>
      </c>
      <c r="AV973" t="s">
        <v>11231</v>
      </c>
      <c r="AW973" t="s">
        <v>11116</v>
      </c>
    </row>
    <row r="974" spans="1:49">
      <c r="A974" s="1">
        <f>HYPERLINK("https://lsnyc.legalserver.org/matter/dynamic-profile/view/1906125","19-1906125")</f>
        <v>0</v>
      </c>
      <c r="B974" t="s">
        <v>111</v>
      </c>
      <c r="C974" t="s">
        <v>997</v>
      </c>
      <c r="D974" t="s">
        <v>2343</v>
      </c>
      <c r="E974" t="s">
        <v>4002</v>
      </c>
      <c r="F974" t="s">
        <v>5100</v>
      </c>
      <c r="G974" t="s">
        <v>5638</v>
      </c>
      <c r="H974">
        <v>10040</v>
      </c>
      <c r="I974" t="s">
        <v>5695</v>
      </c>
      <c r="J974" t="s">
        <v>5696</v>
      </c>
      <c r="L974" t="s">
        <v>6718</v>
      </c>
      <c r="M974" t="s">
        <v>6734</v>
      </c>
      <c r="O974" t="s">
        <v>6745</v>
      </c>
      <c r="P974" t="s">
        <v>5697</v>
      </c>
      <c r="R974" t="s">
        <v>6793</v>
      </c>
      <c r="T974" t="s">
        <v>6820</v>
      </c>
      <c r="U974">
        <v>1165.99</v>
      </c>
      <c r="V974" t="s">
        <v>6836</v>
      </c>
      <c r="W974" t="s">
        <v>6843</v>
      </c>
      <c r="Y974" t="s">
        <v>7796</v>
      </c>
      <c r="AA974" t="s">
        <v>9850</v>
      </c>
      <c r="AB974">
        <v>42</v>
      </c>
      <c r="AC974" t="s">
        <v>10929</v>
      </c>
      <c r="AD974" t="s">
        <v>5741</v>
      </c>
      <c r="AE974">
        <v>29</v>
      </c>
      <c r="AF974">
        <v>1</v>
      </c>
      <c r="AG974">
        <v>0</v>
      </c>
      <c r="AH974">
        <v>72.06</v>
      </c>
      <c r="AK974" t="s">
        <v>10966</v>
      </c>
      <c r="AL974">
        <v>9000</v>
      </c>
      <c r="AR974">
        <v>0.3</v>
      </c>
      <c r="AS974" t="s">
        <v>6827</v>
      </c>
      <c r="AT974" t="s">
        <v>11201</v>
      </c>
      <c r="AU974" t="s">
        <v>11228</v>
      </c>
      <c r="AV974" t="s">
        <v>11231</v>
      </c>
      <c r="AW974" t="s">
        <v>6820</v>
      </c>
    </row>
    <row r="975" spans="1:49">
      <c r="A975" s="1">
        <f>HYPERLINK("https://lsnyc.legalserver.org/matter/dynamic-profile/view/1904333","19-1904333")</f>
        <v>0</v>
      </c>
      <c r="B975" t="s">
        <v>226</v>
      </c>
      <c r="C975" t="s">
        <v>1009</v>
      </c>
      <c r="D975" t="s">
        <v>2344</v>
      </c>
      <c r="E975" t="s">
        <v>4003</v>
      </c>
      <c r="F975">
        <v>55</v>
      </c>
      <c r="G975" t="s">
        <v>5638</v>
      </c>
      <c r="H975">
        <v>10034</v>
      </c>
      <c r="I975" t="s">
        <v>5695</v>
      </c>
      <c r="J975" t="s">
        <v>5696</v>
      </c>
      <c r="L975" t="s">
        <v>6718</v>
      </c>
      <c r="M975" t="s">
        <v>6734</v>
      </c>
      <c r="O975" t="s">
        <v>6745</v>
      </c>
      <c r="P975" t="s">
        <v>5697</v>
      </c>
      <c r="R975" t="s">
        <v>6793</v>
      </c>
      <c r="T975" t="s">
        <v>6813</v>
      </c>
      <c r="U975">
        <v>1408.53</v>
      </c>
      <c r="V975" t="s">
        <v>6836</v>
      </c>
      <c r="W975" t="s">
        <v>6842</v>
      </c>
      <c r="Y975" t="s">
        <v>7797</v>
      </c>
      <c r="AA975" t="s">
        <v>9851</v>
      </c>
      <c r="AB975">
        <v>50</v>
      </c>
      <c r="AC975" t="s">
        <v>10929</v>
      </c>
      <c r="AD975" t="s">
        <v>5741</v>
      </c>
      <c r="AE975">
        <v>14</v>
      </c>
      <c r="AF975">
        <v>3</v>
      </c>
      <c r="AG975">
        <v>0</v>
      </c>
      <c r="AH975">
        <v>154.71</v>
      </c>
      <c r="AK975" t="s">
        <v>10967</v>
      </c>
      <c r="AL975">
        <v>33000</v>
      </c>
      <c r="AR975">
        <v>0</v>
      </c>
      <c r="AT975" t="s">
        <v>11201</v>
      </c>
      <c r="AU975" t="s">
        <v>11228</v>
      </c>
      <c r="AV975" t="s">
        <v>11231</v>
      </c>
      <c r="AW975" t="s">
        <v>6813</v>
      </c>
    </row>
    <row r="976" spans="1:49">
      <c r="A976" s="1">
        <f>HYPERLINK("https://lsnyc.legalserver.org/matter/dynamic-profile/view/1905528","19-1905528")</f>
        <v>0</v>
      </c>
      <c r="B976" t="s">
        <v>112</v>
      </c>
      <c r="C976" t="s">
        <v>345</v>
      </c>
      <c r="D976" t="s">
        <v>1757</v>
      </c>
      <c r="E976" t="s">
        <v>4004</v>
      </c>
      <c r="F976" t="s">
        <v>5176</v>
      </c>
      <c r="G976" t="s">
        <v>5635</v>
      </c>
      <c r="H976">
        <v>10463</v>
      </c>
      <c r="I976" t="s">
        <v>5695</v>
      </c>
      <c r="J976" t="s">
        <v>5696</v>
      </c>
      <c r="L976" t="s">
        <v>6718</v>
      </c>
      <c r="M976" t="s">
        <v>6734</v>
      </c>
      <c r="O976" t="s">
        <v>6745</v>
      </c>
      <c r="P976" t="s">
        <v>5697</v>
      </c>
      <c r="R976" t="s">
        <v>6793</v>
      </c>
      <c r="T976" t="s">
        <v>6819</v>
      </c>
      <c r="U976">
        <v>1300</v>
      </c>
      <c r="V976" t="s">
        <v>6836</v>
      </c>
      <c r="W976" t="s">
        <v>6842</v>
      </c>
      <c r="Y976" t="s">
        <v>7798</v>
      </c>
      <c r="Z976" t="s">
        <v>8992</v>
      </c>
      <c r="AA976" t="s">
        <v>9852</v>
      </c>
      <c r="AB976">
        <v>100</v>
      </c>
      <c r="AC976" t="s">
        <v>10929</v>
      </c>
      <c r="AD976" t="s">
        <v>5741</v>
      </c>
      <c r="AE976">
        <v>8</v>
      </c>
      <c r="AF976">
        <v>1</v>
      </c>
      <c r="AG976">
        <v>0</v>
      </c>
      <c r="AH976">
        <v>134.51</v>
      </c>
      <c r="AK976" t="s">
        <v>10967</v>
      </c>
      <c r="AL976">
        <v>16800</v>
      </c>
      <c r="AR976">
        <v>1</v>
      </c>
      <c r="AS976" t="s">
        <v>6819</v>
      </c>
      <c r="AT976" t="s">
        <v>11201</v>
      </c>
      <c r="AU976" t="s">
        <v>11228</v>
      </c>
      <c r="AV976" t="s">
        <v>11231</v>
      </c>
      <c r="AW976" t="s">
        <v>6819</v>
      </c>
    </row>
    <row r="977" spans="1:49">
      <c r="A977" s="1">
        <f>HYPERLINK("https://lsnyc.legalserver.org/matter/dynamic-profile/view/1904914","19-1904914")</f>
        <v>0</v>
      </c>
      <c r="B977" t="s">
        <v>223</v>
      </c>
      <c r="C977" t="s">
        <v>1010</v>
      </c>
      <c r="D977" t="s">
        <v>2345</v>
      </c>
      <c r="E977" t="s">
        <v>4005</v>
      </c>
      <c r="F977">
        <v>4</v>
      </c>
      <c r="G977" t="s">
        <v>5638</v>
      </c>
      <c r="H977">
        <v>10033</v>
      </c>
      <c r="I977" t="s">
        <v>5695</v>
      </c>
      <c r="J977" t="s">
        <v>5696</v>
      </c>
      <c r="L977" t="s">
        <v>6718</v>
      </c>
      <c r="M977" t="s">
        <v>6734</v>
      </c>
      <c r="O977" t="s">
        <v>6745</v>
      </c>
      <c r="P977" t="s">
        <v>5697</v>
      </c>
      <c r="R977" t="s">
        <v>6793</v>
      </c>
      <c r="T977" t="s">
        <v>6812</v>
      </c>
      <c r="U977">
        <v>529</v>
      </c>
      <c r="V977" t="s">
        <v>6836</v>
      </c>
      <c r="W977" t="s">
        <v>6842</v>
      </c>
      <c r="Y977" t="s">
        <v>7799</v>
      </c>
      <c r="AA977" t="s">
        <v>9853</v>
      </c>
      <c r="AB977">
        <v>20</v>
      </c>
      <c r="AC977" t="s">
        <v>10929</v>
      </c>
      <c r="AD977" t="s">
        <v>5741</v>
      </c>
      <c r="AE977">
        <v>2</v>
      </c>
      <c r="AF977">
        <v>1</v>
      </c>
      <c r="AG977">
        <v>0</v>
      </c>
      <c r="AH977">
        <v>124.9</v>
      </c>
      <c r="AK977" t="s">
        <v>10966</v>
      </c>
      <c r="AL977">
        <v>15600</v>
      </c>
      <c r="AR977">
        <v>1.2</v>
      </c>
      <c r="AS977" t="s">
        <v>6808</v>
      </c>
      <c r="AT977" t="s">
        <v>11201</v>
      </c>
      <c r="AU977" t="s">
        <v>11228</v>
      </c>
      <c r="AV977" t="s">
        <v>11231</v>
      </c>
      <c r="AW977" t="s">
        <v>6812</v>
      </c>
    </row>
    <row r="978" spans="1:49">
      <c r="A978" s="1">
        <f>HYPERLINK("https://lsnyc.legalserver.org/matter/dynamic-profile/view/1906099","19-1906099")</f>
        <v>0</v>
      </c>
      <c r="B978" t="s">
        <v>111</v>
      </c>
      <c r="C978" t="s">
        <v>1011</v>
      </c>
      <c r="D978" t="s">
        <v>2346</v>
      </c>
      <c r="E978" t="s">
        <v>4006</v>
      </c>
      <c r="F978" t="s">
        <v>5180</v>
      </c>
      <c r="G978" t="s">
        <v>5638</v>
      </c>
      <c r="H978">
        <v>10034</v>
      </c>
      <c r="I978" t="s">
        <v>5695</v>
      </c>
      <c r="J978" t="s">
        <v>5696</v>
      </c>
      <c r="L978" t="s">
        <v>6718</v>
      </c>
      <c r="M978" t="s">
        <v>6734</v>
      </c>
      <c r="O978" t="s">
        <v>6745</v>
      </c>
      <c r="P978" t="s">
        <v>5697</v>
      </c>
      <c r="R978" t="s">
        <v>6793</v>
      </c>
      <c r="T978" t="s">
        <v>6820</v>
      </c>
      <c r="U978">
        <v>175</v>
      </c>
      <c r="V978" t="s">
        <v>6836</v>
      </c>
      <c r="Y978" t="s">
        <v>7800</v>
      </c>
      <c r="AA978" t="s">
        <v>9854</v>
      </c>
      <c r="AB978">
        <v>30</v>
      </c>
      <c r="AC978" t="s">
        <v>10929</v>
      </c>
      <c r="AD978" t="s">
        <v>5741</v>
      </c>
      <c r="AE978">
        <v>6</v>
      </c>
      <c r="AF978">
        <v>1</v>
      </c>
      <c r="AG978">
        <v>0</v>
      </c>
      <c r="AH978">
        <v>69.97</v>
      </c>
      <c r="AK978" t="s">
        <v>10966</v>
      </c>
      <c r="AL978">
        <v>8739</v>
      </c>
      <c r="AR978">
        <v>0</v>
      </c>
      <c r="AT978" t="s">
        <v>11201</v>
      </c>
      <c r="AU978" t="s">
        <v>11228</v>
      </c>
      <c r="AV978" t="s">
        <v>11231</v>
      </c>
      <c r="AW978" t="s">
        <v>6820</v>
      </c>
    </row>
    <row r="979" spans="1:49">
      <c r="A979" s="1">
        <f>HYPERLINK("https://lsnyc.legalserver.org/matter/dynamic-profile/view/1904308","19-1904308")</f>
        <v>0</v>
      </c>
      <c r="B979" t="s">
        <v>226</v>
      </c>
      <c r="C979" t="s">
        <v>1012</v>
      </c>
      <c r="D979" t="s">
        <v>1757</v>
      </c>
      <c r="E979" t="s">
        <v>4007</v>
      </c>
      <c r="F979" t="s">
        <v>5158</v>
      </c>
      <c r="G979" t="s">
        <v>5638</v>
      </c>
      <c r="H979">
        <v>10034</v>
      </c>
      <c r="I979" t="s">
        <v>5695</v>
      </c>
      <c r="J979" t="s">
        <v>5696</v>
      </c>
      <c r="L979" t="s">
        <v>6718</v>
      </c>
      <c r="M979" t="s">
        <v>6734</v>
      </c>
      <c r="O979" t="s">
        <v>6745</v>
      </c>
      <c r="P979" t="s">
        <v>5697</v>
      </c>
      <c r="R979" t="s">
        <v>6793</v>
      </c>
      <c r="T979" t="s">
        <v>6813</v>
      </c>
      <c r="U979">
        <v>2100</v>
      </c>
      <c r="V979" t="s">
        <v>6836</v>
      </c>
      <c r="W979" t="s">
        <v>6842</v>
      </c>
      <c r="Y979" t="s">
        <v>7716</v>
      </c>
      <c r="AB979">
        <v>65</v>
      </c>
      <c r="AC979" t="s">
        <v>10929</v>
      </c>
      <c r="AD979" t="s">
        <v>5741</v>
      </c>
      <c r="AE979">
        <v>8</v>
      </c>
      <c r="AF979">
        <v>2</v>
      </c>
      <c r="AG979">
        <v>0</v>
      </c>
      <c r="AH979">
        <v>354.82</v>
      </c>
      <c r="AK979" t="s">
        <v>10966</v>
      </c>
      <c r="AL979">
        <v>60000</v>
      </c>
      <c r="AR979">
        <v>0</v>
      </c>
      <c r="AT979" t="s">
        <v>11201</v>
      </c>
      <c r="AU979" t="s">
        <v>11228</v>
      </c>
      <c r="AV979" t="s">
        <v>11231</v>
      </c>
      <c r="AW979" t="s">
        <v>6813</v>
      </c>
    </row>
    <row r="980" spans="1:49">
      <c r="A980" s="1">
        <f>HYPERLINK("https://lsnyc.legalserver.org/matter/dynamic-profile/view/1906210","19-1906210")</f>
        <v>0</v>
      </c>
      <c r="B980" t="s">
        <v>79</v>
      </c>
      <c r="C980" t="s">
        <v>706</v>
      </c>
      <c r="D980" t="s">
        <v>2347</v>
      </c>
      <c r="E980" t="s">
        <v>4008</v>
      </c>
      <c r="F980" t="s">
        <v>5414</v>
      </c>
      <c r="G980" t="s">
        <v>5646</v>
      </c>
      <c r="H980">
        <v>11354</v>
      </c>
      <c r="I980" t="s">
        <v>5695</v>
      </c>
      <c r="J980" t="s">
        <v>5696</v>
      </c>
      <c r="M980" t="s">
        <v>6734</v>
      </c>
      <c r="O980" t="s">
        <v>6745</v>
      </c>
      <c r="P980" t="s">
        <v>5695</v>
      </c>
      <c r="R980" t="s">
        <v>6793</v>
      </c>
      <c r="T980" t="s">
        <v>6821</v>
      </c>
      <c r="U980">
        <v>1808</v>
      </c>
      <c r="V980" t="s">
        <v>6837</v>
      </c>
      <c r="W980" t="s">
        <v>6847</v>
      </c>
      <c r="Y980" t="s">
        <v>7801</v>
      </c>
      <c r="AA980" t="s">
        <v>8917</v>
      </c>
      <c r="AB980">
        <v>0</v>
      </c>
      <c r="AC980" t="s">
        <v>10929</v>
      </c>
      <c r="AD980" t="s">
        <v>5741</v>
      </c>
      <c r="AE980">
        <v>5</v>
      </c>
      <c r="AF980">
        <v>1</v>
      </c>
      <c r="AG980">
        <v>1</v>
      </c>
      <c r="AH980">
        <v>392.67</v>
      </c>
      <c r="AK980" t="s">
        <v>10966</v>
      </c>
      <c r="AL980">
        <v>66400</v>
      </c>
      <c r="AR980">
        <v>0.3</v>
      </c>
      <c r="AS980" t="s">
        <v>6821</v>
      </c>
      <c r="AT980" t="s">
        <v>11182</v>
      </c>
      <c r="AU980" t="s">
        <v>11228</v>
      </c>
      <c r="AV980" t="s">
        <v>11231</v>
      </c>
      <c r="AW980" t="s">
        <v>6821</v>
      </c>
    </row>
    <row r="981" spans="1:49">
      <c r="A981" s="1">
        <f>HYPERLINK("https://lsnyc.legalserver.org/matter/dynamic-profile/view/1903754","19-1903754")</f>
        <v>0</v>
      </c>
      <c r="B981" t="s">
        <v>68</v>
      </c>
      <c r="C981" t="s">
        <v>372</v>
      </c>
      <c r="D981" t="s">
        <v>2348</v>
      </c>
      <c r="E981" t="s">
        <v>4009</v>
      </c>
      <c r="F981" t="s">
        <v>5392</v>
      </c>
      <c r="G981" t="s">
        <v>5637</v>
      </c>
      <c r="H981">
        <v>11206</v>
      </c>
      <c r="I981" t="s">
        <v>5695</v>
      </c>
      <c r="J981" t="s">
        <v>5696</v>
      </c>
      <c r="M981" t="s">
        <v>6734</v>
      </c>
      <c r="O981" t="s">
        <v>6754</v>
      </c>
      <c r="R981" t="s">
        <v>6794</v>
      </c>
      <c r="U981">
        <v>365.6</v>
      </c>
      <c r="V981" t="s">
        <v>6835</v>
      </c>
      <c r="W981" t="s">
        <v>6838</v>
      </c>
      <c r="Y981" t="s">
        <v>7802</v>
      </c>
      <c r="AA981" t="s">
        <v>9855</v>
      </c>
      <c r="AB981">
        <v>16</v>
      </c>
      <c r="AC981" t="s">
        <v>10940</v>
      </c>
      <c r="AE981">
        <v>2</v>
      </c>
      <c r="AF981">
        <v>1</v>
      </c>
      <c r="AG981">
        <v>0</v>
      </c>
      <c r="AH981">
        <v>71.53</v>
      </c>
      <c r="AK981" t="s">
        <v>10966</v>
      </c>
      <c r="AL981">
        <v>8934.6</v>
      </c>
      <c r="AR981">
        <v>1.25</v>
      </c>
      <c r="AS981" t="s">
        <v>6811</v>
      </c>
      <c r="AT981" t="s">
        <v>11198</v>
      </c>
      <c r="AU981" t="s">
        <v>11228</v>
      </c>
      <c r="AV981" t="s">
        <v>11231</v>
      </c>
      <c r="AW981" t="s">
        <v>6811</v>
      </c>
    </row>
    <row r="982" spans="1:49">
      <c r="A982" s="1">
        <f>HYPERLINK("https://lsnyc.legalserver.org/matter/dynamic-profile/view/1902627","19-1902627")</f>
        <v>0</v>
      </c>
      <c r="B982" t="s">
        <v>205</v>
      </c>
      <c r="C982" t="s">
        <v>1013</v>
      </c>
      <c r="D982" t="s">
        <v>2349</v>
      </c>
      <c r="E982" t="s">
        <v>4010</v>
      </c>
      <c r="F982" t="s">
        <v>5415</v>
      </c>
      <c r="G982" t="s">
        <v>5637</v>
      </c>
      <c r="H982">
        <v>11210</v>
      </c>
      <c r="I982" t="s">
        <v>5696</v>
      </c>
      <c r="J982" t="s">
        <v>5696</v>
      </c>
      <c r="M982" t="s">
        <v>6734</v>
      </c>
      <c r="O982" t="s">
        <v>6746</v>
      </c>
      <c r="R982" t="s">
        <v>6793</v>
      </c>
      <c r="U982">
        <v>800</v>
      </c>
      <c r="V982" t="s">
        <v>6835</v>
      </c>
      <c r="W982" t="s">
        <v>6838</v>
      </c>
      <c r="Y982" t="s">
        <v>7803</v>
      </c>
      <c r="AA982" t="s">
        <v>9856</v>
      </c>
      <c r="AB982">
        <v>3</v>
      </c>
      <c r="AC982" t="s">
        <v>8953</v>
      </c>
      <c r="AE982">
        <v>0</v>
      </c>
      <c r="AF982">
        <v>1</v>
      </c>
      <c r="AG982">
        <v>0</v>
      </c>
      <c r="AH982">
        <v>333.07</v>
      </c>
      <c r="AK982" t="s">
        <v>10966</v>
      </c>
      <c r="AL982">
        <v>41600</v>
      </c>
      <c r="AR982">
        <v>1.1</v>
      </c>
      <c r="AS982" t="s">
        <v>6825</v>
      </c>
      <c r="AT982" t="s">
        <v>11198</v>
      </c>
      <c r="AV982" t="s">
        <v>11231</v>
      </c>
      <c r="AW982" t="s">
        <v>11137</v>
      </c>
    </row>
    <row r="983" spans="1:49">
      <c r="A983" s="1">
        <f>HYPERLINK("https://lsnyc.legalserver.org/matter/dynamic-profile/view/1905352","19-1905352")</f>
        <v>0</v>
      </c>
      <c r="B983" t="s">
        <v>260</v>
      </c>
      <c r="C983" t="s">
        <v>1014</v>
      </c>
      <c r="D983" t="s">
        <v>2350</v>
      </c>
      <c r="E983" t="s">
        <v>4011</v>
      </c>
      <c r="G983" t="s">
        <v>5659</v>
      </c>
      <c r="H983">
        <v>11413</v>
      </c>
      <c r="I983" t="s">
        <v>5696</v>
      </c>
      <c r="J983" t="s">
        <v>5696</v>
      </c>
      <c r="M983" t="s">
        <v>6734</v>
      </c>
      <c r="O983" t="s">
        <v>6758</v>
      </c>
      <c r="R983" t="s">
        <v>6798</v>
      </c>
      <c r="U983">
        <v>0</v>
      </c>
      <c r="V983" t="s">
        <v>6837</v>
      </c>
      <c r="Y983" t="s">
        <v>7804</v>
      </c>
      <c r="AA983" t="s">
        <v>9857</v>
      </c>
      <c r="AB983">
        <v>0</v>
      </c>
      <c r="AE983">
        <v>0</v>
      </c>
      <c r="AF983">
        <v>2</v>
      </c>
      <c r="AG983">
        <v>0</v>
      </c>
      <c r="AH983">
        <v>248.37</v>
      </c>
      <c r="AK983" t="s">
        <v>10966</v>
      </c>
      <c r="AL983">
        <v>42000</v>
      </c>
      <c r="AR983">
        <v>1.2</v>
      </c>
      <c r="AS983" t="s">
        <v>6821</v>
      </c>
      <c r="AT983" t="s">
        <v>104</v>
      </c>
      <c r="AV983" t="s">
        <v>11231</v>
      </c>
      <c r="AW983" t="s">
        <v>6828</v>
      </c>
    </row>
    <row r="984" spans="1:49">
      <c r="A984" s="1">
        <f>HYPERLINK("https://lsnyc.legalserver.org/matter/dynamic-profile/view/1905490","19-1905490")</f>
        <v>0</v>
      </c>
      <c r="B984" t="s">
        <v>67</v>
      </c>
      <c r="C984" t="s">
        <v>1015</v>
      </c>
      <c r="D984" t="s">
        <v>1757</v>
      </c>
      <c r="E984" t="s">
        <v>4012</v>
      </c>
      <c r="F984">
        <v>2</v>
      </c>
      <c r="G984" t="s">
        <v>5637</v>
      </c>
      <c r="H984">
        <v>11207</v>
      </c>
      <c r="I984" t="s">
        <v>5696</v>
      </c>
      <c r="J984" t="s">
        <v>5696</v>
      </c>
      <c r="M984" t="s">
        <v>6734</v>
      </c>
      <c r="O984" t="s">
        <v>6745</v>
      </c>
      <c r="R984" t="s">
        <v>6793</v>
      </c>
      <c r="U984">
        <v>0</v>
      </c>
      <c r="V984" t="s">
        <v>6835</v>
      </c>
      <c r="Y984" t="s">
        <v>7805</v>
      </c>
      <c r="AA984" t="s">
        <v>9858</v>
      </c>
      <c r="AB984">
        <v>0</v>
      </c>
      <c r="AE984">
        <v>0</v>
      </c>
      <c r="AF984">
        <v>1</v>
      </c>
      <c r="AG984">
        <v>0</v>
      </c>
      <c r="AH984">
        <v>0</v>
      </c>
      <c r="AK984" t="s">
        <v>10967</v>
      </c>
      <c r="AL984">
        <v>0</v>
      </c>
      <c r="AR984">
        <v>1</v>
      </c>
      <c r="AS984" t="s">
        <v>6822</v>
      </c>
      <c r="AT984" t="s">
        <v>11210</v>
      </c>
      <c r="AV984" t="s">
        <v>11231</v>
      </c>
      <c r="AW984" t="s">
        <v>6822</v>
      </c>
    </row>
    <row r="985" spans="1:49">
      <c r="A985" s="1">
        <f>HYPERLINK("https://lsnyc.legalserver.org/matter/dynamic-profile/view/1906339","19-1906339")</f>
        <v>0</v>
      </c>
      <c r="B985" t="s">
        <v>95</v>
      </c>
      <c r="C985" t="s">
        <v>1016</v>
      </c>
      <c r="D985" t="s">
        <v>2351</v>
      </c>
      <c r="E985" t="s">
        <v>4013</v>
      </c>
      <c r="F985" t="s">
        <v>5328</v>
      </c>
      <c r="G985" t="s">
        <v>5637</v>
      </c>
      <c r="H985">
        <v>11225</v>
      </c>
      <c r="I985" t="s">
        <v>5697</v>
      </c>
      <c r="J985" t="s">
        <v>5696</v>
      </c>
      <c r="M985" t="s">
        <v>6734</v>
      </c>
      <c r="O985" t="s">
        <v>6755</v>
      </c>
      <c r="R985" t="s">
        <v>6793</v>
      </c>
      <c r="U985">
        <v>1254.73</v>
      </c>
      <c r="V985" t="s">
        <v>6835</v>
      </c>
      <c r="W985" t="s">
        <v>6840</v>
      </c>
      <c r="Y985" t="s">
        <v>7806</v>
      </c>
      <c r="AA985" t="s">
        <v>9859</v>
      </c>
      <c r="AB985">
        <v>60</v>
      </c>
      <c r="AC985" t="s">
        <v>10929</v>
      </c>
      <c r="AE985">
        <v>15</v>
      </c>
      <c r="AF985">
        <v>1</v>
      </c>
      <c r="AG985">
        <v>0</v>
      </c>
      <c r="AH985">
        <v>187.35</v>
      </c>
      <c r="AK985" t="s">
        <v>10966</v>
      </c>
      <c r="AL985">
        <v>23400</v>
      </c>
      <c r="AR985">
        <v>0</v>
      </c>
      <c r="AT985" t="s">
        <v>11198</v>
      </c>
      <c r="AV985" t="s">
        <v>11231</v>
      </c>
      <c r="AW985" t="s">
        <v>6827</v>
      </c>
    </row>
    <row r="986" spans="1:49">
      <c r="A986" s="1">
        <f>HYPERLINK("https://lsnyc.legalserver.org/matter/dynamic-profile/view/1904207","19-1904207")</f>
        <v>0</v>
      </c>
      <c r="B986" t="s">
        <v>68</v>
      </c>
      <c r="C986" t="s">
        <v>874</v>
      </c>
      <c r="D986" t="s">
        <v>1657</v>
      </c>
      <c r="E986" t="s">
        <v>4014</v>
      </c>
      <c r="F986" t="s">
        <v>5130</v>
      </c>
      <c r="G986" t="s">
        <v>5637</v>
      </c>
      <c r="H986">
        <v>11210</v>
      </c>
      <c r="I986" t="s">
        <v>5695</v>
      </c>
      <c r="J986" t="s">
        <v>5696</v>
      </c>
      <c r="M986" t="s">
        <v>6734</v>
      </c>
      <c r="O986" t="s">
        <v>6754</v>
      </c>
      <c r="R986" t="s">
        <v>6795</v>
      </c>
      <c r="U986">
        <v>1609.91</v>
      </c>
      <c r="V986" t="s">
        <v>6835</v>
      </c>
      <c r="W986" t="s">
        <v>6843</v>
      </c>
      <c r="Y986" t="s">
        <v>7807</v>
      </c>
      <c r="AA986" t="s">
        <v>9860</v>
      </c>
      <c r="AB986">
        <v>20</v>
      </c>
      <c r="AC986" t="s">
        <v>10929</v>
      </c>
      <c r="AE986">
        <v>3</v>
      </c>
      <c r="AF986">
        <v>2</v>
      </c>
      <c r="AG986">
        <v>0</v>
      </c>
      <c r="AH986">
        <v>126.74</v>
      </c>
      <c r="AK986" t="s">
        <v>10966</v>
      </c>
      <c r="AL986">
        <v>21432</v>
      </c>
      <c r="AR986">
        <v>2</v>
      </c>
      <c r="AS986" t="s">
        <v>6808</v>
      </c>
      <c r="AT986" t="s">
        <v>11198</v>
      </c>
      <c r="AU986" t="s">
        <v>11228</v>
      </c>
      <c r="AV986" t="s">
        <v>11231</v>
      </c>
      <c r="AW986" t="s">
        <v>6818</v>
      </c>
    </row>
    <row r="987" spans="1:49">
      <c r="A987" s="1">
        <f>HYPERLINK("https://lsnyc.legalserver.org/matter/dynamic-profile/view/1903767","19-1903767")</f>
        <v>0</v>
      </c>
      <c r="B987" t="s">
        <v>68</v>
      </c>
      <c r="C987" t="s">
        <v>1017</v>
      </c>
      <c r="D987" t="s">
        <v>2352</v>
      </c>
      <c r="E987" t="s">
        <v>4015</v>
      </c>
      <c r="F987" t="s">
        <v>5416</v>
      </c>
      <c r="G987" t="s">
        <v>5637</v>
      </c>
      <c r="H987">
        <v>11218</v>
      </c>
      <c r="I987" t="s">
        <v>5695</v>
      </c>
      <c r="J987" t="s">
        <v>5696</v>
      </c>
      <c r="M987" t="s">
        <v>6734</v>
      </c>
      <c r="O987" t="s">
        <v>6754</v>
      </c>
      <c r="R987" t="s">
        <v>6793</v>
      </c>
      <c r="U987">
        <v>215</v>
      </c>
      <c r="V987" t="s">
        <v>6835</v>
      </c>
      <c r="Y987" t="s">
        <v>7808</v>
      </c>
      <c r="AA987" t="s">
        <v>9861</v>
      </c>
      <c r="AB987">
        <v>18</v>
      </c>
      <c r="AE987">
        <v>1</v>
      </c>
      <c r="AF987">
        <v>1</v>
      </c>
      <c r="AG987">
        <v>0</v>
      </c>
      <c r="AH987">
        <v>19.05</v>
      </c>
      <c r="AK987" t="s">
        <v>10966</v>
      </c>
      <c r="AL987">
        <v>2379</v>
      </c>
      <c r="AR987">
        <v>1.5</v>
      </c>
      <c r="AS987" t="s">
        <v>6811</v>
      </c>
      <c r="AT987" t="s">
        <v>11198</v>
      </c>
      <c r="AU987" t="s">
        <v>11228</v>
      </c>
      <c r="AV987" t="s">
        <v>11231</v>
      </c>
      <c r="AW987" t="s">
        <v>6811</v>
      </c>
    </row>
    <row r="988" spans="1:49">
      <c r="A988" s="1">
        <f>HYPERLINK("https://lsnyc.legalserver.org/matter/dynamic-profile/view/1904735","19-1904735")</f>
        <v>0</v>
      </c>
      <c r="B988" t="s">
        <v>82</v>
      </c>
      <c r="C988" t="s">
        <v>1018</v>
      </c>
      <c r="D988" t="s">
        <v>2353</v>
      </c>
      <c r="E988" t="s">
        <v>4016</v>
      </c>
      <c r="F988" t="s">
        <v>5417</v>
      </c>
      <c r="G988" t="s">
        <v>5637</v>
      </c>
      <c r="H988">
        <v>11226</v>
      </c>
      <c r="I988" t="s">
        <v>5695</v>
      </c>
      <c r="J988" t="s">
        <v>5696</v>
      </c>
      <c r="K988" t="s">
        <v>6125</v>
      </c>
      <c r="M988" t="s">
        <v>6734</v>
      </c>
      <c r="O988" t="s">
        <v>6753</v>
      </c>
      <c r="R988" t="s">
        <v>6793</v>
      </c>
      <c r="U988">
        <v>950</v>
      </c>
      <c r="V988" t="s">
        <v>6835</v>
      </c>
      <c r="W988" t="s">
        <v>6839</v>
      </c>
      <c r="Y988" t="s">
        <v>7809</v>
      </c>
      <c r="AA988" t="s">
        <v>9862</v>
      </c>
      <c r="AB988">
        <v>0</v>
      </c>
      <c r="AE988">
        <v>5</v>
      </c>
      <c r="AF988">
        <v>2</v>
      </c>
      <c r="AG988">
        <v>0</v>
      </c>
      <c r="AH988">
        <v>352.17</v>
      </c>
      <c r="AL988">
        <v>59552.04</v>
      </c>
      <c r="AR988">
        <v>3.6</v>
      </c>
      <c r="AS988" t="s">
        <v>6822</v>
      </c>
      <c r="AT988" t="s">
        <v>11178</v>
      </c>
      <c r="AU988" t="s">
        <v>11228</v>
      </c>
      <c r="AV988" t="s">
        <v>11231</v>
      </c>
      <c r="AW988" t="s">
        <v>6809</v>
      </c>
    </row>
    <row r="989" spans="1:49">
      <c r="A989" s="1">
        <f>HYPERLINK("https://lsnyc.legalserver.org/matter/dynamic-profile/view/1904805","19-1904805")</f>
        <v>0</v>
      </c>
      <c r="B989" t="s">
        <v>205</v>
      </c>
      <c r="C989" t="s">
        <v>903</v>
      </c>
      <c r="D989" t="s">
        <v>2354</v>
      </c>
      <c r="E989" t="s">
        <v>4017</v>
      </c>
      <c r="F989" t="s">
        <v>5418</v>
      </c>
      <c r="G989" t="s">
        <v>5637</v>
      </c>
      <c r="H989">
        <v>11218</v>
      </c>
      <c r="I989" t="s">
        <v>5695</v>
      </c>
      <c r="J989" t="s">
        <v>5696</v>
      </c>
      <c r="M989" t="s">
        <v>6734</v>
      </c>
      <c r="O989" t="s">
        <v>6746</v>
      </c>
      <c r="R989" t="s">
        <v>6795</v>
      </c>
      <c r="U989">
        <v>0</v>
      </c>
      <c r="V989" t="s">
        <v>6835</v>
      </c>
      <c r="Y989" t="s">
        <v>7199</v>
      </c>
      <c r="AA989" t="s">
        <v>9863</v>
      </c>
      <c r="AB989">
        <v>3</v>
      </c>
      <c r="AE989">
        <v>14</v>
      </c>
      <c r="AF989">
        <v>5</v>
      </c>
      <c r="AG989">
        <v>1</v>
      </c>
      <c r="AH989">
        <v>30.25</v>
      </c>
      <c r="AK989" t="s">
        <v>10966</v>
      </c>
      <c r="AL989">
        <v>10464</v>
      </c>
      <c r="AR989">
        <v>0.1</v>
      </c>
      <c r="AS989" t="s">
        <v>6814</v>
      </c>
      <c r="AT989" t="s">
        <v>11198</v>
      </c>
      <c r="AU989" t="s">
        <v>11228</v>
      </c>
      <c r="AV989" t="s">
        <v>11231</v>
      </c>
      <c r="AW989" t="s">
        <v>6816</v>
      </c>
    </row>
    <row r="990" spans="1:49">
      <c r="A990" s="1">
        <f>HYPERLINK("https://lsnyc.legalserver.org/matter/dynamic-profile/view/1903910","19-1903910")</f>
        <v>0</v>
      </c>
      <c r="B990" t="s">
        <v>194</v>
      </c>
      <c r="C990" t="s">
        <v>1019</v>
      </c>
      <c r="D990" t="s">
        <v>2355</v>
      </c>
      <c r="E990" t="s">
        <v>4018</v>
      </c>
      <c r="F990" t="s">
        <v>5101</v>
      </c>
      <c r="G990" t="s">
        <v>5637</v>
      </c>
      <c r="H990">
        <v>11218</v>
      </c>
      <c r="I990" t="s">
        <v>5696</v>
      </c>
      <c r="J990" t="s">
        <v>5696</v>
      </c>
      <c r="M990" t="s">
        <v>6734</v>
      </c>
      <c r="O990" t="s">
        <v>6746</v>
      </c>
      <c r="R990" t="s">
        <v>6793</v>
      </c>
      <c r="U990">
        <v>1442</v>
      </c>
      <c r="V990" t="s">
        <v>6835</v>
      </c>
      <c r="W990" t="s">
        <v>6843</v>
      </c>
      <c r="Y990" t="s">
        <v>7810</v>
      </c>
      <c r="AA990" t="s">
        <v>9864</v>
      </c>
      <c r="AB990">
        <v>80</v>
      </c>
      <c r="AE990">
        <v>9</v>
      </c>
      <c r="AF990">
        <v>1</v>
      </c>
      <c r="AG990">
        <v>0</v>
      </c>
      <c r="AH990">
        <v>62.45</v>
      </c>
      <c r="AK990" t="s">
        <v>10966</v>
      </c>
      <c r="AL990">
        <v>7800</v>
      </c>
      <c r="AR990">
        <v>0.7</v>
      </c>
      <c r="AS990" t="s">
        <v>6821</v>
      </c>
      <c r="AT990" t="s">
        <v>11198</v>
      </c>
      <c r="AV990" t="s">
        <v>11231</v>
      </c>
      <c r="AW990" t="s">
        <v>6807</v>
      </c>
    </row>
    <row r="991" spans="1:49">
      <c r="A991" s="1">
        <f>HYPERLINK("https://lsnyc.legalserver.org/matter/dynamic-profile/view/1906006","19-1906006")</f>
        <v>0</v>
      </c>
      <c r="B991" t="s">
        <v>226</v>
      </c>
      <c r="C991" t="s">
        <v>1020</v>
      </c>
      <c r="D991" t="s">
        <v>2356</v>
      </c>
      <c r="E991" t="s">
        <v>4019</v>
      </c>
      <c r="F991" t="s">
        <v>5100</v>
      </c>
      <c r="G991" t="s">
        <v>5638</v>
      </c>
      <c r="H991">
        <v>10033</v>
      </c>
      <c r="I991" t="s">
        <v>5695</v>
      </c>
      <c r="J991" t="s">
        <v>5696</v>
      </c>
      <c r="M991" t="s">
        <v>6734</v>
      </c>
      <c r="O991" t="s">
        <v>6745</v>
      </c>
      <c r="P991" t="s">
        <v>5697</v>
      </c>
      <c r="R991" t="s">
        <v>6793</v>
      </c>
      <c r="T991" t="s">
        <v>6821</v>
      </c>
      <c r="U991">
        <v>2275</v>
      </c>
      <c r="V991" t="s">
        <v>6836</v>
      </c>
      <c r="W991" t="s">
        <v>6842</v>
      </c>
      <c r="Y991" t="s">
        <v>7811</v>
      </c>
      <c r="AA991" t="s">
        <v>9865</v>
      </c>
      <c r="AB991">
        <v>49</v>
      </c>
      <c r="AC991" t="s">
        <v>10929</v>
      </c>
      <c r="AD991" t="s">
        <v>5741</v>
      </c>
      <c r="AE991">
        <v>8</v>
      </c>
      <c r="AF991">
        <v>3</v>
      </c>
      <c r="AG991">
        <v>0</v>
      </c>
      <c r="AH991">
        <v>825.13</v>
      </c>
      <c r="AK991" t="s">
        <v>10966</v>
      </c>
      <c r="AL991">
        <v>176000</v>
      </c>
      <c r="AR991">
        <v>0</v>
      </c>
      <c r="AT991" t="s">
        <v>11201</v>
      </c>
      <c r="AU991" t="s">
        <v>11228</v>
      </c>
      <c r="AV991" t="s">
        <v>11231</v>
      </c>
      <c r="AW991" t="s">
        <v>6821</v>
      </c>
    </row>
    <row r="992" spans="1:49">
      <c r="A992" s="1">
        <f>HYPERLINK("https://lsnyc.legalserver.org/matter/dynamic-profile/view/1906195","19-1906195")</f>
        <v>0</v>
      </c>
      <c r="B992" t="s">
        <v>95</v>
      </c>
      <c r="C992" t="s">
        <v>1021</v>
      </c>
      <c r="D992" t="s">
        <v>2357</v>
      </c>
      <c r="E992" t="s">
        <v>4020</v>
      </c>
      <c r="F992" t="s">
        <v>5419</v>
      </c>
      <c r="G992" t="s">
        <v>5637</v>
      </c>
      <c r="H992">
        <v>11221</v>
      </c>
      <c r="I992" t="s">
        <v>5695</v>
      </c>
      <c r="J992" t="s">
        <v>5696</v>
      </c>
      <c r="K992" t="s">
        <v>6126</v>
      </c>
      <c r="M992" t="s">
        <v>6734</v>
      </c>
      <c r="O992" t="s">
        <v>6755</v>
      </c>
      <c r="R992" t="s">
        <v>6793</v>
      </c>
      <c r="U992">
        <v>1081</v>
      </c>
      <c r="V992" t="s">
        <v>6835</v>
      </c>
      <c r="W992" t="s">
        <v>6854</v>
      </c>
      <c r="Y992" t="s">
        <v>7812</v>
      </c>
      <c r="AA992" t="s">
        <v>9866</v>
      </c>
      <c r="AB992">
        <v>3</v>
      </c>
      <c r="AD992" t="s">
        <v>5741</v>
      </c>
      <c r="AE992">
        <v>1</v>
      </c>
      <c r="AF992">
        <v>1</v>
      </c>
      <c r="AG992">
        <v>0</v>
      </c>
      <c r="AH992">
        <v>38.43</v>
      </c>
      <c r="AK992" t="s">
        <v>10966</v>
      </c>
      <c r="AL992">
        <v>4800</v>
      </c>
      <c r="AR992">
        <v>0</v>
      </c>
      <c r="AT992" t="s">
        <v>11178</v>
      </c>
      <c r="AU992" t="s">
        <v>11228</v>
      </c>
      <c r="AV992" t="s">
        <v>11231</v>
      </c>
      <c r="AW992" t="s">
        <v>6821</v>
      </c>
    </row>
    <row r="993" spans="1:49">
      <c r="A993" s="1">
        <f>HYPERLINK("https://lsnyc.legalserver.org/matter/dynamic-profile/view/1898492","19-1898492")</f>
        <v>0</v>
      </c>
      <c r="B993" t="s">
        <v>211</v>
      </c>
      <c r="C993" t="s">
        <v>1022</v>
      </c>
      <c r="D993" t="s">
        <v>2358</v>
      </c>
      <c r="E993" t="s">
        <v>4021</v>
      </c>
      <c r="F993" t="s">
        <v>5305</v>
      </c>
      <c r="G993" t="s">
        <v>5635</v>
      </c>
      <c r="H993">
        <v>10455</v>
      </c>
      <c r="I993" t="s">
        <v>5695</v>
      </c>
      <c r="J993" t="s">
        <v>5695</v>
      </c>
      <c r="M993" t="s">
        <v>6734</v>
      </c>
      <c r="O993" t="s">
        <v>6745</v>
      </c>
      <c r="P993" t="s">
        <v>5695</v>
      </c>
      <c r="R993" t="s">
        <v>6793</v>
      </c>
      <c r="U993">
        <v>1515</v>
      </c>
      <c r="V993" t="s">
        <v>6833</v>
      </c>
      <c r="W993" t="s">
        <v>6843</v>
      </c>
      <c r="Y993" t="s">
        <v>7813</v>
      </c>
      <c r="AA993" t="s">
        <v>9867</v>
      </c>
      <c r="AB993">
        <v>49</v>
      </c>
      <c r="AC993" t="s">
        <v>10929</v>
      </c>
      <c r="AE993">
        <v>3</v>
      </c>
      <c r="AF993">
        <v>1</v>
      </c>
      <c r="AG993">
        <v>2</v>
      </c>
      <c r="AH993">
        <v>11.7</v>
      </c>
      <c r="AK993" t="s">
        <v>10966</v>
      </c>
      <c r="AL993">
        <v>2496</v>
      </c>
      <c r="AR993">
        <v>75.65000000000001</v>
      </c>
      <c r="AS993" t="s">
        <v>6821</v>
      </c>
      <c r="AV993" t="s">
        <v>11231</v>
      </c>
      <c r="AW993" t="s">
        <v>11141</v>
      </c>
    </row>
    <row r="994" spans="1:49">
      <c r="A994" s="1">
        <f>HYPERLINK("https://lsnyc.legalserver.org/matter/dynamic-profile/view/1903735","19-1903735")</f>
        <v>0</v>
      </c>
      <c r="B994" t="s">
        <v>189</v>
      </c>
      <c r="C994" t="s">
        <v>1023</v>
      </c>
      <c r="D994" t="s">
        <v>2359</v>
      </c>
      <c r="E994" t="s">
        <v>4022</v>
      </c>
      <c r="F994" t="s">
        <v>5290</v>
      </c>
      <c r="G994" t="s">
        <v>5645</v>
      </c>
      <c r="H994">
        <v>11106</v>
      </c>
      <c r="I994" t="s">
        <v>5696</v>
      </c>
      <c r="J994" t="s">
        <v>5696</v>
      </c>
      <c r="K994" t="s">
        <v>6127</v>
      </c>
      <c r="M994" t="s">
        <v>6734</v>
      </c>
      <c r="O994" t="s">
        <v>6758</v>
      </c>
      <c r="R994" t="s">
        <v>6793</v>
      </c>
      <c r="U994">
        <v>1700</v>
      </c>
      <c r="V994" t="s">
        <v>6837</v>
      </c>
      <c r="W994" t="s">
        <v>6843</v>
      </c>
      <c r="Y994" t="s">
        <v>7814</v>
      </c>
      <c r="AA994" t="s">
        <v>9868</v>
      </c>
      <c r="AB994">
        <v>64</v>
      </c>
      <c r="AC994" t="s">
        <v>10929</v>
      </c>
      <c r="AD994" t="s">
        <v>5741</v>
      </c>
      <c r="AE994">
        <v>4</v>
      </c>
      <c r="AF994">
        <v>4</v>
      </c>
      <c r="AG994">
        <v>0</v>
      </c>
      <c r="AH994">
        <v>288.53</v>
      </c>
      <c r="AK994" t="s">
        <v>10966</v>
      </c>
      <c r="AL994">
        <v>74296</v>
      </c>
      <c r="AR994">
        <v>4.6</v>
      </c>
      <c r="AS994" t="s">
        <v>6808</v>
      </c>
      <c r="AT994" t="s">
        <v>11203</v>
      </c>
      <c r="AV994" t="s">
        <v>11231</v>
      </c>
      <c r="AW994" t="s">
        <v>6811</v>
      </c>
    </row>
    <row r="995" spans="1:49">
      <c r="A995" s="1">
        <f>HYPERLINK("https://lsnyc.legalserver.org/matter/dynamic-profile/view/1904725","19-1904725")</f>
        <v>0</v>
      </c>
      <c r="B995" t="s">
        <v>112</v>
      </c>
      <c r="C995" t="s">
        <v>472</v>
      </c>
      <c r="D995" t="s">
        <v>2360</v>
      </c>
      <c r="E995" t="s">
        <v>4023</v>
      </c>
      <c r="F995" t="s">
        <v>5179</v>
      </c>
      <c r="G995" t="s">
        <v>5638</v>
      </c>
      <c r="H995">
        <v>10034</v>
      </c>
      <c r="I995" t="s">
        <v>5695</v>
      </c>
      <c r="J995" t="s">
        <v>5696</v>
      </c>
      <c r="M995" t="s">
        <v>6734</v>
      </c>
      <c r="O995" t="s">
        <v>6745</v>
      </c>
      <c r="P995" t="s">
        <v>5695</v>
      </c>
      <c r="R995" t="s">
        <v>6793</v>
      </c>
      <c r="T995" t="s">
        <v>6809</v>
      </c>
      <c r="U995">
        <v>1650</v>
      </c>
      <c r="V995" t="s">
        <v>6836</v>
      </c>
      <c r="W995" t="s">
        <v>6842</v>
      </c>
      <c r="Y995" t="s">
        <v>7815</v>
      </c>
      <c r="AA995" t="s">
        <v>9869</v>
      </c>
      <c r="AB995">
        <v>43</v>
      </c>
      <c r="AC995" t="s">
        <v>10929</v>
      </c>
      <c r="AD995" t="s">
        <v>5741</v>
      </c>
      <c r="AE995">
        <v>24</v>
      </c>
      <c r="AF995">
        <v>2</v>
      </c>
      <c r="AG995">
        <v>2</v>
      </c>
      <c r="AH995">
        <v>252.43</v>
      </c>
      <c r="AK995" t="s">
        <v>10966</v>
      </c>
      <c r="AL995">
        <v>65000</v>
      </c>
      <c r="AR995">
        <v>0</v>
      </c>
      <c r="AT995" t="s">
        <v>11201</v>
      </c>
      <c r="AU995" t="s">
        <v>11228</v>
      </c>
      <c r="AV995" t="s">
        <v>11231</v>
      </c>
      <c r="AW995" t="s">
        <v>6809</v>
      </c>
    </row>
    <row r="996" spans="1:49">
      <c r="A996" s="1">
        <f>HYPERLINK("https://lsnyc.legalserver.org/matter/dynamic-profile/view/1901147","19-1901147")</f>
        <v>0</v>
      </c>
      <c r="B996" t="s">
        <v>88</v>
      </c>
      <c r="C996" t="s">
        <v>851</v>
      </c>
      <c r="D996" t="s">
        <v>2119</v>
      </c>
      <c r="E996" t="s">
        <v>4024</v>
      </c>
      <c r="F996" t="s">
        <v>5109</v>
      </c>
      <c r="G996" t="s">
        <v>5637</v>
      </c>
      <c r="H996">
        <v>11215</v>
      </c>
      <c r="I996" t="s">
        <v>5696</v>
      </c>
      <c r="J996" t="s">
        <v>5696</v>
      </c>
      <c r="M996" t="s">
        <v>6734</v>
      </c>
      <c r="O996" t="s">
        <v>6748</v>
      </c>
      <c r="R996" t="s">
        <v>6793</v>
      </c>
      <c r="U996">
        <v>985</v>
      </c>
      <c r="V996" t="s">
        <v>6835</v>
      </c>
      <c r="W996" t="s">
        <v>6848</v>
      </c>
      <c r="Y996" t="s">
        <v>7816</v>
      </c>
      <c r="AA996" t="s">
        <v>9870</v>
      </c>
      <c r="AB996">
        <v>8</v>
      </c>
      <c r="AC996" t="s">
        <v>10929</v>
      </c>
      <c r="AD996" t="s">
        <v>10945</v>
      </c>
      <c r="AE996">
        <v>39</v>
      </c>
      <c r="AF996">
        <v>1</v>
      </c>
      <c r="AG996">
        <v>0</v>
      </c>
      <c r="AH996">
        <v>100.4</v>
      </c>
      <c r="AK996" t="s">
        <v>10966</v>
      </c>
      <c r="AL996">
        <v>12540</v>
      </c>
      <c r="AR996">
        <v>3.1</v>
      </c>
      <c r="AS996" t="s">
        <v>6821</v>
      </c>
      <c r="AT996" t="s">
        <v>11203</v>
      </c>
      <c r="AV996" t="s">
        <v>11231</v>
      </c>
      <c r="AW996" t="s">
        <v>11143</v>
      </c>
    </row>
    <row r="997" spans="1:49">
      <c r="A997" s="1">
        <f>HYPERLINK("https://lsnyc.legalserver.org/matter/dynamic-profile/view/1899480","19-1899480")</f>
        <v>0</v>
      </c>
      <c r="B997" t="s">
        <v>233</v>
      </c>
      <c r="C997" t="s">
        <v>698</v>
      </c>
      <c r="D997" t="s">
        <v>2361</v>
      </c>
      <c r="E997" t="s">
        <v>4025</v>
      </c>
      <c r="F997" t="s">
        <v>5420</v>
      </c>
      <c r="G997" t="s">
        <v>5637</v>
      </c>
      <c r="H997">
        <v>11210</v>
      </c>
      <c r="I997" t="s">
        <v>5695</v>
      </c>
      <c r="J997" t="s">
        <v>5696</v>
      </c>
      <c r="K997" t="s">
        <v>6128</v>
      </c>
      <c r="M997" t="s">
        <v>6734</v>
      </c>
      <c r="O997" t="s">
        <v>6748</v>
      </c>
      <c r="R997" t="s">
        <v>6795</v>
      </c>
      <c r="U997">
        <v>1065.36</v>
      </c>
      <c r="V997" t="s">
        <v>6835</v>
      </c>
      <c r="W997" t="s">
        <v>6843</v>
      </c>
      <c r="Y997" t="s">
        <v>7817</v>
      </c>
      <c r="AA997" t="s">
        <v>9871</v>
      </c>
      <c r="AB997">
        <v>6</v>
      </c>
      <c r="AD997" t="s">
        <v>5741</v>
      </c>
      <c r="AE997">
        <v>36</v>
      </c>
      <c r="AF997">
        <v>2</v>
      </c>
      <c r="AG997">
        <v>0</v>
      </c>
      <c r="AH997">
        <v>50.38</v>
      </c>
      <c r="AK997" t="s">
        <v>10966</v>
      </c>
      <c r="AL997">
        <v>8520</v>
      </c>
      <c r="AR997">
        <v>0.3</v>
      </c>
      <c r="AS997" t="s">
        <v>11158</v>
      </c>
      <c r="AT997" t="s">
        <v>11178</v>
      </c>
      <c r="AV997" t="s">
        <v>11231</v>
      </c>
      <c r="AW997" t="s">
        <v>11158</v>
      </c>
    </row>
    <row r="998" spans="1:49">
      <c r="A998" s="1">
        <f>HYPERLINK("https://lsnyc.legalserver.org/matter/dynamic-profile/view/1899367","19-1899367")</f>
        <v>0</v>
      </c>
      <c r="B998" t="s">
        <v>152</v>
      </c>
      <c r="C998" t="s">
        <v>334</v>
      </c>
      <c r="D998" t="s">
        <v>2362</v>
      </c>
      <c r="E998" t="s">
        <v>4026</v>
      </c>
      <c r="G998" t="s">
        <v>5635</v>
      </c>
      <c r="H998">
        <v>10472</v>
      </c>
      <c r="I998" t="s">
        <v>5696</v>
      </c>
      <c r="J998" t="s">
        <v>5696</v>
      </c>
      <c r="M998" t="s">
        <v>6734</v>
      </c>
      <c r="O998" t="s">
        <v>6758</v>
      </c>
      <c r="R998" t="s">
        <v>6797</v>
      </c>
      <c r="U998">
        <v>0</v>
      </c>
      <c r="V998" t="s">
        <v>6833</v>
      </c>
      <c r="Y998" t="s">
        <v>7818</v>
      </c>
      <c r="AA998" t="s">
        <v>9872</v>
      </c>
      <c r="AB998">
        <v>0</v>
      </c>
      <c r="AE998">
        <v>0</v>
      </c>
      <c r="AF998">
        <v>1</v>
      </c>
      <c r="AG998">
        <v>0</v>
      </c>
      <c r="AH998">
        <v>74.08</v>
      </c>
      <c r="AK998" t="s">
        <v>10966</v>
      </c>
      <c r="AL998">
        <v>9252</v>
      </c>
      <c r="AR998">
        <v>13</v>
      </c>
      <c r="AS998" t="s">
        <v>6808</v>
      </c>
      <c r="AT998" t="s">
        <v>11203</v>
      </c>
      <c r="AV998" t="s">
        <v>11231</v>
      </c>
      <c r="AW998" t="s">
        <v>11169</v>
      </c>
    </row>
    <row r="999" spans="1:49">
      <c r="A999" s="1">
        <f>HYPERLINK("https://lsnyc.legalserver.org/matter/dynamic-profile/view/1901812","19-1901812")</f>
        <v>0</v>
      </c>
      <c r="B999" t="s">
        <v>118</v>
      </c>
      <c r="C999" t="s">
        <v>549</v>
      </c>
      <c r="D999" t="s">
        <v>1511</v>
      </c>
      <c r="E999" t="s">
        <v>4027</v>
      </c>
      <c r="F999" t="s">
        <v>5421</v>
      </c>
      <c r="G999" t="s">
        <v>5637</v>
      </c>
      <c r="H999">
        <v>11224</v>
      </c>
      <c r="I999" t="s">
        <v>5696</v>
      </c>
      <c r="J999" t="s">
        <v>5696</v>
      </c>
      <c r="M999" t="s">
        <v>6734</v>
      </c>
      <c r="O999" t="s">
        <v>6748</v>
      </c>
      <c r="R999" t="s">
        <v>6793</v>
      </c>
      <c r="U999">
        <v>2300</v>
      </c>
      <c r="V999" t="s">
        <v>6835</v>
      </c>
      <c r="Y999" t="s">
        <v>7819</v>
      </c>
      <c r="AA999" t="s">
        <v>9873</v>
      </c>
      <c r="AB999">
        <v>3</v>
      </c>
      <c r="AE999">
        <v>300</v>
      </c>
      <c r="AF999">
        <v>5</v>
      </c>
      <c r="AG999">
        <v>3</v>
      </c>
      <c r="AH999">
        <v>35.64</v>
      </c>
      <c r="AK999" t="s">
        <v>10966</v>
      </c>
      <c r="AL999">
        <v>15480</v>
      </c>
      <c r="AR999">
        <v>2.6</v>
      </c>
      <c r="AS999" t="s">
        <v>11147</v>
      </c>
      <c r="AT999" t="s">
        <v>11181</v>
      </c>
      <c r="AV999" t="s">
        <v>11231</v>
      </c>
      <c r="AW999" t="s">
        <v>11149</v>
      </c>
    </row>
    <row r="1000" spans="1:49">
      <c r="A1000" s="1">
        <f>HYPERLINK("https://lsnyc.legalserver.org/matter/dynamic-profile/view/1897092","19-1897092")</f>
        <v>0</v>
      </c>
      <c r="B1000" t="s">
        <v>154</v>
      </c>
      <c r="C1000" t="s">
        <v>1024</v>
      </c>
      <c r="D1000" t="s">
        <v>2363</v>
      </c>
      <c r="E1000" t="s">
        <v>4028</v>
      </c>
      <c r="F1000" t="s">
        <v>5422</v>
      </c>
      <c r="G1000" t="s">
        <v>5638</v>
      </c>
      <c r="H1000">
        <v>10039</v>
      </c>
      <c r="I1000" t="s">
        <v>5697</v>
      </c>
      <c r="J1000" t="s">
        <v>5697</v>
      </c>
      <c r="M1000" t="s">
        <v>6734</v>
      </c>
      <c r="O1000" t="s">
        <v>6759</v>
      </c>
      <c r="R1000" t="s">
        <v>6793</v>
      </c>
      <c r="U1000">
        <v>1064</v>
      </c>
      <c r="V1000" t="s">
        <v>6836</v>
      </c>
      <c r="W1000" t="s">
        <v>6852</v>
      </c>
      <c r="Y1000" t="s">
        <v>7820</v>
      </c>
      <c r="AA1000" t="s">
        <v>9874</v>
      </c>
      <c r="AB1000">
        <v>0</v>
      </c>
      <c r="AC1000" t="s">
        <v>10929</v>
      </c>
      <c r="AD1000" t="s">
        <v>10946</v>
      </c>
      <c r="AE1000">
        <v>10</v>
      </c>
      <c r="AF1000">
        <v>1</v>
      </c>
      <c r="AG1000">
        <v>3</v>
      </c>
      <c r="AH1000">
        <v>170.1</v>
      </c>
      <c r="AK1000" t="s">
        <v>10966</v>
      </c>
      <c r="AL1000">
        <v>43800</v>
      </c>
      <c r="AR1000">
        <v>0.5</v>
      </c>
      <c r="AS1000" t="s">
        <v>11128</v>
      </c>
      <c r="AT1000" t="s">
        <v>305</v>
      </c>
      <c r="AV1000" t="s">
        <v>11231</v>
      </c>
      <c r="AW1000" t="s">
        <v>11141</v>
      </c>
    </row>
    <row r="1001" spans="1:49">
      <c r="A1001" s="1">
        <f>HYPERLINK("https://lsnyc.legalserver.org/matter/dynamic-profile/view/1896616","19-1896616")</f>
        <v>0</v>
      </c>
      <c r="B1001" t="s">
        <v>116</v>
      </c>
      <c r="C1001" t="s">
        <v>877</v>
      </c>
      <c r="D1001" t="s">
        <v>2364</v>
      </c>
      <c r="E1001" t="s">
        <v>4029</v>
      </c>
      <c r="G1001" t="s">
        <v>5654</v>
      </c>
      <c r="H1001">
        <v>11428</v>
      </c>
      <c r="I1001" t="s">
        <v>5696</v>
      </c>
      <c r="J1001" t="s">
        <v>5696</v>
      </c>
      <c r="M1001" t="s">
        <v>6734</v>
      </c>
      <c r="O1001" t="s">
        <v>6767</v>
      </c>
      <c r="R1001" t="s">
        <v>6798</v>
      </c>
      <c r="U1001">
        <v>0</v>
      </c>
      <c r="V1001" t="s">
        <v>6837</v>
      </c>
      <c r="Y1001" t="s">
        <v>7821</v>
      </c>
      <c r="AA1001" t="s">
        <v>9875</v>
      </c>
      <c r="AB1001">
        <v>0</v>
      </c>
      <c r="AE1001">
        <v>0</v>
      </c>
      <c r="AF1001">
        <v>1</v>
      </c>
      <c r="AG1001">
        <v>0</v>
      </c>
      <c r="AH1001">
        <v>0</v>
      </c>
      <c r="AK1001" t="s">
        <v>10966</v>
      </c>
      <c r="AL1001">
        <v>0</v>
      </c>
      <c r="AR1001">
        <v>1.85</v>
      </c>
      <c r="AS1001" t="s">
        <v>6813</v>
      </c>
      <c r="AT1001" t="s">
        <v>11203</v>
      </c>
      <c r="AV1001" t="s">
        <v>11231</v>
      </c>
      <c r="AW1001" t="s">
        <v>11122</v>
      </c>
    </row>
    <row r="1002" spans="1:49">
      <c r="A1002" s="1">
        <f>HYPERLINK("https://lsnyc.legalserver.org/matter/dynamic-profile/view/1899487","19-1899487")</f>
        <v>0</v>
      </c>
      <c r="B1002" t="s">
        <v>197</v>
      </c>
      <c r="C1002" t="s">
        <v>1025</v>
      </c>
      <c r="D1002" t="s">
        <v>2365</v>
      </c>
      <c r="E1002" t="s">
        <v>4030</v>
      </c>
      <c r="F1002" t="s">
        <v>5423</v>
      </c>
      <c r="G1002" t="s">
        <v>5638</v>
      </c>
      <c r="H1002">
        <v>10036</v>
      </c>
      <c r="I1002" t="s">
        <v>5696</v>
      </c>
      <c r="J1002" t="s">
        <v>5696</v>
      </c>
      <c r="M1002" t="s">
        <v>6734</v>
      </c>
      <c r="O1002" t="s">
        <v>6748</v>
      </c>
      <c r="R1002" t="s">
        <v>6796</v>
      </c>
      <c r="U1002">
        <v>700</v>
      </c>
      <c r="V1002" t="s">
        <v>6836</v>
      </c>
      <c r="Y1002" t="s">
        <v>7822</v>
      </c>
      <c r="AA1002" t="s">
        <v>9876</v>
      </c>
      <c r="AB1002">
        <v>104</v>
      </c>
      <c r="AE1002">
        <v>0</v>
      </c>
      <c r="AF1002">
        <v>1</v>
      </c>
      <c r="AG1002">
        <v>1</v>
      </c>
      <c r="AH1002">
        <v>169.84</v>
      </c>
      <c r="AK1002" t="s">
        <v>10966</v>
      </c>
      <c r="AL1002">
        <v>28720</v>
      </c>
      <c r="AR1002">
        <v>0.5</v>
      </c>
      <c r="AS1002" t="s">
        <v>11158</v>
      </c>
      <c r="AT1002" t="s">
        <v>11181</v>
      </c>
      <c r="AV1002" t="s">
        <v>11231</v>
      </c>
      <c r="AW1002" t="s">
        <v>11158</v>
      </c>
    </row>
    <row r="1003" spans="1:49">
      <c r="A1003" s="1">
        <f>HYPERLINK("https://lsnyc.legalserver.org/matter/dynamic-profile/view/1906228","19-1906228")</f>
        <v>0</v>
      </c>
      <c r="B1003" t="s">
        <v>226</v>
      </c>
      <c r="C1003" t="s">
        <v>731</v>
      </c>
      <c r="D1003" t="s">
        <v>2366</v>
      </c>
      <c r="E1003" t="s">
        <v>4031</v>
      </c>
      <c r="F1003" t="s">
        <v>5248</v>
      </c>
      <c r="G1003" t="s">
        <v>5635</v>
      </c>
      <c r="H1003">
        <v>10463</v>
      </c>
      <c r="I1003" t="s">
        <v>5695</v>
      </c>
      <c r="J1003" t="s">
        <v>5696</v>
      </c>
      <c r="M1003" t="s">
        <v>6734</v>
      </c>
      <c r="O1003" t="s">
        <v>6745</v>
      </c>
      <c r="P1003" t="s">
        <v>5697</v>
      </c>
      <c r="R1003" t="s">
        <v>6793</v>
      </c>
      <c r="T1003" t="s">
        <v>6821</v>
      </c>
      <c r="U1003">
        <v>975.72</v>
      </c>
      <c r="V1003" t="s">
        <v>6836</v>
      </c>
      <c r="W1003" t="s">
        <v>6842</v>
      </c>
      <c r="Y1003" t="s">
        <v>7823</v>
      </c>
      <c r="AA1003" t="s">
        <v>9877</v>
      </c>
      <c r="AB1003">
        <v>41</v>
      </c>
      <c r="AC1003" t="s">
        <v>10929</v>
      </c>
      <c r="AD1003" t="s">
        <v>5741</v>
      </c>
      <c r="AE1003">
        <v>21</v>
      </c>
      <c r="AF1003">
        <v>1</v>
      </c>
      <c r="AG1003">
        <v>1</v>
      </c>
      <c r="AH1003">
        <v>62.73</v>
      </c>
      <c r="AK1003" t="s">
        <v>10967</v>
      </c>
      <c r="AL1003">
        <v>10608</v>
      </c>
      <c r="AR1003">
        <v>0</v>
      </c>
      <c r="AT1003" t="s">
        <v>11201</v>
      </c>
      <c r="AU1003" t="s">
        <v>11228</v>
      </c>
      <c r="AV1003" t="s">
        <v>11231</v>
      </c>
      <c r="AW1003" t="s">
        <v>6821</v>
      </c>
    </row>
    <row r="1004" spans="1:49">
      <c r="A1004" s="1">
        <f>HYPERLINK("https://lsnyc.legalserver.org/matter/dynamic-profile/view/1905344","19-1905344")</f>
        <v>0</v>
      </c>
      <c r="B1004" t="s">
        <v>261</v>
      </c>
      <c r="C1004" t="s">
        <v>662</v>
      </c>
      <c r="D1004" t="s">
        <v>2367</v>
      </c>
      <c r="E1004" t="s">
        <v>4032</v>
      </c>
      <c r="G1004" t="s">
        <v>5653</v>
      </c>
      <c r="H1004">
        <v>11374</v>
      </c>
      <c r="I1004" t="s">
        <v>5696</v>
      </c>
      <c r="J1004" t="s">
        <v>5696</v>
      </c>
      <c r="M1004" t="s">
        <v>6734</v>
      </c>
      <c r="O1004" t="s">
        <v>6778</v>
      </c>
      <c r="R1004" t="s">
        <v>6798</v>
      </c>
      <c r="U1004">
        <v>0</v>
      </c>
      <c r="V1004" t="s">
        <v>6837</v>
      </c>
      <c r="Y1004" t="s">
        <v>7824</v>
      </c>
      <c r="AA1004" t="s">
        <v>9878</v>
      </c>
      <c r="AB1004">
        <v>0</v>
      </c>
      <c r="AE1004">
        <v>0</v>
      </c>
      <c r="AF1004">
        <v>1</v>
      </c>
      <c r="AG1004">
        <v>0</v>
      </c>
      <c r="AH1004">
        <v>153.72</v>
      </c>
      <c r="AK1004" t="s">
        <v>10966</v>
      </c>
      <c r="AL1004">
        <v>19200</v>
      </c>
      <c r="AR1004">
        <v>2.7</v>
      </c>
      <c r="AS1004" t="s">
        <v>6826</v>
      </c>
      <c r="AT1004" t="s">
        <v>11186</v>
      </c>
      <c r="AV1004" t="s">
        <v>11231</v>
      </c>
      <c r="AW1004" t="s">
        <v>6828</v>
      </c>
    </row>
    <row r="1005" spans="1:49">
      <c r="A1005" s="1">
        <f>HYPERLINK("https://lsnyc.legalserver.org/matter/dynamic-profile/view/1902723","19-1902723")</f>
        <v>0</v>
      </c>
      <c r="B1005" t="s">
        <v>247</v>
      </c>
      <c r="C1005" t="s">
        <v>412</v>
      </c>
      <c r="D1005" t="s">
        <v>2368</v>
      </c>
      <c r="E1005" t="s">
        <v>4033</v>
      </c>
      <c r="F1005" t="s">
        <v>5424</v>
      </c>
      <c r="G1005" t="s">
        <v>5662</v>
      </c>
      <c r="H1005">
        <v>11368</v>
      </c>
      <c r="I1005" t="s">
        <v>5695</v>
      </c>
      <c r="J1005" t="s">
        <v>5696</v>
      </c>
      <c r="K1005" t="s">
        <v>6129</v>
      </c>
      <c r="M1005" t="s">
        <v>6734</v>
      </c>
      <c r="O1005" t="s">
        <v>6750</v>
      </c>
      <c r="P1005" t="s">
        <v>5697</v>
      </c>
      <c r="R1005" t="s">
        <v>6793</v>
      </c>
      <c r="U1005">
        <v>123.68</v>
      </c>
      <c r="V1005" t="s">
        <v>6837</v>
      </c>
      <c r="W1005" t="s">
        <v>6843</v>
      </c>
      <c r="Y1005" t="s">
        <v>7825</v>
      </c>
      <c r="AA1005" t="s">
        <v>9879</v>
      </c>
      <c r="AB1005">
        <v>0</v>
      </c>
      <c r="AC1005" t="s">
        <v>10929</v>
      </c>
      <c r="AD1005" t="s">
        <v>5741</v>
      </c>
      <c r="AE1005">
        <v>34</v>
      </c>
      <c r="AF1005">
        <v>1</v>
      </c>
      <c r="AG1005">
        <v>0</v>
      </c>
      <c r="AH1005">
        <v>64.18000000000001</v>
      </c>
      <c r="AK1005" t="s">
        <v>10966</v>
      </c>
      <c r="AL1005">
        <v>8016</v>
      </c>
      <c r="AR1005">
        <v>0.5</v>
      </c>
      <c r="AS1005" t="s">
        <v>11133</v>
      </c>
      <c r="AT1005" t="s">
        <v>11184</v>
      </c>
      <c r="AU1005" t="s">
        <v>11228</v>
      </c>
      <c r="AV1005" t="s">
        <v>11231</v>
      </c>
      <c r="AW1005" t="s">
        <v>11133</v>
      </c>
    </row>
    <row r="1006" spans="1:49">
      <c r="A1006" s="1">
        <f>HYPERLINK("https://lsnyc.legalserver.org/matter/dynamic-profile/view/1900490","19-1900490")</f>
        <v>0</v>
      </c>
      <c r="B1006" t="s">
        <v>81</v>
      </c>
      <c r="C1006" t="s">
        <v>420</v>
      </c>
      <c r="D1006" t="s">
        <v>2010</v>
      </c>
      <c r="E1006" t="s">
        <v>4034</v>
      </c>
      <c r="G1006" t="s">
        <v>5637</v>
      </c>
      <c r="H1006">
        <v>11206</v>
      </c>
      <c r="I1006" t="s">
        <v>5696</v>
      </c>
      <c r="J1006" t="s">
        <v>5696</v>
      </c>
      <c r="M1006" t="s">
        <v>6734</v>
      </c>
      <c r="O1006" t="s">
        <v>6756</v>
      </c>
      <c r="R1006" t="s">
        <v>6794</v>
      </c>
      <c r="U1006">
        <v>0</v>
      </c>
      <c r="V1006" t="s">
        <v>6835</v>
      </c>
      <c r="Y1006" t="s">
        <v>7826</v>
      </c>
      <c r="AA1006" t="s">
        <v>9880</v>
      </c>
      <c r="AB1006">
        <v>0</v>
      </c>
      <c r="AE1006">
        <v>0</v>
      </c>
      <c r="AF1006">
        <v>1</v>
      </c>
      <c r="AG1006">
        <v>0</v>
      </c>
      <c r="AH1006">
        <v>72.15000000000001</v>
      </c>
      <c r="AL1006">
        <v>9012</v>
      </c>
      <c r="AR1006">
        <v>6.2</v>
      </c>
      <c r="AS1006" t="s">
        <v>6814</v>
      </c>
      <c r="AT1006" t="s">
        <v>272</v>
      </c>
      <c r="AV1006" t="s">
        <v>11231</v>
      </c>
      <c r="AW1006" t="s">
        <v>11160</v>
      </c>
    </row>
    <row r="1007" spans="1:49">
      <c r="A1007" s="1">
        <f>HYPERLINK("https://lsnyc.legalserver.org/matter/dynamic-profile/view/1906222","19-1906222")</f>
        <v>0</v>
      </c>
      <c r="B1007" t="s">
        <v>226</v>
      </c>
      <c r="C1007" t="s">
        <v>1026</v>
      </c>
      <c r="D1007" t="s">
        <v>2369</v>
      </c>
      <c r="E1007" t="s">
        <v>4035</v>
      </c>
      <c r="F1007" t="s">
        <v>5412</v>
      </c>
      <c r="G1007" t="s">
        <v>5638</v>
      </c>
      <c r="H1007">
        <v>10040</v>
      </c>
      <c r="I1007" t="s">
        <v>5695</v>
      </c>
      <c r="J1007" t="s">
        <v>5696</v>
      </c>
      <c r="M1007" t="s">
        <v>6734</v>
      </c>
      <c r="O1007" t="s">
        <v>6745</v>
      </c>
      <c r="P1007" t="s">
        <v>5697</v>
      </c>
      <c r="R1007" t="s">
        <v>6793</v>
      </c>
      <c r="T1007" t="s">
        <v>6821</v>
      </c>
      <c r="U1007">
        <v>1197</v>
      </c>
      <c r="V1007" t="s">
        <v>6836</v>
      </c>
      <c r="W1007" t="s">
        <v>6842</v>
      </c>
      <c r="Y1007" t="s">
        <v>7827</v>
      </c>
      <c r="AA1007" t="s">
        <v>9881</v>
      </c>
      <c r="AB1007">
        <v>73</v>
      </c>
      <c r="AC1007" t="s">
        <v>10929</v>
      </c>
      <c r="AD1007" t="s">
        <v>5741</v>
      </c>
      <c r="AE1007">
        <v>40</v>
      </c>
      <c r="AF1007">
        <v>1</v>
      </c>
      <c r="AG1007">
        <v>0</v>
      </c>
      <c r="AH1007">
        <v>115.29</v>
      </c>
      <c r="AK1007" t="s">
        <v>10966</v>
      </c>
      <c r="AL1007">
        <v>14400</v>
      </c>
      <c r="AR1007">
        <v>0</v>
      </c>
      <c r="AT1007" t="s">
        <v>11201</v>
      </c>
      <c r="AU1007" t="s">
        <v>11228</v>
      </c>
      <c r="AV1007" t="s">
        <v>11231</v>
      </c>
      <c r="AW1007" t="s">
        <v>6821</v>
      </c>
    </row>
    <row r="1008" spans="1:49">
      <c r="A1008" s="1">
        <f>HYPERLINK("https://lsnyc.legalserver.org/matter/dynamic-profile/view/1901223","19-1901223")</f>
        <v>0</v>
      </c>
      <c r="B1008" t="s">
        <v>197</v>
      </c>
      <c r="C1008" t="s">
        <v>746</v>
      </c>
      <c r="D1008" t="s">
        <v>2370</v>
      </c>
      <c r="E1008" t="s">
        <v>4036</v>
      </c>
      <c r="F1008" t="s">
        <v>5425</v>
      </c>
      <c r="G1008" t="s">
        <v>5638</v>
      </c>
      <c r="H1008">
        <v>10065</v>
      </c>
      <c r="I1008" t="s">
        <v>5696</v>
      </c>
      <c r="J1008" t="s">
        <v>5696</v>
      </c>
      <c r="M1008" t="s">
        <v>6734</v>
      </c>
      <c r="O1008" t="s">
        <v>6753</v>
      </c>
      <c r="R1008" t="s">
        <v>6793</v>
      </c>
      <c r="U1008">
        <v>1136.96</v>
      </c>
      <c r="V1008" t="s">
        <v>6836</v>
      </c>
      <c r="W1008" t="s">
        <v>6844</v>
      </c>
      <c r="Y1008" t="s">
        <v>7828</v>
      </c>
      <c r="AA1008" t="s">
        <v>9882</v>
      </c>
      <c r="AB1008">
        <v>608</v>
      </c>
      <c r="AE1008">
        <v>25</v>
      </c>
      <c r="AF1008">
        <v>2</v>
      </c>
      <c r="AG1008">
        <v>0</v>
      </c>
      <c r="AH1008">
        <v>300.25</v>
      </c>
      <c r="AK1008" t="s">
        <v>10966</v>
      </c>
      <c r="AL1008">
        <v>50772</v>
      </c>
      <c r="AR1008">
        <v>2.6</v>
      </c>
      <c r="AS1008" t="s">
        <v>6807</v>
      </c>
      <c r="AT1008" t="s">
        <v>11181</v>
      </c>
      <c r="AV1008" t="s">
        <v>11231</v>
      </c>
      <c r="AW1008" t="s">
        <v>11162</v>
      </c>
    </row>
    <row r="1009" spans="1:49">
      <c r="A1009" s="1">
        <f>HYPERLINK("https://lsnyc.legalserver.org/matter/dynamic-profile/view/1904701","19-1904701")</f>
        <v>0</v>
      </c>
      <c r="B1009" t="s">
        <v>226</v>
      </c>
      <c r="C1009" t="s">
        <v>1027</v>
      </c>
      <c r="D1009" t="s">
        <v>1757</v>
      </c>
      <c r="E1009" t="s">
        <v>4037</v>
      </c>
      <c r="F1009">
        <v>34</v>
      </c>
      <c r="G1009" t="s">
        <v>5638</v>
      </c>
      <c r="H1009">
        <v>10034</v>
      </c>
      <c r="I1009" t="s">
        <v>5695</v>
      </c>
      <c r="J1009" t="s">
        <v>5696</v>
      </c>
      <c r="M1009" t="s">
        <v>6734</v>
      </c>
      <c r="O1009" t="s">
        <v>6745</v>
      </c>
      <c r="P1009" t="s">
        <v>5695</v>
      </c>
      <c r="R1009" t="s">
        <v>6793</v>
      </c>
      <c r="T1009" t="s">
        <v>6809</v>
      </c>
      <c r="U1009">
        <v>812.02</v>
      </c>
      <c r="V1009" t="s">
        <v>6836</v>
      </c>
      <c r="W1009" t="s">
        <v>6842</v>
      </c>
      <c r="Y1009" t="s">
        <v>7829</v>
      </c>
      <c r="AA1009" t="s">
        <v>9883</v>
      </c>
      <c r="AB1009">
        <v>25</v>
      </c>
      <c r="AC1009" t="s">
        <v>10929</v>
      </c>
      <c r="AD1009" t="s">
        <v>10945</v>
      </c>
      <c r="AE1009">
        <v>38</v>
      </c>
      <c r="AF1009">
        <v>1</v>
      </c>
      <c r="AG1009">
        <v>0</v>
      </c>
      <c r="AH1009">
        <v>64.05</v>
      </c>
      <c r="AK1009" t="s">
        <v>10966</v>
      </c>
      <c r="AL1009">
        <v>8000</v>
      </c>
      <c r="AR1009">
        <v>0</v>
      </c>
      <c r="AT1009" t="s">
        <v>11201</v>
      </c>
      <c r="AU1009" t="s">
        <v>11228</v>
      </c>
      <c r="AV1009" t="s">
        <v>11231</v>
      </c>
      <c r="AW1009" t="s">
        <v>6809</v>
      </c>
    </row>
    <row r="1010" spans="1:49">
      <c r="A1010" s="1">
        <f>HYPERLINK("https://lsnyc.legalserver.org/matter/dynamic-profile/view/1904780","19-1904780")</f>
        <v>0</v>
      </c>
      <c r="B1010" t="s">
        <v>152</v>
      </c>
      <c r="C1010" t="s">
        <v>477</v>
      </c>
      <c r="D1010" t="s">
        <v>1610</v>
      </c>
      <c r="E1010" t="s">
        <v>4038</v>
      </c>
      <c r="F1010" t="s">
        <v>5426</v>
      </c>
      <c r="G1010" t="s">
        <v>5635</v>
      </c>
      <c r="H1010">
        <v>10475</v>
      </c>
      <c r="I1010" t="s">
        <v>5696</v>
      </c>
      <c r="J1010" t="s">
        <v>5696</v>
      </c>
      <c r="M1010" t="s">
        <v>6734</v>
      </c>
      <c r="O1010" t="s">
        <v>6748</v>
      </c>
      <c r="R1010" t="s">
        <v>6797</v>
      </c>
      <c r="U1010">
        <v>0</v>
      </c>
      <c r="V1010" t="s">
        <v>6833</v>
      </c>
      <c r="Y1010" t="s">
        <v>7830</v>
      </c>
      <c r="AA1010" t="s">
        <v>9884</v>
      </c>
      <c r="AB1010">
        <v>0</v>
      </c>
      <c r="AE1010">
        <v>8</v>
      </c>
      <c r="AF1010">
        <v>1</v>
      </c>
      <c r="AG1010">
        <v>0</v>
      </c>
      <c r="AH1010">
        <v>97.34999999999999</v>
      </c>
      <c r="AK1010" t="s">
        <v>10966</v>
      </c>
      <c r="AL1010">
        <v>12159</v>
      </c>
      <c r="AR1010">
        <v>6.5</v>
      </c>
      <c r="AS1010" t="s">
        <v>6828</v>
      </c>
      <c r="AT1010" t="s">
        <v>11192</v>
      </c>
      <c r="AV1010" t="s">
        <v>11231</v>
      </c>
      <c r="AW1010" t="s">
        <v>6816</v>
      </c>
    </row>
    <row r="1011" spans="1:49">
      <c r="A1011" s="1">
        <f>HYPERLINK("https://lsnyc.legalserver.org/matter/dynamic-profile/view/1904601","19-1904601")</f>
        <v>0</v>
      </c>
      <c r="B1011" t="s">
        <v>226</v>
      </c>
      <c r="C1011" t="s">
        <v>335</v>
      </c>
      <c r="D1011" t="s">
        <v>329</v>
      </c>
      <c r="E1011" t="s">
        <v>4037</v>
      </c>
      <c r="F1011">
        <v>4</v>
      </c>
      <c r="G1011" t="s">
        <v>5638</v>
      </c>
      <c r="H1011">
        <v>10034</v>
      </c>
      <c r="I1011" t="s">
        <v>5697</v>
      </c>
      <c r="J1011" t="s">
        <v>5696</v>
      </c>
      <c r="M1011" t="s">
        <v>6734</v>
      </c>
      <c r="O1011" t="s">
        <v>6745</v>
      </c>
      <c r="P1011" t="s">
        <v>5695</v>
      </c>
      <c r="R1011" t="s">
        <v>6793</v>
      </c>
      <c r="T1011" t="s">
        <v>6810</v>
      </c>
      <c r="U1011">
        <v>893</v>
      </c>
      <c r="V1011" t="s">
        <v>6836</v>
      </c>
      <c r="W1011" t="s">
        <v>6842</v>
      </c>
      <c r="Y1011" t="s">
        <v>7831</v>
      </c>
      <c r="AA1011" t="s">
        <v>9885</v>
      </c>
      <c r="AB1011">
        <v>25</v>
      </c>
      <c r="AC1011" t="s">
        <v>10929</v>
      </c>
      <c r="AD1011" t="s">
        <v>5741</v>
      </c>
      <c r="AE1011">
        <v>38</v>
      </c>
      <c r="AF1011">
        <v>1</v>
      </c>
      <c r="AG1011">
        <v>0</v>
      </c>
      <c r="AH1011">
        <v>352.28</v>
      </c>
      <c r="AK1011" t="s">
        <v>10967</v>
      </c>
      <c r="AL1011">
        <v>44000</v>
      </c>
      <c r="AR1011">
        <v>0</v>
      </c>
      <c r="AT1011" t="s">
        <v>11201</v>
      </c>
      <c r="AU1011" t="s">
        <v>11228</v>
      </c>
      <c r="AV1011" t="s">
        <v>11231</v>
      </c>
      <c r="AW1011" t="s">
        <v>6810</v>
      </c>
    </row>
    <row r="1012" spans="1:49">
      <c r="A1012" s="1">
        <f>HYPERLINK("https://lsnyc.legalserver.org/matter/dynamic-profile/view/1895802","19-1895802")</f>
        <v>0</v>
      </c>
      <c r="B1012" t="s">
        <v>99</v>
      </c>
      <c r="C1012" t="s">
        <v>335</v>
      </c>
      <c r="D1012" t="s">
        <v>2371</v>
      </c>
      <c r="E1012" t="s">
        <v>4039</v>
      </c>
      <c r="F1012" t="s">
        <v>5161</v>
      </c>
      <c r="G1012" t="s">
        <v>5637</v>
      </c>
      <c r="H1012">
        <v>11216</v>
      </c>
      <c r="I1012" t="s">
        <v>5696</v>
      </c>
      <c r="J1012" t="s">
        <v>5696</v>
      </c>
      <c r="M1012" t="s">
        <v>6734</v>
      </c>
      <c r="O1012" t="s">
        <v>6754</v>
      </c>
      <c r="R1012" t="s">
        <v>6795</v>
      </c>
      <c r="U1012">
        <v>568</v>
      </c>
      <c r="V1012" t="s">
        <v>6835</v>
      </c>
      <c r="W1012" t="s">
        <v>6843</v>
      </c>
      <c r="Y1012" t="s">
        <v>7832</v>
      </c>
      <c r="AA1012" t="s">
        <v>9886</v>
      </c>
      <c r="AB1012">
        <v>5</v>
      </c>
      <c r="AC1012" t="s">
        <v>10929</v>
      </c>
      <c r="AD1012" t="s">
        <v>5741</v>
      </c>
      <c r="AE1012">
        <v>15</v>
      </c>
      <c r="AF1012">
        <v>1</v>
      </c>
      <c r="AG1012">
        <v>0</v>
      </c>
      <c r="AH1012">
        <v>81.86</v>
      </c>
      <c r="AK1012" t="s">
        <v>10966</v>
      </c>
      <c r="AL1012">
        <v>10224</v>
      </c>
      <c r="AR1012">
        <v>4.5</v>
      </c>
      <c r="AS1012" t="s">
        <v>6814</v>
      </c>
      <c r="AT1012" t="s">
        <v>11184</v>
      </c>
      <c r="AV1012" t="s">
        <v>11231</v>
      </c>
      <c r="AW1012" t="s">
        <v>11153</v>
      </c>
    </row>
    <row r="1013" spans="1:49">
      <c r="A1013" s="1">
        <f>HYPERLINK("https://lsnyc.legalserver.org/matter/dynamic-profile/view/1899972","19-1899972")</f>
        <v>0</v>
      </c>
      <c r="B1013" t="s">
        <v>241</v>
      </c>
      <c r="C1013" t="s">
        <v>355</v>
      </c>
      <c r="D1013" t="s">
        <v>2372</v>
      </c>
      <c r="E1013" t="s">
        <v>3702</v>
      </c>
      <c r="F1013" t="s">
        <v>5168</v>
      </c>
      <c r="G1013" t="s">
        <v>5637</v>
      </c>
      <c r="H1013">
        <v>11203</v>
      </c>
      <c r="I1013" t="s">
        <v>5696</v>
      </c>
      <c r="J1013" t="s">
        <v>5696</v>
      </c>
      <c r="M1013" t="s">
        <v>6734</v>
      </c>
      <c r="O1013" t="s">
        <v>6746</v>
      </c>
      <c r="R1013" t="s">
        <v>6793</v>
      </c>
      <c r="U1013">
        <v>1450</v>
      </c>
      <c r="V1013" t="s">
        <v>6835</v>
      </c>
      <c r="W1013" t="s">
        <v>6843</v>
      </c>
      <c r="Y1013" t="s">
        <v>7833</v>
      </c>
      <c r="AA1013" t="s">
        <v>9887</v>
      </c>
      <c r="AB1013">
        <v>59</v>
      </c>
      <c r="AC1013" t="s">
        <v>10929</v>
      </c>
      <c r="AE1013">
        <v>8</v>
      </c>
      <c r="AF1013">
        <v>1</v>
      </c>
      <c r="AG1013">
        <v>0</v>
      </c>
      <c r="AH1013">
        <v>78.78</v>
      </c>
      <c r="AK1013" t="s">
        <v>10966</v>
      </c>
      <c r="AL1013">
        <v>9840</v>
      </c>
      <c r="AR1013">
        <v>4.9</v>
      </c>
      <c r="AS1013" t="s">
        <v>11131</v>
      </c>
      <c r="AT1013" t="s">
        <v>11198</v>
      </c>
      <c r="AV1013" t="s">
        <v>11231</v>
      </c>
      <c r="AW1013" t="s">
        <v>10957</v>
      </c>
    </row>
    <row r="1014" spans="1:49">
      <c r="A1014" s="1">
        <f>HYPERLINK("https://lsnyc.legalserver.org/matter/dynamic-profile/view/1897055","19-1897055")</f>
        <v>0</v>
      </c>
      <c r="B1014" t="s">
        <v>116</v>
      </c>
      <c r="C1014" t="s">
        <v>1028</v>
      </c>
      <c r="D1014" t="s">
        <v>2373</v>
      </c>
      <c r="E1014" t="s">
        <v>4040</v>
      </c>
      <c r="G1014" t="s">
        <v>5678</v>
      </c>
      <c r="H1014">
        <v>11357</v>
      </c>
      <c r="I1014" t="s">
        <v>5696</v>
      </c>
      <c r="J1014" t="s">
        <v>5696</v>
      </c>
      <c r="M1014" t="s">
        <v>6734</v>
      </c>
      <c r="O1014" t="s">
        <v>6748</v>
      </c>
      <c r="R1014" t="s">
        <v>6798</v>
      </c>
      <c r="U1014">
        <v>0</v>
      </c>
      <c r="V1014" t="s">
        <v>6837</v>
      </c>
      <c r="Y1014" t="s">
        <v>7834</v>
      </c>
      <c r="AA1014" t="s">
        <v>9888</v>
      </c>
      <c r="AB1014">
        <v>0</v>
      </c>
      <c r="AE1014">
        <v>0</v>
      </c>
      <c r="AF1014">
        <v>3</v>
      </c>
      <c r="AG1014">
        <v>0</v>
      </c>
      <c r="AH1014">
        <v>39.38</v>
      </c>
      <c r="AK1014" t="s">
        <v>10966</v>
      </c>
      <c r="AL1014">
        <v>8400</v>
      </c>
      <c r="AR1014">
        <v>1.8</v>
      </c>
      <c r="AS1014" t="s">
        <v>6813</v>
      </c>
      <c r="AT1014" t="s">
        <v>11186</v>
      </c>
      <c r="AV1014" t="s">
        <v>11231</v>
      </c>
      <c r="AW1014" t="s">
        <v>11121</v>
      </c>
    </row>
    <row r="1015" spans="1:49">
      <c r="A1015" s="1">
        <f>HYPERLINK("https://lsnyc.legalserver.org/matter/dynamic-profile/view/1899311","19-1899311")</f>
        <v>0</v>
      </c>
      <c r="B1015" t="s">
        <v>118</v>
      </c>
      <c r="C1015" t="s">
        <v>493</v>
      </c>
      <c r="D1015" t="s">
        <v>2010</v>
      </c>
      <c r="E1015" t="s">
        <v>4041</v>
      </c>
      <c r="F1015" t="s">
        <v>5427</v>
      </c>
      <c r="G1015" t="s">
        <v>5637</v>
      </c>
      <c r="H1015">
        <v>11207</v>
      </c>
      <c r="I1015" t="s">
        <v>5696</v>
      </c>
      <c r="J1015" t="s">
        <v>5696</v>
      </c>
      <c r="M1015" t="s">
        <v>6734</v>
      </c>
      <c r="O1015" t="s">
        <v>6753</v>
      </c>
      <c r="R1015" t="s">
        <v>6793</v>
      </c>
      <c r="U1015">
        <v>0</v>
      </c>
      <c r="V1015" t="s">
        <v>6835</v>
      </c>
      <c r="W1015" t="s">
        <v>6841</v>
      </c>
      <c r="Y1015" t="s">
        <v>7835</v>
      </c>
      <c r="AA1015" t="s">
        <v>9889</v>
      </c>
      <c r="AB1015">
        <v>6</v>
      </c>
      <c r="AE1015">
        <v>0</v>
      </c>
      <c r="AF1015">
        <v>2</v>
      </c>
      <c r="AG1015">
        <v>1</v>
      </c>
      <c r="AH1015">
        <v>222.41</v>
      </c>
      <c r="AK1015" t="s">
        <v>10966</v>
      </c>
      <c r="AL1015">
        <v>47440</v>
      </c>
      <c r="AR1015">
        <v>2.2</v>
      </c>
      <c r="AS1015" t="s">
        <v>6815</v>
      </c>
      <c r="AT1015" t="s">
        <v>11181</v>
      </c>
      <c r="AV1015" t="s">
        <v>11231</v>
      </c>
      <c r="AW1015" t="s">
        <v>11169</v>
      </c>
    </row>
    <row r="1016" spans="1:49">
      <c r="A1016" s="1">
        <f>HYPERLINK("https://lsnyc.legalserver.org/matter/dynamic-profile/view/1899425","19-1899425")</f>
        <v>0</v>
      </c>
      <c r="B1016" t="s">
        <v>189</v>
      </c>
      <c r="C1016" t="s">
        <v>1029</v>
      </c>
      <c r="D1016" t="s">
        <v>2374</v>
      </c>
      <c r="E1016" t="s">
        <v>4042</v>
      </c>
      <c r="F1016" t="s">
        <v>5102</v>
      </c>
      <c r="G1016" t="s">
        <v>5647</v>
      </c>
      <c r="H1016">
        <v>11691</v>
      </c>
      <c r="I1016" t="s">
        <v>5696</v>
      </c>
      <c r="J1016" t="s">
        <v>5696</v>
      </c>
      <c r="M1016" t="s">
        <v>6734</v>
      </c>
      <c r="O1016" t="s">
        <v>6758</v>
      </c>
      <c r="R1016" t="s">
        <v>6793</v>
      </c>
      <c r="U1016">
        <v>2750</v>
      </c>
      <c r="V1016" t="s">
        <v>6837</v>
      </c>
      <c r="W1016" t="s">
        <v>6841</v>
      </c>
      <c r="Y1016" t="s">
        <v>7836</v>
      </c>
      <c r="AA1016" t="s">
        <v>9890</v>
      </c>
      <c r="AB1016">
        <v>3</v>
      </c>
      <c r="AE1016">
        <v>0</v>
      </c>
      <c r="AF1016">
        <v>3</v>
      </c>
      <c r="AG1016">
        <v>1</v>
      </c>
      <c r="AH1016">
        <v>287.38</v>
      </c>
      <c r="AK1016" t="s">
        <v>10966</v>
      </c>
      <c r="AL1016">
        <v>74000</v>
      </c>
      <c r="AR1016">
        <v>0.8</v>
      </c>
      <c r="AS1016" t="s">
        <v>6820</v>
      </c>
      <c r="AT1016" t="s">
        <v>11181</v>
      </c>
      <c r="AV1016" t="s">
        <v>11231</v>
      </c>
      <c r="AW1016" t="s">
        <v>11158</v>
      </c>
    </row>
    <row r="1017" spans="1:49">
      <c r="A1017" s="1">
        <f>HYPERLINK("https://lsnyc.legalserver.org/matter/dynamic-profile/view/1904974","19-1904974")</f>
        <v>0</v>
      </c>
      <c r="B1017" t="s">
        <v>223</v>
      </c>
      <c r="C1017" t="s">
        <v>1030</v>
      </c>
      <c r="D1017" t="s">
        <v>1988</v>
      </c>
      <c r="E1017" t="s">
        <v>4043</v>
      </c>
      <c r="F1017" t="s">
        <v>5403</v>
      </c>
      <c r="G1017" t="s">
        <v>5638</v>
      </c>
      <c r="H1017">
        <v>10034</v>
      </c>
      <c r="I1017" t="s">
        <v>5695</v>
      </c>
      <c r="J1017" t="s">
        <v>5696</v>
      </c>
      <c r="M1017" t="s">
        <v>6734</v>
      </c>
      <c r="O1017" t="s">
        <v>6745</v>
      </c>
      <c r="P1017" t="s">
        <v>5697</v>
      </c>
      <c r="R1017" t="s">
        <v>6793</v>
      </c>
      <c r="T1017" t="s">
        <v>6812</v>
      </c>
      <c r="U1017">
        <v>640</v>
      </c>
      <c r="V1017" t="s">
        <v>6836</v>
      </c>
      <c r="W1017" t="s">
        <v>6842</v>
      </c>
      <c r="Y1017" t="s">
        <v>7614</v>
      </c>
      <c r="AA1017" t="s">
        <v>9891</v>
      </c>
      <c r="AB1017">
        <v>126</v>
      </c>
      <c r="AC1017" t="s">
        <v>10929</v>
      </c>
      <c r="AD1017" t="s">
        <v>10944</v>
      </c>
      <c r="AE1017">
        <v>15</v>
      </c>
      <c r="AF1017">
        <v>3</v>
      </c>
      <c r="AG1017">
        <v>0</v>
      </c>
      <c r="AH1017">
        <v>120.68</v>
      </c>
      <c r="AK1017" t="s">
        <v>10967</v>
      </c>
      <c r="AL1017">
        <v>25740</v>
      </c>
      <c r="AR1017">
        <v>0.8</v>
      </c>
      <c r="AS1017" t="s">
        <v>6812</v>
      </c>
      <c r="AT1017" t="s">
        <v>11201</v>
      </c>
      <c r="AU1017" t="s">
        <v>11228</v>
      </c>
      <c r="AV1017" t="s">
        <v>11231</v>
      </c>
      <c r="AW1017" t="s">
        <v>6812</v>
      </c>
    </row>
    <row r="1018" spans="1:49">
      <c r="A1018" s="1">
        <f>HYPERLINK("https://lsnyc.legalserver.org/matter/dynamic-profile/view/1896890","19-1896890")</f>
        <v>0</v>
      </c>
      <c r="B1018" t="s">
        <v>116</v>
      </c>
      <c r="C1018" t="s">
        <v>1031</v>
      </c>
      <c r="D1018" t="s">
        <v>2375</v>
      </c>
      <c r="E1018" t="s">
        <v>4044</v>
      </c>
      <c r="G1018" t="s">
        <v>5663</v>
      </c>
      <c r="H1018">
        <v>11361</v>
      </c>
      <c r="I1018" t="s">
        <v>5696</v>
      </c>
      <c r="J1018" t="s">
        <v>5696</v>
      </c>
      <c r="M1018" t="s">
        <v>6734</v>
      </c>
      <c r="O1018" t="s">
        <v>6748</v>
      </c>
      <c r="R1018" t="s">
        <v>6799</v>
      </c>
      <c r="U1018">
        <v>0</v>
      </c>
      <c r="V1018" t="s">
        <v>6837</v>
      </c>
      <c r="Y1018" t="s">
        <v>7837</v>
      </c>
      <c r="AA1018" t="s">
        <v>9892</v>
      </c>
      <c r="AB1018">
        <v>0</v>
      </c>
      <c r="AE1018">
        <v>0</v>
      </c>
      <c r="AF1018">
        <v>1</v>
      </c>
      <c r="AG1018">
        <v>0</v>
      </c>
      <c r="AH1018">
        <v>152.27</v>
      </c>
      <c r="AK1018" t="s">
        <v>10966</v>
      </c>
      <c r="AL1018">
        <v>19019</v>
      </c>
      <c r="AR1018">
        <v>3.3</v>
      </c>
      <c r="AS1018" t="s">
        <v>6816</v>
      </c>
      <c r="AT1018" t="s">
        <v>11184</v>
      </c>
      <c r="AV1018" t="s">
        <v>11231</v>
      </c>
      <c r="AW1018" t="s">
        <v>11130</v>
      </c>
    </row>
    <row r="1019" spans="1:49">
      <c r="A1019" s="1">
        <f>HYPERLINK("https://lsnyc.legalserver.org/matter/dynamic-profile/view/1904599","19-1904599")</f>
        <v>0</v>
      </c>
      <c r="B1019" t="s">
        <v>226</v>
      </c>
      <c r="C1019" t="s">
        <v>731</v>
      </c>
      <c r="D1019" t="s">
        <v>2376</v>
      </c>
      <c r="E1019" t="s">
        <v>4037</v>
      </c>
      <c r="F1019">
        <v>1</v>
      </c>
      <c r="G1019" t="s">
        <v>5638</v>
      </c>
      <c r="H1019">
        <v>10034</v>
      </c>
      <c r="I1019" t="s">
        <v>5695</v>
      </c>
      <c r="J1019" t="s">
        <v>5696</v>
      </c>
      <c r="M1019" t="s">
        <v>6734</v>
      </c>
      <c r="O1019" t="s">
        <v>6745</v>
      </c>
      <c r="P1019" t="s">
        <v>5695</v>
      </c>
      <c r="R1019" t="s">
        <v>6793</v>
      </c>
      <c r="T1019" t="s">
        <v>6810</v>
      </c>
      <c r="U1019">
        <v>868.24</v>
      </c>
      <c r="V1019" t="s">
        <v>6836</v>
      </c>
      <c r="W1019" t="s">
        <v>6842</v>
      </c>
      <c r="Y1019" t="s">
        <v>7838</v>
      </c>
      <c r="AA1019" t="s">
        <v>9893</v>
      </c>
      <c r="AB1019">
        <v>25</v>
      </c>
      <c r="AC1019" t="s">
        <v>10929</v>
      </c>
      <c r="AE1019">
        <v>34</v>
      </c>
      <c r="AF1019">
        <v>2</v>
      </c>
      <c r="AG1019">
        <v>0</v>
      </c>
      <c r="AH1019">
        <v>110.85</v>
      </c>
      <c r="AK1019" t="s">
        <v>10966</v>
      </c>
      <c r="AL1019">
        <v>18744</v>
      </c>
      <c r="AR1019">
        <v>0.6</v>
      </c>
      <c r="AS1019" t="s">
        <v>6810</v>
      </c>
      <c r="AT1019" t="s">
        <v>11201</v>
      </c>
      <c r="AU1019" t="s">
        <v>11228</v>
      </c>
      <c r="AV1019" t="s">
        <v>11231</v>
      </c>
      <c r="AW1019" t="s">
        <v>6810</v>
      </c>
    </row>
    <row r="1020" spans="1:49">
      <c r="A1020" s="1">
        <f>HYPERLINK("https://lsnyc.legalserver.org/matter/dynamic-profile/view/1901902","19-1901902")</f>
        <v>0</v>
      </c>
      <c r="B1020" t="s">
        <v>68</v>
      </c>
      <c r="C1020" t="s">
        <v>335</v>
      </c>
      <c r="D1020" t="s">
        <v>1717</v>
      </c>
      <c r="E1020" t="s">
        <v>3449</v>
      </c>
      <c r="F1020" t="s">
        <v>5093</v>
      </c>
      <c r="G1020" t="s">
        <v>5637</v>
      </c>
      <c r="H1020">
        <v>11218</v>
      </c>
      <c r="I1020" t="s">
        <v>5695</v>
      </c>
      <c r="J1020" t="s">
        <v>5696</v>
      </c>
      <c r="M1020" t="s">
        <v>6734</v>
      </c>
      <c r="O1020" t="s">
        <v>6748</v>
      </c>
      <c r="R1020" t="s">
        <v>6793</v>
      </c>
      <c r="S1020" t="s">
        <v>6805</v>
      </c>
      <c r="U1020">
        <v>345</v>
      </c>
      <c r="V1020" t="s">
        <v>6835</v>
      </c>
      <c r="Y1020" t="s">
        <v>7243</v>
      </c>
      <c r="AA1020" t="s">
        <v>9894</v>
      </c>
      <c r="AB1020">
        <v>4</v>
      </c>
      <c r="AD1020" t="s">
        <v>10944</v>
      </c>
      <c r="AE1020">
        <v>10</v>
      </c>
      <c r="AF1020">
        <v>1</v>
      </c>
      <c r="AG1020">
        <v>0</v>
      </c>
      <c r="AH1020">
        <v>69.08</v>
      </c>
      <c r="AK1020" t="s">
        <v>10967</v>
      </c>
      <c r="AL1020">
        <v>8628</v>
      </c>
      <c r="AR1020">
        <v>1.25</v>
      </c>
      <c r="AS1020" t="s">
        <v>6818</v>
      </c>
      <c r="AT1020" t="s">
        <v>11192</v>
      </c>
      <c r="AU1020" t="s">
        <v>11228</v>
      </c>
      <c r="AV1020" t="s">
        <v>11231</v>
      </c>
      <c r="AW1020" t="s">
        <v>11150</v>
      </c>
    </row>
    <row r="1021" spans="1:49">
      <c r="A1021" s="1">
        <f>HYPERLINK("https://lsnyc.legalserver.org/matter/dynamic-profile/view/1902557","19-1902557")</f>
        <v>0</v>
      </c>
      <c r="B1021" t="s">
        <v>197</v>
      </c>
      <c r="C1021" t="s">
        <v>1032</v>
      </c>
      <c r="D1021" t="s">
        <v>2377</v>
      </c>
      <c r="E1021" t="s">
        <v>4045</v>
      </c>
      <c r="F1021" t="s">
        <v>5161</v>
      </c>
      <c r="G1021" t="s">
        <v>5638</v>
      </c>
      <c r="H1021">
        <v>10037</v>
      </c>
      <c r="I1021" t="s">
        <v>5696</v>
      </c>
      <c r="J1021" t="s">
        <v>5696</v>
      </c>
      <c r="M1021" t="s">
        <v>6734</v>
      </c>
      <c r="O1021" t="s">
        <v>6753</v>
      </c>
      <c r="R1021" t="s">
        <v>6793</v>
      </c>
      <c r="U1021">
        <v>2000</v>
      </c>
      <c r="V1021" t="s">
        <v>6836</v>
      </c>
      <c r="Y1021" t="s">
        <v>7839</v>
      </c>
      <c r="AA1021" t="s">
        <v>9895</v>
      </c>
      <c r="AB1021">
        <v>120</v>
      </c>
      <c r="AE1021">
        <v>3</v>
      </c>
      <c r="AF1021">
        <v>1</v>
      </c>
      <c r="AG1021">
        <v>1</v>
      </c>
      <c r="AH1021">
        <v>359.55</v>
      </c>
      <c r="AK1021" t="s">
        <v>10966</v>
      </c>
      <c r="AL1021">
        <v>60800</v>
      </c>
      <c r="AR1021">
        <v>1</v>
      </c>
      <c r="AS1021" t="s">
        <v>11116</v>
      </c>
      <c r="AT1021" t="s">
        <v>11192</v>
      </c>
      <c r="AV1021" t="s">
        <v>11231</v>
      </c>
      <c r="AW1021" t="s">
        <v>11116</v>
      </c>
    </row>
    <row r="1022" spans="1:49">
      <c r="A1022" s="1">
        <f>HYPERLINK("https://lsnyc.legalserver.org/matter/dynamic-profile/view/1903476","19-1903476")</f>
        <v>0</v>
      </c>
      <c r="B1022" t="s">
        <v>255</v>
      </c>
      <c r="C1022" t="s">
        <v>1033</v>
      </c>
      <c r="D1022" t="s">
        <v>2378</v>
      </c>
      <c r="E1022" t="s">
        <v>4046</v>
      </c>
      <c r="F1022" t="s">
        <v>5428</v>
      </c>
      <c r="G1022" t="s">
        <v>5637</v>
      </c>
      <c r="H1022">
        <v>11226</v>
      </c>
      <c r="I1022" t="s">
        <v>5696</v>
      </c>
      <c r="J1022" t="s">
        <v>5696</v>
      </c>
      <c r="M1022" t="s">
        <v>6734</v>
      </c>
      <c r="O1022" t="s">
        <v>6754</v>
      </c>
      <c r="Q1022" t="s">
        <v>6756</v>
      </c>
      <c r="R1022" t="s">
        <v>6795</v>
      </c>
      <c r="U1022">
        <v>0</v>
      </c>
      <c r="V1022" t="s">
        <v>6835</v>
      </c>
      <c r="Y1022" t="s">
        <v>7840</v>
      </c>
      <c r="AA1022" t="s">
        <v>9896</v>
      </c>
      <c r="AB1022">
        <v>0</v>
      </c>
      <c r="AE1022">
        <v>0</v>
      </c>
      <c r="AF1022">
        <v>1</v>
      </c>
      <c r="AG1022">
        <v>0</v>
      </c>
      <c r="AH1022">
        <v>97.23</v>
      </c>
      <c r="AK1022" t="s">
        <v>10981</v>
      </c>
      <c r="AL1022">
        <v>12144</v>
      </c>
      <c r="AR1022">
        <v>2</v>
      </c>
      <c r="AS1022" t="s">
        <v>11136</v>
      </c>
      <c r="AT1022" t="s">
        <v>255</v>
      </c>
      <c r="AV1022" t="s">
        <v>11231</v>
      </c>
      <c r="AW1022" t="s">
        <v>11136</v>
      </c>
    </row>
    <row r="1023" spans="1:49">
      <c r="A1023" s="1">
        <f>HYPERLINK("https://lsnyc.legalserver.org/matter/dynamic-profile/view/1899909","19-1899909")</f>
        <v>0</v>
      </c>
      <c r="B1023" t="s">
        <v>189</v>
      </c>
      <c r="C1023" t="s">
        <v>1034</v>
      </c>
      <c r="D1023" t="s">
        <v>2379</v>
      </c>
      <c r="E1023" t="s">
        <v>4047</v>
      </c>
      <c r="F1023" t="s">
        <v>5212</v>
      </c>
      <c r="G1023" t="s">
        <v>5679</v>
      </c>
      <c r="H1023">
        <v>11412</v>
      </c>
      <c r="I1023" t="s">
        <v>5696</v>
      </c>
      <c r="J1023" t="s">
        <v>5696</v>
      </c>
      <c r="M1023" t="s">
        <v>6734</v>
      </c>
      <c r="O1023" t="s">
        <v>6758</v>
      </c>
      <c r="R1023" t="s">
        <v>6793</v>
      </c>
      <c r="U1023">
        <v>828</v>
      </c>
      <c r="V1023" t="s">
        <v>6837</v>
      </c>
      <c r="W1023" t="s">
        <v>6843</v>
      </c>
      <c r="Y1023" t="s">
        <v>7841</v>
      </c>
      <c r="AA1023" t="s">
        <v>9897</v>
      </c>
      <c r="AB1023">
        <v>40</v>
      </c>
      <c r="AC1023" t="s">
        <v>10936</v>
      </c>
      <c r="AD1023" t="s">
        <v>10944</v>
      </c>
      <c r="AE1023">
        <v>1</v>
      </c>
      <c r="AF1023">
        <v>1</v>
      </c>
      <c r="AG1023">
        <v>0</v>
      </c>
      <c r="AH1023">
        <v>280.06</v>
      </c>
      <c r="AK1023" t="s">
        <v>10966</v>
      </c>
      <c r="AL1023">
        <v>34980</v>
      </c>
      <c r="AR1023">
        <v>1</v>
      </c>
      <c r="AS1023" t="s">
        <v>11132</v>
      </c>
      <c r="AT1023" t="s">
        <v>11203</v>
      </c>
      <c r="AV1023" t="s">
        <v>11231</v>
      </c>
      <c r="AW1023" t="s">
        <v>11132</v>
      </c>
    </row>
    <row r="1024" spans="1:49">
      <c r="A1024" s="1">
        <f>HYPERLINK("https://lsnyc.legalserver.org/matter/dynamic-profile/view/1904718","19-1904718")</f>
        <v>0</v>
      </c>
      <c r="B1024" t="s">
        <v>262</v>
      </c>
      <c r="C1024" t="s">
        <v>1035</v>
      </c>
      <c r="D1024" t="s">
        <v>2380</v>
      </c>
      <c r="E1024" t="s">
        <v>4002</v>
      </c>
      <c r="F1024" t="s">
        <v>5160</v>
      </c>
      <c r="G1024" t="s">
        <v>5638</v>
      </c>
      <c r="H1024">
        <v>10040</v>
      </c>
      <c r="I1024" t="s">
        <v>5695</v>
      </c>
      <c r="J1024" t="s">
        <v>5696</v>
      </c>
      <c r="M1024" t="s">
        <v>6734</v>
      </c>
      <c r="O1024" t="s">
        <v>6745</v>
      </c>
      <c r="P1024" t="s">
        <v>5697</v>
      </c>
      <c r="R1024" t="s">
        <v>6793</v>
      </c>
      <c r="T1024" t="s">
        <v>6809</v>
      </c>
      <c r="U1024">
        <v>1116.26</v>
      </c>
      <c r="V1024" t="s">
        <v>6836</v>
      </c>
      <c r="W1024" t="s">
        <v>6842</v>
      </c>
      <c r="Y1024" t="s">
        <v>7842</v>
      </c>
      <c r="AA1024" t="s">
        <v>9898</v>
      </c>
      <c r="AB1024">
        <v>42</v>
      </c>
      <c r="AC1024" t="s">
        <v>10929</v>
      </c>
      <c r="AD1024" t="s">
        <v>5741</v>
      </c>
      <c r="AE1024">
        <v>22</v>
      </c>
      <c r="AF1024">
        <v>1</v>
      </c>
      <c r="AG1024">
        <v>1</v>
      </c>
      <c r="AH1024">
        <v>161.44</v>
      </c>
      <c r="AK1024" t="s">
        <v>10967</v>
      </c>
      <c r="AL1024">
        <v>27300</v>
      </c>
      <c r="AR1024">
        <v>2.3</v>
      </c>
      <c r="AS1024" t="s">
        <v>6808</v>
      </c>
      <c r="AT1024" t="s">
        <v>11201</v>
      </c>
      <c r="AU1024" t="s">
        <v>11228</v>
      </c>
      <c r="AV1024" t="s">
        <v>11231</v>
      </c>
      <c r="AW1024" t="s">
        <v>6809</v>
      </c>
    </row>
    <row r="1025" spans="1:49">
      <c r="A1025" s="1">
        <f>HYPERLINK("https://lsnyc.legalserver.org/matter/dynamic-profile/view/1899322","19-1899322")</f>
        <v>0</v>
      </c>
      <c r="B1025" t="s">
        <v>98</v>
      </c>
      <c r="C1025" t="s">
        <v>1036</v>
      </c>
      <c r="D1025" t="s">
        <v>2381</v>
      </c>
      <c r="E1025" t="s">
        <v>4048</v>
      </c>
      <c r="F1025">
        <v>41</v>
      </c>
      <c r="G1025" t="s">
        <v>5638</v>
      </c>
      <c r="H1025">
        <v>10031</v>
      </c>
      <c r="I1025" t="s">
        <v>5696</v>
      </c>
      <c r="J1025" t="s">
        <v>5696</v>
      </c>
      <c r="M1025" t="s">
        <v>6734</v>
      </c>
      <c r="O1025" t="s">
        <v>6759</v>
      </c>
      <c r="P1025" t="s">
        <v>5697</v>
      </c>
      <c r="R1025" t="s">
        <v>6793</v>
      </c>
      <c r="S1025" t="s">
        <v>6806</v>
      </c>
      <c r="U1025">
        <v>2088</v>
      </c>
      <c r="V1025" t="s">
        <v>6836</v>
      </c>
      <c r="W1025" t="s">
        <v>6843</v>
      </c>
      <c r="Y1025" t="s">
        <v>7843</v>
      </c>
      <c r="AA1025" t="s">
        <v>9899</v>
      </c>
      <c r="AB1025">
        <v>0</v>
      </c>
      <c r="AC1025" t="s">
        <v>10929</v>
      </c>
      <c r="AD1025" t="s">
        <v>5741</v>
      </c>
      <c r="AE1025">
        <v>6</v>
      </c>
      <c r="AF1025">
        <v>1</v>
      </c>
      <c r="AG1025">
        <v>0</v>
      </c>
      <c r="AH1025">
        <v>270.55</v>
      </c>
      <c r="AK1025" t="s">
        <v>10966</v>
      </c>
      <c r="AL1025">
        <v>33792</v>
      </c>
      <c r="AR1025">
        <v>0.1</v>
      </c>
      <c r="AS1025" t="s">
        <v>11132</v>
      </c>
      <c r="AT1025" t="s">
        <v>305</v>
      </c>
      <c r="AV1025" t="s">
        <v>11231</v>
      </c>
      <c r="AW1025" t="s">
        <v>11128</v>
      </c>
    </row>
    <row r="1026" spans="1:49">
      <c r="A1026" s="1">
        <f>HYPERLINK("https://lsnyc.legalserver.org/matter/dynamic-profile/view/1904585","19-1904585")</f>
        <v>0</v>
      </c>
      <c r="B1026" t="s">
        <v>258</v>
      </c>
      <c r="C1026" t="s">
        <v>1037</v>
      </c>
      <c r="D1026" t="s">
        <v>2382</v>
      </c>
      <c r="E1026" t="s">
        <v>4049</v>
      </c>
      <c r="F1026" t="s">
        <v>5429</v>
      </c>
      <c r="G1026" t="s">
        <v>5638</v>
      </c>
      <c r="H1026">
        <v>10002</v>
      </c>
      <c r="I1026" t="s">
        <v>5695</v>
      </c>
      <c r="J1026" t="s">
        <v>5696</v>
      </c>
      <c r="M1026" t="s">
        <v>6734</v>
      </c>
      <c r="O1026" t="s">
        <v>6759</v>
      </c>
      <c r="R1026" t="s">
        <v>6793</v>
      </c>
      <c r="U1026">
        <v>1035.79</v>
      </c>
      <c r="V1026" t="s">
        <v>6836</v>
      </c>
      <c r="W1026" t="s">
        <v>6850</v>
      </c>
      <c r="Y1026" t="s">
        <v>7844</v>
      </c>
      <c r="AA1026" t="s">
        <v>9900</v>
      </c>
      <c r="AB1026">
        <v>0</v>
      </c>
      <c r="AC1026" t="s">
        <v>8953</v>
      </c>
      <c r="AE1026">
        <v>3</v>
      </c>
      <c r="AF1026">
        <v>1</v>
      </c>
      <c r="AG1026">
        <v>1</v>
      </c>
      <c r="AH1026">
        <v>197.68</v>
      </c>
      <c r="AK1026" t="s">
        <v>10967</v>
      </c>
      <c r="AL1026">
        <v>33428</v>
      </c>
      <c r="AR1026">
        <v>1</v>
      </c>
      <c r="AS1026" t="s">
        <v>6809</v>
      </c>
      <c r="AT1026" t="s">
        <v>305</v>
      </c>
      <c r="AU1026" t="s">
        <v>11228</v>
      </c>
      <c r="AV1026" t="s">
        <v>11231</v>
      </c>
      <c r="AW1026" t="s">
        <v>6810</v>
      </c>
    </row>
    <row r="1027" spans="1:49">
      <c r="A1027" s="1">
        <f>HYPERLINK("https://lsnyc.legalserver.org/matter/dynamic-profile/view/1903472","19-1903472")</f>
        <v>0</v>
      </c>
      <c r="B1027" t="s">
        <v>255</v>
      </c>
      <c r="C1027" t="s">
        <v>1038</v>
      </c>
      <c r="D1027" t="s">
        <v>2383</v>
      </c>
      <c r="E1027" t="s">
        <v>4050</v>
      </c>
      <c r="F1027" t="s">
        <v>5430</v>
      </c>
      <c r="G1027" t="s">
        <v>5680</v>
      </c>
      <c r="H1027">
        <v>11692</v>
      </c>
      <c r="I1027" t="s">
        <v>5696</v>
      </c>
      <c r="J1027" t="s">
        <v>5696</v>
      </c>
      <c r="M1027" t="s">
        <v>6734</v>
      </c>
      <c r="O1027" t="s">
        <v>6756</v>
      </c>
      <c r="R1027" t="s">
        <v>6795</v>
      </c>
      <c r="U1027">
        <v>0</v>
      </c>
      <c r="V1027" t="s">
        <v>6837</v>
      </c>
      <c r="Y1027" t="s">
        <v>7845</v>
      </c>
      <c r="AA1027" t="s">
        <v>9901</v>
      </c>
      <c r="AB1027">
        <v>0</v>
      </c>
      <c r="AD1027" t="s">
        <v>10944</v>
      </c>
      <c r="AE1027">
        <v>0</v>
      </c>
      <c r="AF1027">
        <v>2</v>
      </c>
      <c r="AG1027">
        <v>4</v>
      </c>
      <c r="AH1027">
        <v>3.47</v>
      </c>
      <c r="AK1027" t="s">
        <v>10966</v>
      </c>
      <c r="AL1027">
        <v>1200</v>
      </c>
      <c r="AR1027">
        <v>0.8</v>
      </c>
      <c r="AS1027" t="s">
        <v>11136</v>
      </c>
      <c r="AT1027" t="s">
        <v>255</v>
      </c>
      <c r="AV1027" t="s">
        <v>11231</v>
      </c>
      <c r="AW1027" t="s">
        <v>11136</v>
      </c>
    </row>
    <row r="1028" spans="1:49">
      <c r="A1028" s="1">
        <f>HYPERLINK("https://lsnyc.legalserver.org/matter/dynamic-profile/view/1898625","19-1898625")</f>
        <v>0</v>
      </c>
      <c r="B1028" t="s">
        <v>205</v>
      </c>
      <c r="C1028" t="s">
        <v>994</v>
      </c>
      <c r="D1028" t="s">
        <v>1968</v>
      </c>
      <c r="E1028" t="s">
        <v>4051</v>
      </c>
      <c r="F1028" t="s">
        <v>5100</v>
      </c>
      <c r="G1028" t="s">
        <v>5637</v>
      </c>
      <c r="H1028">
        <v>11230</v>
      </c>
      <c r="I1028" t="s">
        <v>5696</v>
      </c>
      <c r="J1028" t="s">
        <v>5696</v>
      </c>
      <c r="M1028" t="s">
        <v>6734</v>
      </c>
      <c r="O1028" t="s">
        <v>6746</v>
      </c>
      <c r="R1028" t="s">
        <v>6793</v>
      </c>
      <c r="U1028">
        <v>856.72</v>
      </c>
      <c r="V1028" t="s">
        <v>6835</v>
      </c>
      <c r="W1028" t="s">
        <v>6843</v>
      </c>
      <c r="Y1028" t="s">
        <v>7846</v>
      </c>
      <c r="AA1028" t="s">
        <v>9902</v>
      </c>
      <c r="AB1028">
        <v>72</v>
      </c>
      <c r="AD1028" t="s">
        <v>10946</v>
      </c>
      <c r="AE1028">
        <v>36</v>
      </c>
      <c r="AF1028">
        <v>3</v>
      </c>
      <c r="AG1028">
        <v>2</v>
      </c>
      <c r="AH1028">
        <v>59.83</v>
      </c>
      <c r="AK1028" t="s">
        <v>10966</v>
      </c>
      <c r="AL1028">
        <v>18052</v>
      </c>
      <c r="AR1028">
        <v>0.7</v>
      </c>
      <c r="AS1028" t="s">
        <v>11123</v>
      </c>
      <c r="AT1028" t="s">
        <v>11178</v>
      </c>
      <c r="AV1028" t="s">
        <v>11231</v>
      </c>
      <c r="AW1028" t="s">
        <v>11123</v>
      </c>
    </row>
    <row r="1029" spans="1:49">
      <c r="A1029" s="1">
        <f>HYPERLINK("https://lsnyc.legalserver.org/matter/dynamic-profile/view/1904387","19-1904387")</f>
        <v>0</v>
      </c>
      <c r="B1029" t="s">
        <v>241</v>
      </c>
      <c r="C1029" t="s">
        <v>538</v>
      </c>
      <c r="D1029" t="s">
        <v>2384</v>
      </c>
      <c r="E1029" t="s">
        <v>4052</v>
      </c>
      <c r="F1029" t="s">
        <v>5116</v>
      </c>
      <c r="G1029" t="s">
        <v>5637</v>
      </c>
      <c r="H1029">
        <v>11249</v>
      </c>
      <c r="I1029" t="s">
        <v>5695</v>
      </c>
      <c r="J1029" t="s">
        <v>5696</v>
      </c>
      <c r="M1029" t="s">
        <v>6734</v>
      </c>
      <c r="O1029" t="s">
        <v>6746</v>
      </c>
      <c r="R1029" t="s">
        <v>6793</v>
      </c>
      <c r="T1029" t="s">
        <v>6815</v>
      </c>
      <c r="U1029">
        <v>1159</v>
      </c>
      <c r="V1029" t="s">
        <v>6835</v>
      </c>
      <c r="W1029" t="s">
        <v>6840</v>
      </c>
      <c r="Y1029" t="s">
        <v>7847</v>
      </c>
      <c r="Z1029" t="s">
        <v>8993</v>
      </c>
      <c r="AA1029" t="s">
        <v>9903</v>
      </c>
      <c r="AB1029">
        <v>83</v>
      </c>
      <c r="AC1029" t="s">
        <v>10935</v>
      </c>
      <c r="AE1029">
        <v>3</v>
      </c>
      <c r="AF1029">
        <v>1</v>
      </c>
      <c r="AG1029">
        <v>0</v>
      </c>
      <c r="AH1029">
        <v>58.9</v>
      </c>
      <c r="AK1029" t="s">
        <v>10966</v>
      </c>
      <c r="AL1029">
        <v>7356</v>
      </c>
      <c r="AR1029">
        <v>0</v>
      </c>
      <c r="AT1029" t="s">
        <v>11198</v>
      </c>
      <c r="AU1029" t="s">
        <v>11228</v>
      </c>
      <c r="AV1029" t="s">
        <v>11231</v>
      </c>
      <c r="AW1029" t="s">
        <v>6815</v>
      </c>
    </row>
    <row r="1030" spans="1:49">
      <c r="A1030" s="1">
        <f>HYPERLINK("https://lsnyc.legalserver.org/matter/dynamic-profile/view/1906049","19-1906049")</f>
        <v>0</v>
      </c>
      <c r="B1030" t="s">
        <v>111</v>
      </c>
      <c r="C1030" t="s">
        <v>1039</v>
      </c>
      <c r="D1030" t="s">
        <v>2385</v>
      </c>
      <c r="E1030" t="s">
        <v>4053</v>
      </c>
      <c r="F1030" t="s">
        <v>5431</v>
      </c>
      <c r="G1030" t="s">
        <v>5638</v>
      </c>
      <c r="H1030">
        <v>10033</v>
      </c>
      <c r="I1030" t="s">
        <v>5695</v>
      </c>
      <c r="J1030" t="s">
        <v>5696</v>
      </c>
      <c r="M1030" t="s">
        <v>6734</v>
      </c>
      <c r="O1030" t="s">
        <v>6745</v>
      </c>
      <c r="P1030" t="s">
        <v>5697</v>
      </c>
      <c r="R1030" t="s">
        <v>6793</v>
      </c>
      <c r="T1030" t="s">
        <v>6820</v>
      </c>
      <c r="U1030">
        <v>2668</v>
      </c>
      <c r="V1030" t="s">
        <v>6836</v>
      </c>
      <c r="W1030" t="s">
        <v>6843</v>
      </c>
      <c r="Y1030" t="s">
        <v>7848</v>
      </c>
      <c r="AA1030" t="s">
        <v>9904</v>
      </c>
      <c r="AB1030">
        <v>480</v>
      </c>
      <c r="AC1030" t="s">
        <v>10929</v>
      </c>
      <c r="AD1030" t="s">
        <v>5741</v>
      </c>
      <c r="AE1030">
        <v>5</v>
      </c>
      <c r="AF1030">
        <v>1</v>
      </c>
      <c r="AG1030">
        <v>0</v>
      </c>
      <c r="AH1030">
        <v>60.53</v>
      </c>
      <c r="AK1030" t="s">
        <v>10967</v>
      </c>
      <c r="AL1030">
        <v>7560</v>
      </c>
      <c r="AR1030">
        <v>0.4</v>
      </c>
      <c r="AS1030" t="s">
        <v>6820</v>
      </c>
      <c r="AT1030" t="s">
        <v>11201</v>
      </c>
      <c r="AU1030" t="s">
        <v>11228</v>
      </c>
      <c r="AV1030" t="s">
        <v>11231</v>
      </c>
      <c r="AW1030" t="s">
        <v>6820</v>
      </c>
    </row>
    <row r="1031" spans="1:49">
      <c r="A1031" s="1">
        <f>HYPERLINK("https://lsnyc.legalserver.org/matter/dynamic-profile/view/1898680","19-1898680")</f>
        <v>0</v>
      </c>
      <c r="B1031" t="s">
        <v>241</v>
      </c>
      <c r="C1031" t="s">
        <v>1040</v>
      </c>
      <c r="D1031" t="s">
        <v>1665</v>
      </c>
      <c r="E1031" t="s">
        <v>4054</v>
      </c>
      <c r="F1031" t="s">
        <v>5304</v>
      </c>
      <c r="G1031" t="s">
        <v>5637</v>
      </c>
      <c r="H1031">
        <v>11206</v>
      </c>
      <c r="I1031" t="s">
        <v>5696</v>
      </c>
      <c r="J1031" t="s">
        <v>5696</v>
      </c>
      <c r="M1031" t="s">
        <v>6734</v>
      </c>
      <c r="O1031" t="s">
        <v>6746</v>
      </c>
      <c r="R1031" t="s">
        <v>6793</v>
      </c>
      <c r="U1031">
        <v>0</v>
      </c>
      <c r="V1031" t="s">
        <v>6835</v>
      </c>
      <c r="W1031" t="s">
        <v>6840</v>
      </c>
      <c r="Y1031" t="s">
        <v>7849</v>
      </c>
      <c r="AA1031" t="s">
        <v>9905</v>
      </c>
      <c r="AB1031">
        <v>100</v>
      </c>
      <c r="AE1031">
        <v>2</v>
      </c>
      <c r="AF1031">
        <v>1</v>
      </c>
      <c r="AG1031">
        <v>0</v>
      </c>
      <c r="AH1031">
        <v>72.06</v>
      </c>
      <c r="AK1031" t="s">
        <v>10966</v>
      </c>
      <c r="AL1031">
        <v>9000</v>
      </c>
      <c r="AR1031">
        <v>5.4</v>
      </c>
      <c r="AS1031" t="s">
        <v>6827</v>
      </c>
      <c r="AT1031" t="s">
        <v>11198</v>
      </c>
      <c r="AV1031" t="s">
        <v>11231</v>
      </c>
      <c r="AW1031" t="s">
        <v>11152</v>
      </c>
    </row>
    <row r="1032" spans="1:49">
      <c r="A1032" s="1">
        <f>HYPERLINK("https://lsnyc.legalserver.org/matter/dynamic-profile/view/1906048","19-1906048")</f>
        <v>0</v>
      </c>
      <c r="B1032" t="s">
        <v>183</v>
      </c>
      <c r="C1032" t="s">
        <v>533</v>
      </c>
      <c r="D1032" t="s">
        <v>2386</v>
      </c>
      <c r="E1032" t="s">
        <v>4055</v>
      </c>
      <c r="F1032" t="s">
        <v>5247</v>
      </c>
      <c r="G1032" t="s">
        <v>5635</v>
      </c>
      <c r="H1032">
        <v>10452</v>
      </c>
      <c r="I1032" t="s">
        <v>5696</v>
      </c>
      <c r="J1032" t="s">
        <v>5696</v>
      </c>
      <c r="M1032" t="s">
        <v>6734</v>
      </c>
      <c r="O1032" t="s">
        <v>6747</v>
      </c>
      <c r="R1032" t="s">
        <v>6793</v>
      </c>
      <c r="U1032">
        <v>983</v>
      </c>
      <c r="V1032" t="s">
        <v>6833</v>
      </c>
      <c r="W1032" t="s">
        <v>6843</v>
      </c>
      <c r="Y1032" t="s">
        <v>7850</v>
      </c>
      <c r="AA1032" t="s">
        <v>9906</v>
      </c>
      <c r="AB1032">
        <v>68</v>
      </c>
      <c r="AC1032" t="s">
        <v>10929</v>
      </c>
      <c r="AD1032" t="s">
        <v>5741</v>
      </c>
      <c r="AE1032">
        <v>40</v>
      </c>
      <c r="AF1032">
        <v>1</v>
      </c>
      <c r="AG1032">
        <v>0</v>
      </c>
      <c r="AH1032">
        <v>124.9</v>
      </c>
      <c r="AK1032" t="s">
        <v>10966</v>
      </c>
      <c r="AL1032">
        <v>15600</v>
      </c>
      <c r="AR1032">
        <v>0.5</v>
      </c>
      <c r="AS1032" t="s">
        <v>6827</v>
      </c>
      <c r="AT1032" t="s">
        <v>219</v>
      </c>
      <c r="AV1032" t="s">
        <v>11231</v>
      </c>
      <c r="AW1032" t="s">
        <v>6820</v>
      </c>
    </row>
    <row r="1033" spans="1:49">
      <c r="A1033" s="1">
        <f>HYPERLINK("https://lsnyc.legalserver.org/matter/dynamic-profile/view/1906252","19-1906252")</f>
        <v>0</v>
      </c>
      <c r="B1033" t="s">
        <v>141</v>
      </c>
      <c r="C1033" t="s">
        <v>731</v>
      </c>
      <c r="D1033" t="s">
        <v>1660</v>
      </c>
      <c r="E1033" t="s">
        <v>4056</v>
      </c>
      <c r="F1033">
        <v>224</v>
      </c>
      <c r="G1033" t="s">
        <v>5637</v>
      </c>
      <c r="H1033">
        <v>11212</v>
      </c>
      <c r="I1033" t="s">
        <v>5696</v>
      </c>
      <c r="J1033" t="s">
        <v>5696</v>
      </c>
      <c r="M1033" t="s">
        <v>6734</v>
      </c>
      <c r="O1033" t="s">
        <v>6771</v>
      </c>
      <c r="P1033" t="s">
        <v>5697</v>
      </c>
      <c r="R1033" t="s">
        <v>6793</v>
      </c>
      <c r="U1033">
        <v>1500</v>
      </c>
      <c r="V1033" t="s">
        <v>6835</v>
      </c>
      <c r="W1033" t="s">
        <v>6843</v>
      </c>
      <c r="Y1033" t="s">
        <v>7851</v>
      </c>
      <c r="AA1033" t="s">
        <v>9907</v>
      </c>
      <c r="AB1033">
        <v>0</v>
      </c>
      <c r="AE1033">
        <v>2</v>
      </c>
      <c r="AF1033">
        <v>1</v>
      </c>
      <c r="AG1033">
        <v>0</v>
      </c>
      <c r="AH1033">
        <v>82.43000000000001</v>
      </c>
      <c r="AL1033">
        <v>10296</v>
      </c>
      <c r="AR1033">
        <v>0</v>
      </c>
      <c r="AT1033" t="s">
        <v>141</v>
      </c>
      <c r="AV1033" t="s">
        <v>11231</v>
      </c>
      <c r="AW1033" t="s">
        <v>6821</v>
      </c>
    </row>
    <row r="1034" spans="1:49">
      <c r="A1034" s="1">
        <f>HYPERLINK("https://lsnyc.legalserver.org/matter/dynamic-profile/view/1903690","19-1903690")</f>
        <v>0</v>
      </c>
      <c r="B1034" t="s">
        <v>255</v>
      </c>
      <c r="C1034" t="s">
        <v>584</v>
      </c>
      <c r="D1034" t="s">
        <v>2387</v>
      </c>
      <c r="E1034" t="s">
        <v>4057</v>
      </c>
      <c r="F1034" t="s">
        <v>5432</v>
      </c>
      <c r="G1034" t="s">
        <v>5637</v>
      </c>
      <c r="H1034">
        <v>11238</v>
      </c>
      <c r="I1034" t="s">
        <v>5696</v>
      </c>
      <c r="J1034" t="s">
        <v>5696</v>
      </c>
      <c r="M1034" t="s">
        <v>6734</v>
      </c>
      <c r="O1034" t="s">
        <v>6754</v>
      </c>
      <c r="Q1034" t="s">
        <v>6756</v>
      </c>
      <c r="R1034" t="s">
        <v>6793</v>
      </c>
      <c r="U1034">
        <v>0</v>
      </c>
      <c r="V1034" t="s">
        <v>6835</v>
      </c>
      <c r="Y1034" t="s">
        <v>7852</v>
      </c>
      <c r="AA1034" t="s">
        <v>9908</v>
      </c>
      <c r="AB1034">
        <v>0</v>
      </c>
      <c r="AE1034">
        <v>0</v>
      </c>
      <c r="AF1034">
        <v>3</v>
      </c>
      <c r="AG1034">
        <v>0</v>
      </c>
      <c r="AH1034">
        <v>319.74</v>
      </c>
      <c r="AK1034" t="s">
        <v>10966</v>
      </c>
      <c r="AL1034">
        <v>68200</v>
      </c>
      <c r="AR1034">
        <v>0</v>
      </c>
      <c r="AT1034" t="s">
        <v>255</v>
      </c>
      <c r="AV1034" t="s">
        <v>11231</v>
      </c>
      <c r="AW1034" t="s">
        <v>11144</v>
      </c>
    </row>
    <row r="1035" spans="1:49">
      <c r="A1035" s="1">
        <f>HYPERLINK("https://lsnyc.legalserver.org/matter/dynamic-profile/view/1904729","19-1904729")</f>
        <v>0</v>
      </c>
      <c r="B1035" t="s">
        <v>112</v>
      </c>
      <c r="C1035" t="s">
        <v>1041</v>
      </c>
      <c r="D1035" t="s">
        <v>1757</v>
      </c>
      <c r="E1035" t="s">
        <v>4058</v>
      </c>
      <c r="F1035" t="s">
        <v>5170</v>
      </c>
      <c r="G1035" t="s">
        <v>5638</v>
      </c>
      <c r="H1035">
        <v>10034</v>
      </c>
      <c r="I1035" t="s">
        <v>5695</v>
      </c>
      <c r="J1035" t="s">
        <v>5696</v>
      </c>
      <c r="M1035" t="s">
        <v>6734</v>
      </c>
      <c r="O1035" t="s">
        <v>6745</v>
      </c>
      <c r="P1035" t="s">
        <v>5695</v>
      </c>
      <c r="R1035" t="s">
        <v>6793</v>
      </c>
      <c r="T1035" t="s">
        <v>6809</v>
      </c>
      <c r="U1035">
        <v>1600</v>
      </c>
      <c r="V1035" t="s">
        <v>6836</v>
      </c>
      <c r="W1035" t="s">
        <v>6842</v>
      </c>
      <c r="Y1035" t="s">
        <v>7853</v>
      </c>
      <c r="AA1035" t="s">
        <v>9909</v>
      </c>
      <c r="AB1035">
        <v>43</v>
      </c>
      <c r="AC1035" t="s">
        <v>10929</v>
      </c>
      <c r="AD1035" t="s">
        <v>5741</v>
      </c>
      <c r="AE1035">
        <v>0</v>
      </c>
      <c r="AF1035">
        <v>3</v>
      </c>
      <c r="AG1035">
        <v>1</v>
      </c>
      <c r="AH1035">
        <v>154.72</v>
      </c>
      <c r="AK1035" t="s">
        <v>10967</v>
      </c>
      <c r="AL1035">
        <v>39840</v>
      </c>
      <c r="AR1035">
        <v>0</v>
      </c>
      <c r="AT1035" t="s">
        <v>11201</v>
      </c>
      <c r="AU1035" t="s">
        <v>11228</v>
      </c>
      <c r="AV1035" t="s">
        <v>11231</v>
      </c>
      <c r="AW1035" t="s">
        <v>6809</v>
      </c>
    </row>
    <row r="1036" spans="1:49">
      <c r="A1036" s="1">
        <f>HYPERLINK("https://lsnyc.legalserver.org/matter/dynamic-profile/view/1895697","19-1895697")</f>
        <v>0</v>
      </c>
      <c r="B1036" t="s">
        <v>72</v>
      </c>
      <c r="C1036" t="s">
        <v>1042</v>
      </c>
      <c r="D1036" t="s">
        <v>1867</v>
      </c>
      <c r="E1036" t="s">
        <v>4059</v>
      </c>
      <c r="F1036">
        <v>2</v>
      </c>
      <c r="G1036" t="s">
        <v>5637</v>
      </c>
      <c r="H1036">
        <v>11208</v>
      </c>
      <c r="I1036" t="s">
        <v>5696</v>
      </c>
      <c r="J1036" t="s">
        <v>5696</v>
      </c>
      <c r="M1036" t="s">
        <v>6734</v>
      </c>
      <c r="O1036" t="s">
        <v>6771</v>
      </c>
      <c r="P1036" t="s">
        <v>5697</v>
      </c>
      <c r="R1036" t="s">
        <v>6793</v>
      </c>
      <c r="U1036">
        <v>0</v>
      </c>
      <c r="V1036" t="s">
        <v>6835</v>
      </c>
      <c r="Y1036" t="s">
        <v>7854</v>
      </c>
      <c r="AA1036" t="s">
        <v>9910</v>
      </c>
      <c r="AB1036">
        <v>2</v>
      </c>
      <c r="AC1036" t="s">
        <v>10930</v>
      </c>
      <c r="AD1036" t="s">
        <v>10948</v>
      </c>
      <c r="AE1036">
        <v>0</v>
      </c>
      <c r="AF1036">
        <v>1</v>
      </c>
      <c r="AG1036">
        <v>2</v>
      </c>
      <c r="AH1036">
        <v>67.06</v>
      </c>
      <c r="AK1036" t="s">
        <v>10966</v>
      </c>
      <c r="AL1036">
        <v>14304</v>
      </c>
      <c r="AR1036">
        <v>4.05</v>
      </c>
      <c r="AS1036" t="s">
        <v>6819</v>
      </c>
      <c r="AT1036" t="s">
        <v>11183</v>
      </c>
      <c r="AV1036" t="s">
        <v>11231</v>
      </c>
      <c r="AW1036" t="s">
        <v>11119</v>
      </c>
    </row>
    <row r="1037" spans="1:49">
      <c r="A1037" s="1">
        <f>HYPERLINK("https://lsnyc.legalserver.org/matter/dynamic-profile/view/1901325","19-1901325")</f>
        <v>0</v>
      </c>
      <c r="B1037" t="s">
        <v>80</v>
      </c>
      <c r="C1037" t="s">
        <v>1043</v>
      </c>
      <c r="D1037" t="s">
        <v>2388</v>
      </c>
      <c r="E1037" t="s">
        <v>4060</v>
      </c>
      <c r="F1037" t="s">
        <v>5433</v>
      </c>
      <c r="G1037" t="s">
        <v>5646</v>
      </c>
      <c r="H1037">
        <v>11354</v>
      </c>
      <c r="I1037" t="s">
        <v>5696</v>
      </c>
      <c r="J1037" t="s">
        <v>5696</v>
      </c>
      <c r="M1037" t="s">
        <v>6734</v>
      </c>
      <c r="O1037" t="s">
        <v>6745</v>
      </c>
      <c r="P1037" t="s">
        <v>5697</v>
      </c>
      <c r="R1037" t="s">
        <v>6793</v>
      </c>
      <c r="S1037" t="s">
        <v>6801</v>
      </c>
      <c r="U1037">
        <v>1700</v>
      </c>
      <c r="V1037" t="s">
        <v>6837</v>
      </c>
      <c r="W1037" t="s">
        <v>6839</v>
      </c>
      <c r="Y1037" t="s">
        <v>7855</v>
      </c>
      <c r="Z1037" t="s">
        <v>5741</v>
      </c>
      <c r="AA1037" t="s">
        <v>9911</v>
      </c>
      <c r="AB1037">
        <v>104</v>
      </c>
      <c r="AC1037" t="s">
        <v>10933</v>
      </c>
      <c r="AD1037" t="s">
        <v>5741</v>
      </c>
      <c r="AE1037">
        <v>3</v>
      </c>
      <c r="AF1037">
        <v>2</v>
      </c>
      <c r="AG1037">
        <v>0</v>
      </c>
      <c r="AH1037">
        <v>159.67</v>
      </c>
      <c r="AK1037" t="s">
        <v>10982</v>
      </c>
      <c r="AL1037">
        <v>27000</v>
      </c>
      <c r="AR1037">
        <v>3.3</v>
      </c>
      <c r="AS1037" t="s">
        <v>6811</v>
      </c>
      <c r="AT1037" t="s">
        <v>11188</v>
      </c>
      <c r="AV1037" t="s">
        <v>11231</v>
      </c>
      <c r="AW1037" t="s">
        <v>11148</v>
      </c>
    </row>
    <row r="1038" spans="1:49">
      <c r="A1038" s="1">
        <f>HYPERLINK("https://lsnyc.legalserver.org/matter/dynamic-profile/view/1905488","19-1905488")</f>
        <v>0</v>
      </c>
      <c r="B1038" t="s">
        <v>112</v>
      </c>
      <c r="C1038" t="s">
        <v>1044</v>
      </c>
      <c r="D1038" t="s">
        <v>2389</v>
      </c>
      <c r="E1038" t="s">
        <v>4061</v>
      </c>
      <c r="F1038" t="s">
        <v>5252</v>
      </c>
      <c r="G1038" t="s">
        <v>5638</v>
      </c>
      <c r="H1038">
        <v>10034</v>
      </c>
      <c r="I1038" t="s">
        <v>5695</v>
      </c>
      <c r="J1038" t="s">
        <v>5696</v>
      </c>
      <c r="M1038" t="s">
        <v>6734</v>
      </c>
      <c r="O1038" t="s">
        <v>6745</v>
      </c>
      <c r="P1038" t="s">
        <v>5697</v>
      </c>
      <c r="R1038" t="s">
        <v>6793</v>
      </c>
      <c r="T1038" t="s">
        <v>6822</v>
      </c>
      <c r="U1038">
        <v>1550</v>
      </c>
      <c r="V1038" t="s">
        <v>6836</v>
      </c>
      <c r="W1038" t="s">
        <v>6842</v>
      </c>
      <c r="Y1038" t="s">
        <v>7856</v>
      </c>
      <c r="AA1038" t="s">
        <v>9912</v>
      </c>
      <c r="AB1038">
        <v>44</v>
      </c>
      <c r="AC1038" t="s">
        <v>10929</v>
      </c>
      <c r="AD1038" t="s">
        <v>5741</v>
      </c>
      <c r="AE1038">
        <v>3</v>
      </c>
      <c r="AF1038">
        <v>1</v>
      </c>
      <c r="AG1038">
        <v>1</v>
      </c>
      <c r="AH1038">
        <v>325.25</v>
      </c>
      <c r="AK1038" t="s">
        <v>10966</v>
      </c>
      <c r="AL1038">
        <v>55000</v>
      </c>
      <c r="AR1038">
        <v>0</v>
      </c>
      <c r="AT1038" t="s">
        <v>11201</v>
      </c>
      <c r="AU1038" t="s">
        <v>11228</v>
      </c>
      <c r="AV1038" t="s">
        <v>11231</v>
      </c>
      <c r="AW1038" t="s">
        <v>6822</v>
      </c>
    </row>
    <row r="1039" spans="1:49">
      <c r="A1039" s="1">
        <f>HYPERLINK("https://lsnyc.legalserver.org/matter/dynamic-profile/view/1904709","19-1904709")</f>
        <v>0</v>
      </c>
      <c r="B1039" t="s">
        <v>147</v>
      </c>
      <c r="C1039" t="s">
        <v>1045</v>
      </c>
      <c r="D1039" t="s">
        <v>1741</v>
      </c>
      <c r="E1039" t="s">
        <v>4062</v>
      </c>
      <c r="G1039" t="s">
        <v>5671</v>
      </c>
      <c r="H1039">
        <v>11694</v>
      </c>
      <c r="I1039" t="s">
        <v>5696</v>
      </c>
      <c r="J1039" t="s">
        <v>5696</v>
      </c>
      <c r="M1039" t="s">
        <v>6734</v>
      </c>
      <c r="O1039" t="s">
        <v>6758</v>
      </c>
      <c r="R1039" t="s">
        <v>6793</v>
      </c>
      <c r="U1039">
        <v>669</v>
      </c>
      <c r="V1039" t="s">
        <v>6837</v>
      </c>
      <c r="W1039" t="s">
        <v>6843</v>
      </c>
      <c r="Y1039" t="s">
        <v>7857</v>
      </c>
      <c r="AA1039" t="s">
        <v>9913</v>
      </c>
      <c r="AB1039">
        <v>185</v>
      </c>
      <c r="AD1039" t="s">
        <v>10943</v>
      </c>
      <c r="AE1039">
        <v>28</v>
      </c>
      <c r="AF1039">
        <v>1</v>
      </c>
      <c r="AG1039">
        <v>0</v>
      </c>
      <c r="AH1039">
        <v>272.22</v>
      </c>
      <c r="AK1039" t="s">
        <v>10966</v>
      </c>
      <c r="AL1039">
        <v>34000</v>
      </c>
      <c r="AR1039">
        <v>4</v>
      </c>
      <c r="AS1039" t="s">
        <v>6828</v>
      </c>
      <c r="AT1039" t="s">
        <v>11203</v>
      </c>
      <c r="AV1039" t="s">
        <v>11231</v>
      </c>
      <c r="AW1039" t="s">
        <v>6809</v>
      </c>
    </row>
    <row r="1040" spans="1:49">
      <c r="A1040" s="1">
        <f>HYPERLINK("https://lsnyc.legalserver.org/matter/dynamic-profile/view/1904723","19-1904723")</f>
        <v>0</v>
      </c>
      <c r="B1040" t="s">
        <v>112</v>
      </c>
      <c r="C1040" t="s">
        <v>880</v>
      </c>
      <c r="D1040" t="s">
        <v>2178</v>
      </c>
      <c r="E1040" t="s">
        <v>4058</v>
      </c>
      <c r="F1040" t="s">
        <v>5434</v>
      </c>
      <c r="G1040" t="s">
        <v>5638</v>
      </c>
      <c r="H1040">
        <v>10034</v>
      </c>
      <c r="I1040" t="s">
        <v>5695</v>
      </c>
      <c r="J1040" t="s">
        <v>5696</v>
      </c>
      <c r="M1040" t="s">
        <v>6734</v>
      </c>
      <c r="O1040" t="s">
        <v>6745</v>
      </c>
      <c r="P1040" t="s">
        <v>5695</v>
      </c>
      <c r="R1040" t="s">
        <v>6793</v>
      </c>
      <c r="T1040" t="s">
        <v>6809</v>
      </c>
      <c r="U1040">
        <v>1625</v>
      </c>
      <c r="V1040" t="s">
        <v>6836</v>
      </c>
      <c r="W1040" t="s">
        <v>6842</v>
      </c>
      <c r="Y1040" t="s">
        <v>7858</v>
      </c>
      <c r="AA1040" t="s">
        <v>9914</v>
      </c>
      <c r="AB1040">
        <v>43</v>
      </c>
      <c r="AC1040" t="s">
        <v>10929</v>
      </c>
      <c r="AD1040" t="s">
        <v>5741</v>
      </c>
      <c r="AE1040">
        <v>2</v>
      </c>
      <c r="AF1040">
        <v>2</v>
      </c>
      <c r="AG1040">
        <v>0</v>
      </c>
      <c r="AH1040">
        <v>413.96</v>
      </c>
      <c r="AK1040" t="s">
        <v>10966</v>
      </c>
      <c r="AL1040">
        <v>70000</v>
      </c>
      <c r="AR1040">
        <v>0</v>
      </c>
      <c r="AT1040" t="s">
        <v>11201</v>
      </c>
      <c r="AU1040" t="s">
        <v>11228</v>
      </c>
      <c r="AV1040" t="s">
        <v>11231</v>
      </c>
      <c r="AW1040" t="s">
        <v>6809</v>
      </c>
    </row>
    <row r="1041" spans="1:49">
      <c r="A1041" s="1">
        <f>HYPERLINK("https://lsnyc.legalserver.org/matter/dynamic-profile/view/1897180","19-1897180")</f>
        <v>0</v>
      </c>
      <c r="B1041" t="s">
        <v>68</v>
      </c>
      <c r="C1041" t="s">
        <v>1046</v>
      </c>
      <c r="D1041" t="s">
        <v>2390</v>
      </c>
      <c r="E1041" t="s">
        <v>4063</v>
      </c>
      <c r="F1041" t="s">
        <v>5105</v>
      </c>
      <c r="G1041" t="s">
        <v>5637</v>
      </c>
      <c r="H1041">
        <v>11238</v>
      </c>
      <c r="I1041" t="s">
        <v>5696</v>
      </c>
      <c r="J1041" t="s">
        <v>5696</v>
      </c>
      <c r="M1041" t="s">
        <v>6734</v>
      </c>
      <c r="O1041" t="s">
        <v>6754</v>
      </c>
      <c r="R1041" t="s">
        <v>6793</v>
      </c>
      <c r="U1041">
        <v>604</v>
      </c>
      <c r="V1041" t="s">
        <v>6835</v>
      </c>
      <c r="W1041" t="s">
        <v>6842</v>
      </c>
      <c r="Y1041" t="s">
        <v>7859</v>
      </c>
      <c r="AA1041" t="s">
        <v>9915</v>
      </c>
      <c r="AB1041">
        <v>7</v>
      </c>
      <c r="AC1041" t="s">
        <v>10936</v>
      </c>
      <c r="AD1041" t="s">
        <v>10945</v>
      </c>
      <c r="AE1041">
        <v>16</v>
      </c>
      <c r="AF1041">
        <v>1</v>
      </c>
      <c r="AG1041">
        <v>0</v>
      </c>
      <c r="AH1041">
        <v>89.64</v>
      </c>
      <c r="AK1041" t="s">
        <v>10966</v>
      </c>
      <c r="AL1041">
        <v>11196</v>
      </c>
      <c r="AR1041">
        <v>3.65</v>
      </c>
      <c r="AS1041" t="s">
        <v>10958</v>
      </c>
      <c r="AT1041" t="s">
        <v>11188</v>
      </c>
      <c r="AV1041" t="s">
        <v>11231</v>
      </c>
      <c r="AW1041" t="s">
        <v>11151</v>
      </c>
    </row>
    <row r="1042" spans="1:49">
      <c r="A1042" s="1">
        <f>HYPERLINK("https://lsnyc.legalserver.org/matter/dynamic-profile/view/1895789","19-1895789")</f>
        <v>0</v>
      </c>
      <c r="B1042" t="s">
        <v>99</v>
      </c>
      <c r="C1042" t="s">
        <v>1047</v>
      </c>
      <c r="D1042" t="s">
        <v>1676</v>
      </c>
      <c r="E1042" t="s">
        <v>4064</v>
      </c>
      <c r="F1042" t="s">
        <v>5109</v>
      </c>
      <c r="G1042" t="s">
        <v>5637</v>
      </c>
      <c r="H1042">
        <v>11237</v>
      </c>
      <c r="I1042" t="s">
        <v>5696</v>
      </c>
      <c r="J1042" t="s">
        <v>5696</v>
      </c>
      <c r="M1042" t="s">
        <v>6734</v>
      </c>
      <c r="O1042" t="s">
        <v>6754</v>
      </c>
      <c r="R1042" t="s">
        <v>6793</v>
      </c>
      <c r="U1042">
        <v>935</v>
      </c>
      <c r="V1042" t="s">
        <v>6835</v>
      </c>
      <c r="W1042" t="s">
        <v>6856</v>
      </c>
      <c r="Y1042" t="s">
        <v>7860</v>
      </c>
      <c r="AA1042" t="s">
        <v>9916</v>
      </c>
      <c r="AB1042">
        <v>6</v>
      </c>
      <c r="AD1042" t="s">
        <v>5741</v>
      </c>
      <c r="AE1042">
        <v>28</v>
      </c>
      <c r="AF1042">
        <v>2</v>
      </c>
      <c r="AG1042">
        <v>2</v>
      </c>
      <c r="AH1042">
        <v>60.58</v>
      </c>
      <c r="AK1042" t="s">
        <v>10967</v>
      </c>
      <c r="AL1042">
        <v>15600</v>
      </c>
      <c r="AR1042">
        <v>5.1</v>
      </c>
      <c r="AS1042" t="s">
        <v>11141</v>
      </c>
      <c r="AT1042" t="s">
        <v>11188</v>
      </c>
      <c r="AV1042" t="s">
        <v>11231</v>
      </c>
      <c r="AW1042" t="s">
        <v>11153</v>
      </c>
    </row>
    <row r="1043" spans="1:49">
      <c r="A1043" s="1">
        <f>HYPERLINK("https://lsnyc.legalserver.org/matter/dynamic-profile/view/1905793","19-1905793")</f>
        <v>0</v>
      </c>
      <c r="B1043" t="s">
        <v>141</v>
      </c>
      <c r="C1043" t="s">
        <v>1048</v>
      </c>
      <c r="D1043" t="s">
        <v>1676</v>
      </c>
      <c r="E1043" t="s">
        <v>4065</v>
      </c>
      <c r="G1043" t="s">
        <v>5637</v>
      </c>
      <c r="H1043">
        <v>11231</v>
      </c>
      <c r="I1043" t="s">
        <v>5696</v>
      </c>
      <c r="J1043" t="s">
        <v>5696</v>
      </c>
      <c r="M1043" t="s">
        <v>6734</v>
      </c>
      <c r="O1043" t="s">
        <v>6771</v>
      </c>
      <c r="P1043" t="s">
        <v>5697</v>
      </c>
      <c r="R1043" t="s">
        <v>6793</v>
      </c>
      <c r="U1043">
        <v>500</v>
      </c>
      <c r="V1043" t="s">
        <v>6835</v>
      </c>
      <c r="W1043" t="s">
        <v>6843</v>
      </c>
      <c r="Y1043" t="s">
        <v>7861</v>
      </c>
      <c r="AA1043" t="s">
        <v>9917</v>
      </c>
      <c r="AB1043">
        <v>12</v>
      </c>
      <c r="AE1043">
        <v>1</v>
      </c>
      <c r="AF1043">
        <v>2</v>
      </c>
      <c r="AG1043">
        <v>0</v>
      </c>
      <c r="AH1043">
        <v>211.92</v>
      </c>
      <c r="AL1043">
        <v>35835.8</v>
      </c>
      <c r="AR1043">
        <v>0.25</v>
      </c>
      <c r="AS1043" t="s">
        <v>6826</v>
      </c>
      <c r="AT1043" t="s">
        <v>141</v>
      </c>
      <c r="AV1043" t="s">
        <v>11231</v>
      </c>
      <c r="AW1043" t="s">
        <v>6823</v>
      </c>
    </row>
    <row r="1044" spans="1:49">
      <c r="A1044" s="1">
        <f>HYPERLINK("https://lsnyc.legalserver.org/matter/dynamic-profile/view/1906076","19-1906076")</f>
        <v>0</v>
      </c>
      <c r="B1044" t="s">
        <v>111</v>
      </c>
      <c r="C1044" t="s">
        <v>369</v>
      </c>
      <c r="D1044" t="s">
        <v>1773</v>
      </c>
      <c r="E1044" t="s">
        <v>4066</v>
      </c>
      <c r="F1044">
        <v>54</v>
      </c>
      <c r="G1044" t="s">
        <v>5638</v>
      </c>
      <c r="H1044">
        <v>10034</v>
      </c>
      <c r="I1044" t="s">
        <v>5695</v>
      </c>
      <c r="J1044" t="s">
        <v>5696</v>
      </c>
      <c r="M1044" t="s">
        <v>6734</v>
      </c>
      <c r="O1044" t="s">
        <v>6745</v>
      </c>
      <c r="P1044" t="s">
        <v>5697</v>
      </c>
      <c r="R1044" t="s">
        <v>6793</v>
      </c>
      <c r="T1044" t="s">
        <v>6830</v>
      </c>
      <c r="U1044">
        <v>2448.74</v>
      </c>
      <c r="V1044" t="s">
        <v>6836</v>
      </c>
      <c r="W1044" t="s">
        <v>6842</v>
      </c>
      <c r="Y1044" t="s">
        <v>7862</v>
      </c>
      <c r="AA1044" t="s">
        <v>9918</v>
      </c>
      <c r="AB1044">
        <v>25</v>
      </c>
      <c r="AC1044" t="s">
        <v>10929</v>
      </c>
      <c r="AD1044" t="s">
        <v>5741</v>
      </c>
      <c r="AE1044">
        <v>9</v>
      </c>
      <c r="AF1044">
        <v>2</v>
      </c>
      <c r="AG1044">
        <v>3</v>
      </c>
      <c r="AH1044">
        <v>172.36</v>
      </c>
      <c r="AK1044" t="s">
        <v>10967</v>
      </c>
      <c r="AL1044">
        <v>52000</v>
      </c>
      <c r="AR1044">
        <v>0</v>
      </c>
      <c r="AT1044" t="s">
        <v>11201</v>
      </c>
      <c r="AU1044" t="s">
        <v>11228</v>
      </c>
      <c r="AV1044" t="s">
        <v>11231</v>
      </c>
      <c r="AW1044" t="s">
        <v>6820</v>
      </c>
    </row>
    <row r="1045" spans="1:49">
      <c r="A1045" s="1">
        <f>HYPERLINK("https://lsnyc.legalserver.org/matter/dynamic-profile/view/1905672","19-1905672")</f>
        <v>0</v>
      </c>
      <c r="B1045" t="s">
        <v>197</v>
      </c>
      <c r="C1045" t="s">
        <v>365</v>
      </c>
      <c r="D1045" t="s">
        <v>2391</v>
      </c>
      <c r="E1045" t="s">
        <v>4067</v>
      </c>
      <c r="F1045" t="s">
        <v>5104</v>
      </c>
      <c r="G1045" t="s">
        <v>5638</v>
      </c>
      <c r="H1045">
        <v>10025</v>
      </c>
      <c r="I1045" t="s">
        <v>5696</v>
      </c>
      <c r="J1045" t="s">
        <v>5696</v>
      </c>
      <c r="M1045" t="s">
        <v>6734</v>
      </c>
      <c r="O1045" t="s">
        <v>6748</v>
      </c>
      <c r="R1045" t="s">
        <v>6793</v>
      </c>
      <c r="U1045">
        <v>778</v>
      </c>
      <c r="V1045" t="s">
        <v>6836</v>
      </c>
      <c r="Y1045" t="s">
        <v>7863</v>
      </c>
      <c r="AB1045">
        <v>60</v>
      </c>
      <c r="AD1045" t="s">
        <v>10943</v>
      </c>
      <c r="AE1045">
        <v>6</v>
      </c>
      <c r="AF1045">
        <v>2</v>
      </c>
      <c r="AG1045">
        <v>0</v>
      </c>
      <c r="AH1045">
        <v>153.76</v>
      </c>
      <c r="AK1045" t="s">
        <v>10966</v>
      </c>
      <c r="AL1045">
        <v>26000</v>
      </c>
      <c r="AR1045">
        <v>1</v>
      </c>
      <c r="AS1045" t="s">
        <v>6823</v>
      </c>
      <c r="AT1045" t="s">
        <v>11192</v>
      </c>
      <c r="AV1045" t="s">
        <v>11231</v>
      </c>
      <c r="AW1045" t="s">
        <v>6823</v>
      </c>
    </row>
    <row r="1046" spans="1:49">
      <c r="A1046" s="1">
        <f>HYPERLINK("https://lsnyc.legalserver.org/matter/dynamic-profile/view/1906244","19-1906244")</f>
        <v>0</v>
      </c>
      <c r="B1046" t="s">
        <v>205</v>
      </c>
      <c r="C1046" t="s">
        <v>337</v>
      </c>
      <c r="D1046" t="s">
        <v>1751</v>
      </c>
      <c r="E1046" t="s">
        <v>4068</v>
      </c>
      <c r="F1046" t="s">
        <v>5161</v>
      </c>
      <c r="G1046" t="s">
        <v>5637</v>
      </c>
      <c r="H1046">
        <v>11233</v>
      </c>
      <c r="I1046" t="s">
        <v>5697</v>
      </c>
      <c r="J1046" t="s">
        <v>5696</v>
      </c>
      <c r="M1046" t="s">
        <v>6734</v>
      </c>
      <c r="O1046" t="s">
        <v>6748</v>
      </c>
      <c r="R1046" t="s">
        <v>6793</v>
      </c>
      <c r="U1046">
        <v>259</v>
      </c>
      <c r="V1046" t="s">
        <v>6835</v>
      </c>
      <c r="W1046" t="s">
        <v>6843</v>
      </c>
      <c r="Y1046" t="s">
        <v>7864</v>
      </c>
      <c r="AB1046">
        <v>6</v>
      </c>
      <c r="AC1046" t="s">
        <v>10929</v>
      </c>
      <c r="AE1046">
        <v>9</v>
      </c>
      <c r="AF1046">
        <v>1</v>
      </c>
      <c r="AG1046">
        <v>0</v>
      </c>
      <c r="AH1046">
        <v>74.45999999999999</v>
      </c>
      <c r="AK1046" t="s">
        <v>10966</v>
      </c>
      <c r="AL1046">
        <v>9300</v>
      </c>
      <c r="AR1046">
        <v>0.2</v>
      </c>
      <c r="AS1046" t="s">
        <v>6821</v>
      </c>
      <c r="AT1046" t="s">
        <v>11198</v>
      </c>
      <c r="AV1046" t="s">
        <v>11231</v>
      </c>
      <c r="AW1046" t="s">
        <v>6821</v>
      </c>
    </row>
    <row r="1047" spans="1:49">
      <c r="A1047" s="1">
        <f>HYPERLINK("https://lsnyc.legalserver.org/matter/dynamic-profile/view/1906232","19-1906232")</f>
        <v>0</v>
      </c>
      <c r="B1047" t="s">
        <v>226</v>
      </c>
      <c r="C1047" t="s">
        <v>1049</v>
      </c>
      <c r="D1047" t="s">
        <v>2392</v>
      </c>
      <c r="E1047" t="s">
        <v>4069</v>
      </c>
      <c r="F1047" t="s">
        <v>5233</v>
      </c>
      <c r="G1047" t="s">
        <v>5638</v>
      </c>
      <c r="H1047">
        <v>10040</v>
      </c>
      <c r="I1047" t="s">
        <v>5695</v>
      </c>
      <c r="J1047" t="s">
        <v>5696</v>
      </c>
      <c r="M1047" t="s">
        <v>6734</v>
      </c>
      <c r="O1047" t="s">
        <v>6745</v>
      </c>
      <c r="P1047" t="s">
        <v>5697</v>
      </c>
      <c r="R1047" t="s">
        <v>6793</v>
      </c>
      <c r="T1047" t="s">
        <v>6821</v>
      </c>
      <c r="U1047">
        <v>1372.65</v>
      </c>
      <c r="V1047" t="s">
        <v>6836</v>
      </c>
      <c r="W1047" t="s">
        <v>6842</v>
      </c>
      <c r="Y1047" t="s">
        <v>7865</v>
      </c>
      <c r="AB1047">
        <v>75</v>
      </c>
      <c r="AC1047" t="s">
        <v>10929</v>
      </c>
      <c r="AD1047" t="s">
        <v>5741</v>
      </c>
      <c r="AE1047">
        <v>11</v>
      </c>
      <c r="AF1047">
        <v>1</v>
      </c>
      <c r="AG1047">
        <v>0</v>
      </c>
      <c r="AH1047">
        <v>72.63</v>
      </c>
      <c r="AK1047" t="s">
        <v>10966</v>
      </c>
      <c r="AL1047">
        <v>9072</v>
      </c>
      <c r="AR1047">
        <v>0</v>
      </c>
      <c r="AT1047" t="s">
        <v>11201</v>
      </c>
      <c r="AU1047" t="s">
        <v>11228</v>
      </c>
      <c r="AV1047" t="s">
        <v>11231</v>
      </c>
      <c r="AW1047" t="s">
        <v>6821</v>
      </c>
    </row>
    <row r="1048" spans="1:49">
      <c r="A1048" s="1">
        <f>HYPERLINK("https://lsnyc.legalserver.org/matter/dynamic-profile/view/1904022","19-1904022")</f>
        <v>0</v>
      </c>
      <c r="B1048" t="s">
        <v>53</v>
      </c>
      <c r="C1048" t="s">
        <v>1050</v>
      </c>
      <c r="D1048" t="s">
        <v>2393</v>
      </c>
      <c r="E1048" t="s">
        <v>4070</v>
      </c>
      <c r="F1048" t="s">
        <v>5328</v>
      </c>
      <c r="G1048" t="s">
        <v>5635</v>
      </c>
      <c r="H1048">
        <v>10466</v>
      </c>
      <c r="I1048" t="s">
        <v>5695</v>
      </c>
      <c r="J1048" t="s">
        <v>5696</v>
      </c>
      <c r="M1048" t="s">
        <v>6734</v>
      </c>
      <c r="O1048" t="s">
        <v>6747</v>
      </c>
      <c r="R1048" t="s">
        <v>6793</v>
      </c>
      <c r="U1048">
        <v>942</v>
      </c>
      <c r="V1048" t="s">
        <v>6833</v>
      </c>
      <c r="Y1048" t="s">
        <v>7866</v>
      </c>
      <c r="AB1048">
        <v>120</v>
      </c>
      <c r="AE1048">
        <v>19</v>
      </c>
      <c r="AF1048">
        <v>4</v>
      </c>
      <c r="AG1048">
        <v>2</v>
      </c>
      <c r="AH1048">
        <v>53.01</v>
      </c>
      <c r="AK1048" t="s">
        <v>10966</v>
      </c>
      <c r="AL1048">
        <v>18336</v>
      </c>
      <c r="AR1048">
        <v>0.6</v>
      </c>
      <c r="AS1048" t="s">
        <v>6827</v>
      </c>
      <c r="AT1048" t="s">
        <v>288</v>
      </c>
      <c r="AU1048" t="s">
        <v>11228</v>
      </c>
      <c r="AV1048" t="s">
        <v>11231</v>
      </c>
      <c r="AW1048" t="s">
        <v>6825</v>
      </c>
    </row>
    <row r="1049" spans="1:49">
      <c r="A1049" s="1">
        <f>HYPERLINK("https://lsnyc.legalserver.org/matter/dynamic-profile/view/1904691","19-1904691")</f>
        <v>0</v>
      </c>
      <c r="B1049" t="s">
        <v>226</v>
      </c>
      <c r="C1049" t="s">
        <v>1051</v>
      </c>
      <c r="D1049" t="s">
        <v>1641</v>
      </c>
      <c r="E1049" t="s">
        <v>4037</v>
      </c>
      <c r="F1049">
        <v>5</v>
      </c>
      <c r="G1049" t="s">
        <v>5638</v>
      </c>
      <c r="H1049">
        <v>10034</v>
      </c>
      <c r="I1049" t="s">
        <v>5695</v>
      </c>
      <c r="J1049" t="s">
        <v>5696</v>
      </c>
      <c r="M1049" t="s">
        <v>6734</v>
      </c>
      <c r="O1049" t="s">
        <v>6745</v>
      </c>
      <c r="P1049" t="s">
        <v>5695</v>
      </c>
      <c r="R1049" t="s">
        <v>6793</v>
      </c>
      <c r="T1049" t="s">
        <v>6809</v>
      </c>
      <c r="U1049">
        <v>961.8200000000001</v>
      </c>
      <c r="V1049" t="s">
        <v>6836</v>
      </c>
      <c r="W1049" t="s">
        <v>6842</v>
      </c>
      <c r="Y1049" t="s">
        <v>7867</v>
      </c>
      <c r="AB1049">
        <v>25</v>
      </c>
      <c r="AC1049" t="s">
        <v>10929</v>
      </c>
      <c r="AD1049" t="s">
        <v>5741</v>
      </c>
      <c r="AE1049">
        <v>30</v>
      </c>
      <c r="AF1049">
        <v>1</v>
      </c>
      <c r="AG1049">
        <v>0</v>
      </c>
      <c r="AH1049">
        <v>0</v>
      </c>
      <c r="AK1049" t="s">
        <v>10966</v>
      </c>
      <c r="AL1049">
        <v>0</v>
      </c>
      <c r="AR1049">
        <v>0</v>
      </c>
      <c r="AT1049" t="s">
        <v>11201</v>
      </c>
      <c r="AU1049" t="s">
        <v>11228</v>
      </c>
      <c r="AV1049" t="s">
        <v>11231</v>
      </c>
      <c r="AW1049" t="s">
        <v>6809</v>
      </c>
    </row>
    <row r="1050" spans="1:49">
      <c r="A1050" s="1">
        <f>HYPERLINK("https://lsnyc.legalserver.org/matter/dynamic-profile/view/1904716","19-1904716")</f>
        <v>0</v>
      </c>
      <c r="B1050" t="s">
        <v>226</v>
      </c>
      <c r="C1050" t="s">
        <v>801</v>
      </c>
      <c r="D1050" t="s">
        <v>2394</v>
      </c>
      <c r="E1050" t="s">
        <v>4037</v>
      </c>
      <c r="F1050">
        <v>41</v>
      </c>
      <c r="G1050" t="s">
        <v>5638</v>
      </c>
      <c r="H1050">
        <v>10034</v>
      </c>
      <c r="I1050" t="s">
        <v>5695</v>
      </c>
      <c r="J1050" t="s">
        <v>5696</v>
      </c>
      <c r="M1050" t="s">
        <v>6734</v>
      </c>
      <c r="O1050" t="s">
        <v>6745</v>
      </c>
      <c r="P1050" t="s">
        <v>5695</v>
      </c>
      <c r="R1050" t="s">
        <v>6793</v>
      </c>
      <c r="T1050" t="s">
        <v>6809</v>
      </c>
      <c r="U1050">
        <v>910</v>
      </c>
      <c r="V1050" t="s">
        <v>6836</v>
      </c>
      <c r="W1050" t="s">
        <v>6842</v>
      </c>
      <c r="Y1050" t="s">
        <v>7868</v>
      </c>
      <c r="AB1050">
        <v>25</v>
      </c>
      <c r="AC1050" t="s">
        <v>10929</v>
      </c>
      <c r="AD1050" t="s">
        <v>10946</v>
      </c>
      <c r="AE1050">
        <v>40</v>
      </c>
      <c r="AF1050">
        <v>6</v>
      </c>
      <c r="AG1050">
        <v>0</v>
      </c>
      <c r="AH1050">
        <v>0</v>
      </c>
      <c r="AK1050" t="s">
        <v>10966</v>
      </c>
      <c r="AL1050">
        <v>0</v>
      </c>
      <c r="AR1050">
        <v>0</v>
      </c>
      <c r="AT1050" t="s">
        <v>11201</v>
      </c>
      <c r="AU1050" t="s">
        <v>11228</v>
      </c>
      <c r="AV1050" t="s">
        <v>11231</v>
      </c>
      <c r="AW1050" t="s">
        <v>6809</v>
      </c>
    </row>
    <row r="1051" spans="1:49">
      <c r="A1051" s="1">
        <f>HYPERLINK("https://lsnyc.legalserver.org/matter/dynamic-profile/view/1896418","19-1896418")</f>
        <v>0</v>
      </c>
      <c r="B1051" t="s">
        <v>129</v>
      </c>
      <c r="C1051" t="s">
        <v>355</v>
      </c>
      <c r="D1051" t="s">
        <v>2395</v>
      </c>
      <c r="E1051" t="s">
        <v>4071</v>
      </c>
      <c r="F1051" t="s">
        <v>5145</v>
      </c>
      <c r="G1051" t="s">
        <v>5637</v>
      </c>
      <c r="H1051">
        <v>11226</v>
      </c>
      <c r="I1051" t="s">
        <v>5695</v>
      </c>
      <c r="J1051" t="s">
        <v>5695</v>
      </c>
      <c r="K1051" t="s">
        <v>6130</v>
      </c>
      <c r="M1051" t="s">
        <v>6734</v>
      </c>
      <c r="O1051" t="s">
        <v>6748</v>
      </c>
      <c r="R1051" t="s">
        <v>6795</v>
      </c>
      <c r="U1051">
        <v>537.25</v>
      </c>
      <c r="V1051" t="s">
        <v>6835</v>
      </c>
      <c r="W1051" t="s">
        <v>6843</v>
      </c>
      <c r="Y1051" t="s">
        <v>7869</v>
      </c>
      <c r="AB1051">
        <v>6</v>
      </c>
      <c r="AE1051">
        <v>0</v>
      </c>
      <c r="AF1051">
        <v>2</v>
      </c>
      <c r="AG1051">
        <v>0</v>
      </c>
      <c r="AH1051">
        <v>99.17</v>
      </c>
      <c r="AK1051" t="s">
        <v>10966</v>
      </c>
      <c r="AL1051">
        <v>16770</v>
      </c>
      <c r="AR1051">
        <v>0.7</v>
      </c>
      <c r="AS1051" t="s">
        <v>11135</v>
      </c>
      <c r="AT1051" t="s">
        <v>11178</v>
      </c>
      <c r="AV1051" t="s">
        <v>11231</v>
      </c>
      <c r="AW1051" t="s">
        <v>11164</v>
      </c>
    </row>
    <row r="1052" spans="1:49">
      <c r="A1052" s="1">
        <f>HYPERLINK("https://lsnyc.legalserver.org/matter/dynamic-profile/view/1897472","19-1897472")</f>
        <v>0</v>
      </c>
      <c r="B1052" t="s">
        <v>85</v>
      </c>
      <c r="C1052" t="s">
        <v>697</v>
      </c>
      <c r="D1052" t="s">
        <v>2396</v>
      </c>
      <c r="E1052" t="s">
        <v>4072</v>
      </c>
      <c r="F1052" t="s">
        <v>5435</v>
      </c>
      <c r="G1052" t="s">
        <v>5637</v>
      </c>
      <c r="H1052">
        <v>11224</v>
      </c>
      <c r="I1052" t="s">
        <v>5696</v>
      </c>
      <c r="J1052" t="s">
        <v>5696</v>
      </c>
      <c r="M1052" t="s">
        <v>6734</v>
      </c>
      <c r="O1052" t="s">
        <v>6754</v>
      </c>
      <c r="R1052" t="s">
        <v>6796</v>
      </c>
      <c r="U1052">
        <v>0</v>
      </c>
      <c r="V1052" t="s">
        <v>6835</v>
      </c>
      <c r="Y1052" t="s">
        <v>7870</v>
      </c>
      <c r="AB1052">
        <v>0</v>
      </c>
      <c r="AC1052" t="s">
        <v>10935</v>
      </c>
      <c r="AD1052" t="s">
        <v>10944</v>
      </c>
      <c r="AE1052">
        <v>0</v>
      </c>
      <c r="AF1052">
        <v>1</v>
      </c>
      <c r="AG1052">
        <v>0</v>
      </c>
      <c r="AH1052">
        <v>85.59999999999999</v>
      </c>
      <c r="AK1052" t="s">
        <v>10969</v>
      </c>
      <c r="AL1052">
        <v>10692</v>
      </c>
      <c r="AR1052">
        <v>1.5</v>
      </c>
      <c r="AS1052" t="s">
        <v>11165</v>
      </c>
      <c r="AT1052" t="s">
        <v>85</v>
      </c>
      <c r="AV1052" t="s">
        <v>11231</v>
      </c>
      <c r="AW1052" t="s">
        <v>11165</v>
      </c>
    </row>
    <row r="1053" spans="1:49">
      <c r="A1053" s="1">
        <f>HYPERLINK("https://lsnyc.legalserver.org/matter/dynamic-profile/view/1904693","19-1904693")</f>
        <v>0</v>
      </c>
      <c r="B1053" t="s">
        <v>226</v>
      </c>
      <c r="C1053" t="s">
        <v>876</v>
      </c>
      <c r="D1053" t="s">
        <v>2397</v>
      </c>
      <c r="E1053" t="s">
        <v>4037</v>
      </c>
      <c r="F1053">
        <v>31</v>
      </c>
      <c r="G1053" t="s">
        <v>5638</v>
      </c>
      <c r="H1053">
        <v>10034</v>
      </c>
      <c r="I1053" t="s">
        <v>5695</v>
      </c>
      <c r="J1053" t="s">
        <v>5696</v>
      </c>
      <c r="M1053" t="s">
        <v>6734</v>
      </c>
      <c r="O1053" t="s">
        <v>6745</v>
      </c>
      <c r="P1053" t="s">
        <v>5695</v>
      </c>
      <c r="R1053" t="s">
        <v>6793</v>
      </c>
      <c r="T1053" t="s">
        <v>6809</v>
      </c>
      <c r="U1053">
        <v>997</v>
      </c>
      <c r="V1053" t="s">
        <v>6836</v>
      </c>
      <c r="W1053" t="s">
        <v>6842</v>
      </c>
      <c r="Y1053" t="s">
        <v>7871</v>
      </c>
      <c r="AB1053">
        <v>25</v>
      </c>
      <c r="AC1053" t="s">
        <v>10929</v>
      </c>
      <c r="AD1053" t="s">
        <v>5741</v>
      </c>
      <c r="AE1053">
        <v>5</v>
      </c>
      <c r="AF1053">
        <v>3</v>
      </c>
      <c r="AG1053">
        <v>2</v>
      </c>
      <c r="AH1053">
        <v>77.56</v>
      </c>
      <c r="AK1053" t="s">
        <v>10967</v>
      </c>
      <c r="AL1053">
        <v>23400</v>
      </c>
      <c r="AR1053">
        <v>0</v>
      </c>
      <c r="AT1053" t="s">
        <v>11201</v>
      </c>
      <c r="AU1053" t="s">
        <v>11228</v>
      </c>
      <c r="AV1053" t="s">
        <v>11231</v>
      </c>
      <c r="AW1053" t="s">
        <v>6809</v>
      </c>
    </row>
    <row r="1054" spans="1:49">
      <c r="A1054" s="1">
        <f>HYPERLINK("https://lsnyc.legalserver.org/matter/dynamic-profile/view/1904712","19-1904712")</f>
        <v>0</v>
      </c>
      <c r="B1054" t="s">
        <v>226</v>
      </c>
      <c r="C1054" t="s">
        <v>951</v>
      </c>
      <c r="D1054" t="s">
        <v>1703</v>
      </c>
      <c r="E1054" t="s">
        <v>4037</v>
      </c>
      <c r="F1054">
        <v>44</v>
      </c>
      <c r="G1054" t="s">
        <v>5638</v>
      </c>
      <c r="H1054">
        <v>10034</v>
      </c>
      <c r="I1054" t="s">
        <v>5695</v>
      </c>
      <c r="J1054" t="s">
        <v>5696</v>
      </c>
      <c r="M1054" t="s">
        <v>6734</v>
      </c>
      <c r="O1054" t="s">
        <v>6745</v>
      </c>
      <c r="P1054" t="s">
        <v>5695</v>
      </c>
      <c r="R1054" t="s">
        <v>6793</v>
      </c>
      <c r="T1054" t="s">
        <v>6809</v>
      </c>
      <c r="U1054">
        <v>1180.21</v>
      </c>
      <c r="V1054" t="s">
        <v>6836</v>
      </c>
      <c r="W1054" t="s">
        <v>6842</v>
      </c>
      <c r="Y1054" t="s">
        <v>7872</v>
      </c>
      <c r="AB1054">
        <v>25</v>
      </c>
      <c r="AC1054" t="s">
        <v>10929</v>
      </c>
      <c r="AD1054" t="s">
        <v>5741</v>
      </c>
      <c r="AE1054">
        <v>14</v>
      </c>
      <c r="AF1054">
        <v>2</v>
      </c>
      <c r="AG1054">
        <v>3</v>
      </c>
      <c r="AH1054">
        <v>96.12</v>
      </c>
      <c r="AK1054" t="s">
        <v>10967</v>
      </c>
      <c r="AL1054">
        <v>29000</v>
      </c>
      <c r="AR1054">
        <v>0</v>
      </c>
      <c r="AT1054" t="s">
        <v>11201</v>
      </c>
      <c r="AU1054" t="s">
        <v>11228</v>
      </c>
      <c r="AV1054" t="s">
        <v>11231</v>
      </c>
      <c r="AW1054" t="s">
        <v>6809</v>
      </c>
    </row>
    <row r="1055" spans="1:49">
      <c r="A1055" s="1">
        <f>HYPERLINK("https://lsnyc.legalserver.org/matter/dynamic-profile/view/1899004","19-1899004")</f>
        <v>0</v>
      </c>
      <c r="B1055" t="s">
        <v>99</v>
      </c>
      <c r="C1055" t="s">
        <v>1052</v>
      </c>
      <c r="D1055" t="s">
        <v>1697</v>
      </c>
      <c r="E1055" t="s">
        <v>4073</v>
      </c>
      <c r="F1055" t="s">
        <v>5328</v>
      </c>
      <c r="G1055" t="s">
        <v>5637</v>
      </c>
      <c r="H1055">
        <v>11217</v>
      </c>
      <c r="I1055" t="s">
        <v>5696</v>
      </c>
      <c r="J1055" t="s">
        <v>5696</v>
      </c>
      <c r="M1055" t="s">
        <v>6734</v>
      </c>
      <c r="O1055" t="s">
        <v>6754</v>
      </c>
      <c r="R1055" t="s">
        <v>6793</v>
      </c>
      <c r="U1055">
        <v>0</v>
      </c>
      <c r="V1055" t="s">
        <v>6835</v>
      </c>
      <c r="Y1055" t="s">
        <v>7873</v>
      </c>
      <c r="AB1055">
        <v>0</v>
      </c>
      <c r="AE1055">
        <v>0</v>
      </c>
      <c r="AF1055">
        <v>1</v>
      </c>
      <c r="AG1055">
        <v>0</v>
      </c>
      <c r="AH1055">
        <v>75.90000000000001</v>
      </c>
      <c r="AK1055" t="s">
        <v>10967</v>
      </c>
      <c r="AL1055">
        <v>9480</v>
      </c>
      <c r="AR1055">
        <v>1</v>
      </c>
      <c r="AS1055" t="s">
        <v>11156</v>
      </c>
      <c r="AT1055" t="s">
        <v>99</v>
      </c>
      <c r="AV1055" t="s">
        <v>11231</v>
      </c>
      <c r="AW1055" t="s">
        <v>11156</v>
      </c>
    </row>
    <row r="1056" spans="1:49">
      <c r="A1056" s="1">
        <f>HYPERLINK("https://lsnyc.legalserver.org/matter/dynamic-profile/view/1904758","19-1904758")</f>
        <v>0</v>
      </c>
      <c r="B1056" t="s">
        <v>50</v>
      </c>
      <c r="C1056" t="s">
        <v>458</v>
      </c>
      <c r="D1056" t="s">
        <v>2398</v>
      </c>
      <c r="E1056" t="s">
        <v>4074</v>
      </c>
      <c r="F1056" t="s">
        <v>5436</v>
      </c>
      <c r="G1056" t="s">
        <v>5635</v>
      </c>
      <c r="H1056">
        <v>10474</v>
      </c>
      <c r="I1056" t="s">
        <v>5695</v>
      </c>
      <c r="J1056" t="s">
        <v>5696</v>
      </c>
      <c r="L1056" t="s">
        <v>6712</v>
      </c>
      <c r="M1056" t="s">
        <v>6735</v>
      </c>
      <c r="O1056" t="s">
        <v>6745</v>
      </c>
      <c r="P1056" t="s">
        <v>5697</v>
      </c>
      <c r="R1056" t="s">
        <v>6793</v>
      </c>
      <c r="S1056" t="s">
        <v>6801</v>
      </c>
      <c r="U1056">
        <v>912.41</v>
      </c>
      <c r="V1056" t="s">
        <v>6833</v>
      </c>
      <c r="W1056" t="s">
        <v>6843</v>
      </c>
      <c r="Y1056" t="s">
        <v>7874</v>
      </c>
      <c r="AB1056">
        <v>60</v>
      </c>
      <c r="AC1056" t="s">
        <v>10929</v>
      </c>
      <c r="AD1056" t="s">
        <v>5741</v>
      </c>
      <c r="AE1056">
        <v>15</v>
      </c>
      <c r="AF1056">
        <v>3</v>
      </c>
      <c r="AG1056">
        <v>0</v>
      </c>
      <c r="AH1056">
        <v>0</v>
      </c>
      <c r="AK1056" t="s">
        <v>10967</v>
      </c>
      <c r="AL1056">
        <v>0</v>
      </c>
      <c r="AR1056">
        <v>2.5</v>
      </c>
      <c r="AS1056" t="s">
        <v>6814</v>
      </c>
      <c r="AT1056" t="s">
        <v>50</v>
      </c>
      <c r="AU1056" t="s">
        <v>11228</v>
      </c>
      <c r="AV1056" t="s">
        <v>11231</v>
      </c>
      <c r="AW1056" t="s">
        <v>6809</v>
      </c>
    </row>
    <row r="1057" spans="1:49">
      <c r="A1057" s="1">
        <f>HYPERLINK("https://lsnyc.legalserver.org/matter/dynamic-profile/view/1897679","19-1897679")</f>
        <v>0</v>
      </c>
      <c r="B1057" t="s">
        <v>89</v>
      </c>
      <c r="C1057" t="s">
        <v>1028</v>
      </c>
      <c r="D1057" t="s">
        <v>2399</v>
      </c>
      <c r="E1057" t="s">
        <v>4075</v>
      </c>
      <c r="F1057" t="s">
        <v>5437</v>
      </c>
      <c r="G1057" t="s">
        <v>5636</v>
      </c>
      <c r="H1057">
        <v>10308</v>
      </c>
      <c r="I1057" t="s">
        <v>5695</v>
      </c>
      <c r="J1057" t="s">
        <v>5696</v>
      </c>
      <c r="K1057" t="s">
        <v>5740</v>
      </c>
      <c r="L1057" t="s">
        <v>5740</v>
      </c>
      <c r="M1057" t="s">
        <v>6735</v>
      </c>
      <c r="O1057" t="s">
        <v>6745</v>
      </c>
      <c r="P1057" t="s">
        <v>5697</v>
      </c>
      <c r="R1057" t="s">
        <v>6793</v>
      </c>
      <c r="U1057">
        <v>888</v>
      </c>
      <c r="V1057" t="s">
        <v>6834</v>
      </c>
      <c r="W1057" t="s">
        <v>6842</v>
      </c>
      <c r="Y1057" t="s">
        <v>7875</v>
      </c>
      <c r="AA1057" t="s">
        <v>8917</v>
      </c>
      <c r="AB1057">
        <v>0</v>
      </c>
      <c r="AC1057" t="s">
        <v>8953</v>
      </c>
      <c r="AD1057" t="s">
        <v>5741</v>
      </c>
      <c r="AE1057">
        <v>46</v>
      </c>
      <c r="AF1057">
        <v>1</v>
      </c>
      <c r="AG1057">
        <v>0</v>
      </c>
      <c r="AH1057">
        <v>230.58</v>
      </c>
      <c r="AI1057" t="s">
        <v>10954</v>
      </c>
      <c r="AJ1057" t="s">
        <v>10963</v>
      </c>
      <c r="AK1057" t="s">
        <v>10966</v>
      </c>
      <c r="AL1057">
        <v>28800</v>
      </c>
      <c r="AR1057">
        <v>5.4</v>
      </c>
      <c r="AS1057" t="s">
        <v>6815</v>
      </c>
      <c r="AT1057" t="s">
        <v>11177</v>
      </c>
      <c r="AU1057" t="s">
        <v>11228</v>
      </c>
      <c r="AV1057" t="s">
        <v>11231</v>
      </c>
      <c r="AW1057" t="s">
        <v>11146</v>
      </c>
    </row>
    <row r="1058" spans="1:49">
      <c r="A1058" s="1">
        <f>HYPERLINK("https://lsnyc.legalserver.org/matter/dynamic-profile/view/1898348","19-1898348")</f>
        <v>0</v>
      </c>
      <c r="B1058" t="s">
        <v>89</v>
      </c>
      <c r="C1058" t="s">
        <v>1053</v>
      </c>
      <c r="D1058" t="s">
        <v>2400</v>
      </c>
      <c r="E1058" t="s">
        <v>4076</v>
      </c>
      <c r="F1058" t="s">
        <v>5154</v>
      </c>
      <c r="G1058" t="s">
        <v>5636</v>
      </c>
      <c r="H1058">
        <v>10301</v>
      </c>
      <c r="I1058" t="s">
        <v>5695</v>
      </c>
      <c r="J1058" t="s">
        <v>5696</v>
      </c>
      <c r="L1058" t="s">
        <v>5740</v>
      </c>
      <c r="M1058" t="s">
        <v>6735</v>
      </c>
      <c r="O1058" t="s">
        <v>6751</v>
      </c>
      <c r="R1058" t="s">
        <v>6793</v>
      </c>
      <c r="U1058">
        <v>1327</v>
      </c>
      <c r="V1058" t="s">
        <v>6834</v>
      </c>
      <c r="W1058" t="s">
        <v>6842</v>
      </c>
      <c r="Y1058" t="s">
        <v>7876</v>
      </c>
      <c r="AA1058" t="s">
        <v>9919</v>
      </c>
      <c r="AB1058">
        <v>111</v>
      </c>
      <c r="AC1058" t="s">
        <v>10929</v>
      </c>
      <c r="AE1058">
        <v>8</v>
      </c>
      <c r="AF1058">
        <v>2</v>
      </c>
      <c r="AG1058">
        <v>0</v>
      </c>
      <c r="AH1058">
        <v>69.62</v>
      </c>
      <c r="AK1058" t="s">
        <v>10967</v>
      </c>
      <c r="AL1058">
        <v>11772</v>
      </c>
      <c r="AR1058">
        <v>4.7</v>
      </c>
      <c r="AS1058" t="s">
        <v>6818</v>
      </c>
      <c r="AT1058" t="s">
        <v>11177</v>
      </c>
      <c r="AU1058" t="s">
        <v>11228</v>
      </c>
      <c r="AV1058" t="s">
        <v>11231</v>
      </c>
      <c r="AW1058" t="s">
        <v>11123</v>
      </c>
    </row>
    <row r="1059" spans="1:49">
      <c r="A1059" s="1">
        <f>HYPERLINK("https://lsnyc.legalserver.org/matter/dynamic-profile/view/1904554","19-1904554")</f>
        <v>0</v>
      </c>
      <c r="B1059" t="s">
        <v>263</v>
      </c>
      <c r="C1059" t="s">
        <v>1054</v>
      </c>
      <c r="D1059" t="s">
        <v>2401</v>
      </c>
      <c r="E1059" t="s">
        <v>3565</v>
      </c>
      <c r="F1059" t="s">
        <v>5438</v>
      </c>
      <c r="G1059" t="s">
        <v>5637</v>
      </c>
      <c r="H1059">
        <v>11213</v>
      </c>
      <c r="I1059" t="s">
        <v>5695</v>
      </c>
      <c r="J1059" t="s">
        <v>5696</v>
      </c>
      <c r="L1059" t="s">
        <v>5740</v>
      </c>
      <c r="M1059" t="s">
        <v>6735</v>
      </c>
      <c r="O1059" t="s">
        <v>6753</v>
      </c>
      <c r="P1059" t="s">
        <v>5697</v>
      </c>
      <c r="R1059" t="s">
        <v>6793</v>
      </c>
      <c r="S1059" t="s">
        <v>6801</v>
      </c>
      <c r="T1059" t="s">
        <v>6810</v>
      </c>
      <c r="U1059">
        <v>1158.05</v>
      </c>
      <c r="V1059" t="s">
        <v>6835</v>
      </c>
      <c r="W1059" t="s">
        <v>6843</v>
      </c>
      <c r="Y1059" t="s">
        <v>7877</v>
      </c>
      <c r="AA1059" t="s">
        <v>9920</v>
      </c>
      <c r="AB1059">
        <v>134</v>
      </c>
      <c r="AC1059" t="s">
        <v>10929</v>
      </c>
      <c r="AE1059">
        <v>11</v>
      </c>
      <c r="AF1059">
        <v>1</v>
      </c>
      <c r="AG1059">
        <v>1</v>
      </c>
      <c r="AH1059">
        <v>201.11</v>
      </c>
      <c r="AK1059" t="s">
        <v>10966</v>
      </c>
      <c r="AL1059">
        <v>34008</v>
      </c>
      <c r="AR1059">
        <v>2.5</v>
      </c>
      <c r="AS1059" t="s">
        <v>6816</v>
      </c>
      <c r="AT1059" t="s">
        <v>263</v>
      </c>
      <c r="AU1059" t="s">
        <v>11228</v>
      </c>
      <c r="AV1059" t="s">
        <v>11231</v>
      </c>
      <c r="AW1059" t="s">
        <v>6810</v>
      </c>
    </row>
    <row r="1060" spans="1:49">
      <c r="A1060" s="1">
        <f>HYPERLINK("https://lsnyc.legalserver.org/matter/dynamic-profile/view/1904384","19-1904384")</f>
        <v>0</v>
      </c>
      <c r="B1060" t="s">
        <v>264</v>
      </c>
      <c r="C1060" t="s">
        <v>624</v>
      </c>
      <c r="D1060" t="s">
        <v>2402</v>
      </c>
      <c r="E1060" t="s">
        <v>4077</v>
      </c>
      <c r="F1060" t="s">
        <v>5161</v>
      </c>
      <c r="G1060" t="s">
        <v>5636</v>
      </c>
      <c r="H1060">
        <v>10304</v>
      </c>
      <c r="I1060" t="s">
        <v>5695</v>
      </c>
      <c r="J1060" t="s">
        <v>5696</v>
      </c>
      <c r="K1060" t="s">
        <v>5738</v>
      </c>
      <c r="L1060" t="s">
        <v>5740</v>
      </c>
      <c r="M1060" t="s">
        <v>6735</v>
      </c>
      <c r="O1060" t="s">
        <v>6745</v>
      </c>
      <c r="P1060" t="s">
        <v>5697</v>
      </c>
      <c r="R1060" t="s">
        <v>6793</v>
      </c>
      <c r="S1060" t="s">
        <v>6801</v>
      </c>
      <c r="U1060">
        <v>890</v>
      </c>
      <c r="V1060" t="s">
        <v>6834</v>
      </c>
      <c r="W1060" t="s">
        <v>6843</v>
      </c>
      <c r="Y1060" t="s">
        <v>7878</v>
      </c>
      <c r="AA1060" t="s">
        <v>9921</v>
      </c>
      <c r="AB1060">
        <v>104</v>
      </c>
      <c r="AC1060" t="s">
        <v>10929</v>
      </c>
      <c r="AD1060" t="s">
        <v>10944</v>
      </c>
      <c r="AE1060">
        <v>31</v>
      </c>
      <c r="AF1060">
        <v>1</v>
      </c>
      <c r="AG1060">
        <v>0</v>
      </c>
      <c r="AH1060">
        <v>70.52</v>
      </c>
      <c r="AK1060" t="s">
        <v>10966</v>
      </c>
      <c r="AL1060">
        <v>8808</v>
      </c>
      <c r="AR1060">
        <v>1.5</v>
      </c>
      <c r="AS1060" t="s">
        <v>6823</v>
      </c>
      <c r="AT1060" t="s">
        <v>11177</v>
      </c>
      <c r="AU1060" t="s">
        <v>11228</v>
      </c>
      <c r="AV1060" t="s">
        <v>11231</v>
      </c>
      <c r="AW1060" t="s">
        <v>6812</v>
      </c>
    </row>
    <row r="1061" spans="1:49">
      <c r="A1061" s="1">
        <f>HYPERLINK("https://lsnyc.legalserver.org/matter/dynamic-profile/view/1900699","19-1900699")</f>
        <v>0</v>
      </c>
      <c r="B1061" t="s">
        <v>186</v>
      </c>
      <c r="C1061" t="s">
        <v>1055</v>
      </c>
      <c r="D1061" t="s">
        <v>2403</v>
      </c>
      <c r="E1061" t="s">
        <v>4078</v>
      </c>
      <c r="G1061" t="s">
        <v>5681</v>
      </c>
      <c r="H1061">
        <v>11415</v>
      </c>
      <c r="I1061" t="s">
        <v>5695</v>
      </c>
      <c r="J1061" t="s">
        <v>5696</v>
      </c>
      <c r="L1061" t="s">
        <v>5740</v>
      </c>
      <c r="M1061" t="s">
        <v>6735</v>
      </c>
      <c r="O1061" t="s">
        <v>6750</v>
      </c>
      <c r="P1061" t="s">
        <v>5697</v>
      </c>
      <c r="R1061" t="s">
        <v>6793</v>
      </c>
      <c r="S1061" t="s">
        <v>6801</v>
      </c>
      <c r="U1061">
        <v>1800</v>
      </c>
      <c r="V1061" t="s">
        <v>6837</v>
      </c>
      <c r="W1061" t="s">
        <v>6843</v>
      </c>
      <c r="Y1061" t="s">
        <v>7879</v>
      </c>
      <c r="AA1061" t="s">
        <v>9922</v>
      </c>
      <c r="AB1061">
        <v>50</v>
      </c>
      <c r="AC1061" t="s">
        <v>10929</v>
      </c>
      <c r="AD1061" t="s">
        <v>10946</v>
      </c>
      <c r="AE1061">
        <v>4</v>
      </c>
      <c r="AF1061">
        <v>2</v>
      </c>
      <c r="AG1061">
        <v>3</v>
      </c>
      <c r="AH1061">
        <v>39.77</v>
      </c>
      <c r="AK1061" t="s">
        <v>10972</v>
      </c>
      <c r="AL1061">
        <v>12000</v>
      </c>
      <c r="AR1061">
        <v>2.1</v>
      </c>
      <c r="AS1061" t="s">
        <v>11117</v>
      </c>
      <c r="AT1061" t="s">
        <v>186</v>
      </c>
      <c r="AV1061" t="s">
        <v>11231</v>
      </c>
      <c r="AW1061" t="s">
        <v>10958</v>
      </c>
    </row>
    <row r="1062" spans="1:49">
      <c r="A1062" s="1">
        <f>HYPERLINK("https://lsnyc.legalserver.org/matter/dynamic-profile/view/1904596","19-1904596")</f>
        <v>0</v>
      </c>
      <c r="B1062" t="s">
        <v>265</v>
      </c>
      <c r="C1062" t="s">
        <v>1053</v>
      </c>
      <c r="D1062" t="s">
        <v>2119</v>
      </c>
      <c r="E1062" t="s">
        <v>4079</v>
      </c>
      <c r="F1062" t="s">
        <v>5161</v>
      </c>
      <c r="G1062" t="s">
        <v>5637</v>
      </c>
      <c r="H1062">
        <v>11220</v>
      </c>
      <c r="I1062" t="s">
        <v>5696</v>
      </c>
      <c r="J1062" t="s">
        <v>5696</v>
      </c>
      <c r="K1062" t="s">
        <v>5740</v>
      </c>
      <c r="L1062" t="s">
        <v>6720</v>
      </c>
      <c r="M1062" t="s">
        <v>6735</v>
      </c>
      <c r="O1062" t="s">
        <v>6756</v>
      </c>
      <c r="P1062" t="s">
        <v>5695</v>
      </c>
      <c r="R1062" t="s">
        <v>6793</v>
      </c>
      <c r="S1062" t="s">
        <v>6801</v>
      </c>
      <c r="U1062">
        <v>559</v>
      </c>
      <c r="V1062" t="s">
        <v>6835</v>
      </c>
      <c r="W1062" t="s">
        <v>6841</v>
      </c>
      <c r="Y1062" t="s">
        <v>7880</v>
      </c>
      <c r="AA1062" t="s">
        <v>9923</v>
      </c>
      <c r="AB1062">
        <v>6</v>
      </c>
      <c r="AC1062" t="s">
        <v>10929</v>
      </c>
      <c r="AD1062" t="s">
        <v>10944</v>
      </c>
      <c r="AE1062">
        <v>30</v>
      </c>
      <c r="AF1062">
        <v>2</v>
      </c>
      <c r="AG1062">
        <v>0</v>
      </c>
      <c r="AH1062">
        <v>144.2</v>
      </c>
      <c r="AK1062" t="s">
        <v>10967</v>
      </c>
      <c r="AL1062">
        <v>24384</v>
      </c>
      <c r="AR1062">
        <v>4.3</v>
      </c>
      <c r="AS1062" t="s">
        <v>6827</v>
      </c>
      <c r="AT1062" t="s">
        <v>11221</v>
      </c>
      <c r="AV1062" t="s">
        <v>11231</v>
      </c>
      <c r="AW1062" t="s">
        <v>6810</v>
      </c>
    </row>
    <row r="1063" spans="1:49">
      <c r="A1063" s="1">
        <f>HYPERLINK("https://lsnyc.legalserver.org/matter/dynamic-profile/view/1898235","19-1898235")</f>
        <v>0</v>
      </c>
      <c r="B1063" t="s">
        <v>209</v>
      </c>
      <c r="C1063" t="s">
        <v>763</v>
      </c>
      <c r="D1063" t="s">
        <v>2404</v>
      </c>
      <c r="E1063" t="s">
        <v>4080</v>
      </c>
      <c r="F1063" t="s">
        <v>5316</v>
      </c>
      <c r="G1063" t="s">
        <v>5635</v>
      </c>
      <c r="H1063">
        <v>10467</v>
      </c>
      <c r="I1063" t="s">
        <v>5695</v>
      </c>
      <c r="J1063" t="s">
        <v>5695</v>
      </c>
      <c r="L1063" t="s">
        <v>6720</v>
      </c>
      <c r="M1063" t="s">
        <v>6735</v>
      </c>
      <c r="O1063" t="s">
        <v>6745</v>
      </c>
      <c r="P1063" t="s">
        <v>5695</v>
      </c>
      <c r="R1063" t="s">
        <v>6793</v>
      </c>
      <c r="U1063">
        <v>752</v>
      </c>
      <c r="V1063" t="s">
        <v>6833</v>
      </c>
      <c r="W1063" t="s">
        <v>6843</v>
      </c>
      <c r="Y1063" t="s">
        <v>7881</v>
      </c>
      <c r="AA1063" t="s">
        <v>9924</v>
      </c>
      <c r="AB1063">
        <v>59</v>
      </c>
      <c r="AC1063" t="s">
        <v>10929</v>
      </c>
      <c r="AD1063" t="s">
        <v>5741</v>
      </c>
      <c r="AE1063">
        <v>19</v>
      </c>
      <c r="AF1063">
        <v>1</v>
      </c>
      <c r="AG1063">
        <v>0</v>
      </c>
      <c r="AH1063">
        <v>340.27</v>
      </c>
      <c r="AK1063" t="s">
        <v>10966</v>
      </c>
      <c r="AL1063">
        <v>42500</v>
      </c>
      <c r="AR1063">
        <v>0</v>
      </c>
      <c r="AT1063" t="s">
        <v>11176</v>
      </c>
      <c r="AV1063" t="s">
        <v>11231</v>
      </c>
      <c r="AW1063" t="s">
        <v>10956</v>
      </c>
    </row>
    <row r="1064" spans="1:49">
      <c r="A1064" s="1">
        <f>HYPERLINK("https://lsnyc.legalserver.org/matter/dynamic-profile/view/1901828","19-1901828")</f>
        <v>0</v>
      </c>
      <c r="B1064" t="s">
        <v>263</v>
      </c>
      <c r="C1064" t="s">
        <v>620</v>
      </c>
      <c r="D1064" t="s">
        <v>2405</v>
      </c>
      <c r="E1064" t="s">
        <v>4081</v>
      </c>
      <c r="F1064" t="s">
        <v>5439</v>
      </c>
      <c r="G1064" t="s">
        <v>5637</v>
      </c>
      <c r="H1064">
        <v>11225</v>
      </c>
      <c r="I1064" t="s">
        <v>5695</v>
      </c>
      <c r="J1064" t="s">
        <v>5696</v>
      </c>
      <c r="L1064" t="s">
        <v>6721</v>
      </c>
      <c r="M1064" t="s">
        <v>6735</v>
      </c>
      <c r="O1064" t="s">
        <v>6745</v>
      </c>
      <c r="R1064" t="s">
        <v>6793</v>
      </c>
      <c r="T1064" t="s">
        <v>6811</v>
      </c>
      <c r="U1064">
        <v>0</v>
      </c>
      <c r="V1064" t="s">
        <v>6835</v>
      </c>
      <c r="Y1064" t="s">
        <v>7882</v>
      </c>
      <c r="AA1064" t="s">
        <v>9925</v>
      </c>
      <c r="AB1064">
        <v>0</v>
      </c>
      <c r="AE1064">
        <v>0</v>
      </c>
      <c r="AF1064">
        <v>2</v>
      </c>
      <c r="AG1064">
        <v>0</v>
      </c>
      <c r="AH1064">
        <v>214.67</v>
      </c>
      <c r="AK1064" t="s">
        <v>10966</v>
      </c>
      <c r="AL1064">
        <v>36300</v>
      </c>
      <c r="AO1064" t="s">
        <v>6841</v>
      </c>
      <c r="AP1064" t="s">
        <v>11098</v>
      </c>
      <c r="AQ1064" t="s">
        <v>11100</v>
      </c>
      <c r="AR1064">
        <v>4.2</v>
      </c>
      <c r="AS1064" t="s">
        <v>6814</v>
      </c>
      <c r="AT1064" t="s">
        <v>77</v>
      </c>
      <c r="AU1064" t="s">
        <v>11228</v>
      </c>
      <c r="AV1064" t="s">
        <v>11231</v>
      </c>
      <c r="AW1064" t="s">
        <v>11149</v>
      </c>
    </row>
    <row r="1065" spans="1:49">
      <c r="A1065" s="1">
        <f>HYPERLINK("https://lsnyc.legalserver.org/matter/dynamic-profile/view/1903859","19-1903859")</f>
        <v>0</v>
      </c>
      <c r="B1065" t="s">
        <v>266</v>
      </c>
      <c r="C1065" t="s">
        <v>345</v>
      </c>
      <c r="D1065" t="s">
        <v>1753</v>
      </c>
      <c r="E1065" t="s">
        <v>4082</v>
      </c>
      <c r="F1065">
        <v>10</v>
      </c>
      <c r="G1065" t="s">
        <v>5638</v>
      </c>
      <c r="H1065">
        <v>10025</v>
      </c>
      <c r="I1065" t="s">
        <v>5695</v>
      </c>
      <c r="J1065" t="s">
        <v>5696</v>
      </c>
      <c r="L1065" t="s">
        <v>6721</v>
      </c>
      <c r="M1065" t="s">
        <v>6735</v>
      </c>
      <c r="O1065" t="s">
        <v>6759</v>
      </c>
      <c r="P1065" t="s">
        <v>5697</v>
      </c>
      <c r="R1065" t="s">
        <v>6793</v>
      </c>
      <c r="S1065" t="s">
        <v>6801</v>
      </c>
      <c r="T1065" t="s">
        <v>6807</v>
      </c>
      <c r="U1065">
        <v>679.8200000000001</v>
      </c>
      <c r="V1065" t="s">
        <v>6836</v>
      </c>
      <c r="W1065" t="s">
        <v>6852</v>
      </c>
      <c r="Y1065" t="s">
        <v>7532</v>
      </c>
      <c r="AA1065" t="s">
        <v>9926</v>
      </c>
      <c r="AB1065">
        <v>16</v>
      </c>
      <c r="AC1065" t="s">
        <v>10936</v>
      </c>
      <c r="AD1065" t="s">
        <v>5741</v>
      </c>
      <c r="AE1065">
        <v>40</v>
      </c>
      <c r="AF1065">
        <v>1</v>
      </c>
      <c r="AG1065">
        <v>0</v>
      </c>
      <c r="AH1065">
        <v>160.92</v>
      </c>
      <c r="AK1065" t="s">
        <v>10967</v>
      </c>
      <c r="AL1065">
        <v>20098.56</v>
      </c>
      <c r="AR1065">
        <v>3</v>
      </c>
      <c r="AS1065" t="s">
        <v>6807</v>
      </c>
      <c r="AT1065" t="s">
        <v>11219</v>
      </c>
      <c r="AU1065" t="s">
        <v>11228</v>
      </c>
      <c r="AV1065" t="s">
        <v>11231</v>
      </c>
      <c r="AW1065" t="s">
        <v>6807</v>
      </c>
    </row>
    <row r="1066" spans="1:49">
      <c r="A1066" s="1">
        <f>HYPERLINK("https://lsnyc.legalserver.org/matter/dynamic-profile/view/1904017","19-1904017")</f>
        <v>0</v>
      </c>
      <c r="B1066" t="s">
        <v>121</v>
      </c>
      <c r="C1066" t="s">
        <v>1056</v>
      </c>
      <c r="D1066" t="s">
        <v>2406</v>
      </c>
      <c r="E1066" t="s">
        <v>4083</v>
      </c>
      <c r="F1066" t="s">
        <v>5100</v>
      </c>
      <c r="G1066" t="s">
        <v>5637</v>
      </c>
      <c r="H1066">
        <v>11216</v>
      </c>
      <c r="I1066" t="s">
        <v>5695</v>
      </c>
      <c r="J1066" t="s">
        <v>5696</v>
      </c>
      <c r="K1066" t="s">
        <v>6131</v>
      </c>
      <c r="L1066" t="s">
        <v>6721</v>
      </c>
      <c r="M1066" t="s">
        <v>6735</v>
      </c>
      <c r="O1066" t="s">
        <v>6748</v>
      </c>
      <c r="P1066" t="s">
        <v>5697</v>
      </c>
      <c r="R1066" t="s">
        <v>6795</v>
      </c>
      <c r="U1066">
        <v>900</v>
      </c>
      <c r="V1066" t="s">
        <v>6835</v>
      </c>
      <c r="W1066" t="s">
        <v>6843</v>
      </c>
      <c r="Y1066" t="s">
        <v>7883</v>
      </c>
      <c r="AA1066" t="s">
        <v>9927</v>
      </c>
      <c r="AB1066">
        <v>0</v>
      </c>
      <c r="AC1066" t="s">
        <v>10929</v>
      </c>
      <c r="AE1066">
        <v>34</v>
      </c>
      <c r="AF1066">
        <v>1</v>
      </c>
      <c r="AG1066">
        <v>0</v>
      </c>
      <c r="AH1066">
        <v>67.25</v>
      </c>
      <c r="AK1066" t="s">
        <v>10966</v>
      </c>
      <c r="AL1066">
        <v>8400</v>
      </c>
      <c r="AR1066">
        <v>2.8</v>
      </c>
      <c r="AS1066" t="s">
        <v>6827</v>
      </c>
      <c r="AT1066" t="s">
        <v>11178</v>
      </c>
      <c r="AU1066" t="s">
        <v>11228</v>
      </c>
      <c r="AV1066" t="s">
        <v>11231</v>
      </c>
      <c r="AW1066" t="s">
        <v>6825</v>
      </c>
    </row>
    <row r="1067" spans="1:49">
      <c r="A1067" s="1">
        <f>HYPERLINK("https://lsnyc.legalserver.org/matter/dynamic-profile/view/1902067","19-1902067")</f>
        <v>0</v>
      </c>
      <c r="B1067" t="s">
        <v>121</v>
      </c>
      <c r="C1067" t="s">
        <v>624</v>
      </c>
      <c r="D1067" t="s">
        <v>2407</v>
      </c>
      <c r="E1067" t="s">
        <v>4084</v>
      </c>
      <c r="F1067" t="s">
        <v>5305</v>
      </c>
      <c r="G1067" t="s">
        <v>5637</v>
      </c>
      <c r="H1067">
        <v>11225</v>
      </c>
      <c r="I1067" t="s">
        <v>5695</v>
      </c>
      <c r="J1067" t="s">
        <v>5696</v>
      </c>
      <c r="K1067" t="s">
        <v>6132</v>
      </c>
      <c r="L1067" t="s">
        <v>6721</v>
      </c>
      <c r="M1067" t="s">
        <v>6735</v>
      </c>
      <c r="O1067" t="s">
        <v>6748</v>
      </c>
      <c r="P1067" t="s">
        <v>5697</v>
      </c>
      <c r="R1067" t="s">
        <v>6795</v>
      </c>
      <c r="U1067">
        <v>1008.26</v>
      </c>
      <c r="V1067" t="s">
        <v>6835</v>
      </c>
      <c r="W1067" t="s">
        <v>6843</v>
      </c>
      <c r="Y1067" t="s">
        <v>7884</v>
      </c>
      <c r="AA1067" t="s">
        <v>9928</v>
      </c>
      <c r="AB1067">
        <v>40</v>
      </c>
      <c r="AE1067">
        <v>30</v>
      </c>
      <c r="AF1067">
        <v>1</v>
      </c>
      <c r="AG1067">
        <v>0</v>
      </c>
      <c r="AH1067">
        <v>88.68000000000001</v>
      </c>
      <c r="AK1067" t="s">
        <v>10966</v>
      </c>
      <c r="AL1067">
        <v>11076</v>
      </c>
      <c r="AR1067">
        <v>2</v>
      </c>
      <c r="AS1067" t="s">
        <v>6812</v>
      </c>
      <c r="AT1067" t="s">
        <v>11178</v>
      </c>
      <c r="AV1067" t="s">
        <v>11231</v>
      </c>
      <c r="AW1067" t="s">
        <v>11161</v>
      </c>
    </row>
    <row r="1068" spans="1:49">
      <c r="A1068" s="1">
        <f>HYPERLINK("https://lsnyc.legalserver.org/matter/dynamic-profile/view/1904523","19-1904523")</f>
        <v>0</v>
      </c>
      <c r="B1068" t="s">
        <v>111</v>
      </c>
      <c r="C1068" t="s">
        <v>1057</v>
      </c>
      <c r="D1068" t="s">
        <v>1840</v>
      </c>
      <c r="E1068" t="s">
        <v>4066</v>
      </c>
      <c r="F1068">
        <v>31</v>
      </c>
      <c r="G1068" t="s">
        <v>5638</v>
      </c>
      <c r="H1068">
        <v>10034</v>
      </c>
      <c r="I1068" t="s">
        <v>5695</v>
      </c>
      <c r="J1068" t="s">
        <v>5696</v>
      </c>
      <c r="L1068" t="s">
        <v>6717</v>
      </c>
      <c r="M1068" t="s">
        <v>6735</v>
      </c>
      <c r="O1068" t="s">
        <v>6745</v>
      </c>
      <c r="R1068" t="s">
        <v>6793</v>
      </c>
      <c r="T1068" t="s">
        <v>6810</v>
      </c>
      <c r="U1068">
        <v>1013.58</v>
      </c>
      <c r="V1068" t="s">
        <v>6836</v>
      </c>
      <c r="W1068" t="s">
        <v>6843</v>
      </c>
      <c r="Y1068" t="s">
        <v>7885</v>
      </c>
      <c r="AA1068" t="s">
        <v>9929</v>
      </c>
      <c r="AB1068">
        <v>25</v>
      </c>
      <c r="AC1068" t="s">
        <v>10929</v>
      </c>
      <c r="AD1068" t="s">
        <v>10944</v>
      </c>
      <c r="AE1068">
        <v>50</v>
      </c>
      <c r="AF1068">
        <v>2</v>
      </c>
      <c r="AG1068">
        <v>0</v>
      </c>
      <c r="AH1068">
        <v>105.38</v>
      </c>
      <c r="AJ1068" t="s">
        <v>10965</v>
      </c>
      <c r="AK1068" t="s">
        <v>10967</v>
      </c>
      <c r="AL1068">
        <v>17820</v>
      </c>
      <c r="AR1068">
        <v>4.5</v>
      </c>
      <c r="AS1068" t="s">
        <v>6810</v>
      </c>
      <c r="AT1068" t="s">
        <v>11201</v>
      </c>
      <c r="AU1068" t="s">
        <v>11228</v>
      </c>
      <c r="AV1068" t="s">
        <v>11231</v>
      </c>
      <c r="AW1068" t="s">
        <v>6810</v>
      </c>
    </row>
    <row r="1069" spans="1:49">
      <c r="A1069" s="1">
        <f>HYPERLINK("https://lsnyc.legalserver.org/matter/dynamic-profile/view/1899279","19-1899279")</f>
        <v>0</v>
      </c>
      <c r="B1069" t="s">
        <v>254</v>
      </c>
      <c r="C1069" t="s">
        <v>505</v>
      </c>
      <c r="D1069" t="s">
        <v>2345</v>
      </c>
      <c r="E1069" t="s">
        <v>4085</v>
      </c>
      <c r="F1069" t="s">
        <v>5235</v>
      </c>
      <c r="G1069" t="s">
        <v>5635</v>
      </c>
      <c r="H1069">
        <v>10453</v>
      </c>
      <c r="I1069" t="s">
        <v>5696</v>
      </c>
      <c r="J1069" t="s">
        <v>5696</v>
      </c>
      <c r="M1069" t="s">
        <v>6735</v>
      </c>
      <c r="O1069" t="s">
        <v>6745</v>
      </c>
      <c r="R1069" t="s">
        <v>6795</v>
      </c>
      <c r="U1069">
        <v>0</v>
      </c>
      <c r="V1069" t="s">
        <v>6833</v>
      </c>
      <c r="Y1069" t="s">
        <v>7886</v>
      </c>
      <c r="AA1069" t="s">
        <v>9930</v>
      </c>
      <c r="AB1069">
        <v>0</v>
      </c>
      <c r="AE1069">
        <v>0</v>
      </c>
      <c r="AF1069">
        <v>1</v>
      </c>
      <c r="AG1069">
        <v>0</v>
      </c>
      <c r="AH1069">
        <v>11.53</v>
      </c>
      <c r="AK1069" t="s">
        <v>10967</v>
      </c>
      <c r="AL1069">
        <v>1440</v>
      </c>
      <c r="AR1069">
        <v>0.6</v>
      </c>
      <c r="AS1069" t="s">
        <v>6815</v>
      </c>
      <c r="AT1069" t="s">
        <v>254</v>
      </c>
      <c r="AV1069" t="s">
        <v>11231</v>
      </c>
      <c r="AW1069" t="s">
        <v>11126</v>
      </c>
    </row>
    <row r="1070" spans="1:49">
      <c r="A1070" s="1">
        <f>HYPERLINK("https://lsnyc.legalserver.org/matter/dynamic-profile/view/1905025","19-1905025")</f>
        <v>0</v>
      </c>
      <c r="B1070" t="s">
        <v>264</v>
      </c>
      <c r="C1070" t="s">
        <v>1058</v>
      </c>
      <c r="D1070" t="s">
        <v>2408</v>
      </c>
      <c r="E1070" t="s">
        <v>4086</v>
      </c>
      <c r="F1070" t="s">
        <v>5237</v>
      </c>
      <c r="G1070" t="s">
        <v>5636</v>
      </c>
      <c r="H1070">
        <v>10314</v>
      </c>
      <c r="I1070" t="s">
        <v>5696</v>
      </c>
      <c r="J1070" t="s">
        <v>5696</v>
      </c>
      <c r="M1070" t="s">
        <v>6735</v>
      </c>
      <c r="O1070" t="s">
        <v>6762</v>
      </c>
      <c r="R1070" t="s">
        <v>6794</v>
      </c>
      <c r="U1070">
        <v>1149.6</v>
      </c>
      <c r="V1070" t="s">
        <v>6834</v>
      </c>
      <c r="Y1070" t="s">
        <v>7887</v>
      </c>
      <c r="AA1070" t="s">
        <v>9931</v>
      </c>
      <c r="AB1070">
        <v>0</v>
      </c>
      <c r="AE1070">
        <v>18</v>
      </c>
      <c r="AF1070">
        <v>3</v>
      </c>
      <c r="AG1070">
        <v>1</v>
      </c>
      <c r="AH1070">
        <v>181.75</v>
      </c>
      <c r="AK1070" t="s">
        <v>10966</v>
      </c>
      <c r="AL1070">
        <v>46800</v>
      </c>
      <c r="AR1070">
        <v>1.7</v>
      </c>
      <c r="AS1070" t="s">
        <v>6824</v>
      </c>
      <c r="AT1070" t="s">
        <v>264</v>
      </c>
      <c r="AV1070" t="s">
        <v>11231</v>
      </c>
      <c r="AW1070" t="s">
        <v>6824</v>
      </c>
    </row>
    <row r="1071" spans="1:49">
      <c r="A1071" s="1">
        <f>HYPERLINK("https://lsnyc.legalserver.org/matter/dynamic-profile/view/1905064","19-1905064")</f>
        <v>0</v>
      </c>
      <c r="B1071" t="s">
        <v>267</v>
      </c>
      <c r="C1071" t="s">
        <v>1059</v>
      </c>
      <c r="D1071" t="s">
        <v>2133</v>
      </c>
      <c r="E1071" t="s">
        <v>4087</v>
      </c>
      <c r="F1071">
        <v>1</v>
      </c>
      <c r="G1071" t="s">
        <v>5637</v>
      </c>
      <c r="H1071">
        <v>11221</v>
      </c>
      <c r="I1071" t="s">
        <v>5695</v>
      </c>
      <c r="J1071" t="s">
        <v>5696</v>
      </c>
      <c r="M1071" t="s">
        <v>6735</v>
      </c>
      <c r="O1071" t="s">
        <v>6745</v>
      </c>
      <c r="R1071" t="s">
        <v>6793</v>
      </c>
      <c r="T1071" t="s">
        <v>6811</v>
      </c>
      <c r="U1071">
        <v>0</v>
      </c>
      <c r="V1071" t="s">
        <v>6835</v>
      </c>
      <c r="Y1071" t="s">
        <v>7888</v>
      </c>
      <c r="AA1071" t="s">
        <v>9932</v>
      </c>
      <c r="AB1071">
        <v>0</v>
      </c>
      <c r="AE1071">
        <v>0</v>
      </c>
      <c r="AF1071">
        <v>1</v>
      </c>
      <c r="AG1071">
        <v>0</v>
      </c>
      <c r="AH1071">
        <v>0</v>
      </c>
      <c r="AK1071" t="s">
        <v>10966</v>
      </c>
      <c r="AL1071">
        <v>0</v>
      </c>
      <c r="AR1071">
        <v>0.2</v>
      </c>
      <c r="AS1071" t="s">
        <v>6814</v>
      </c>
      <c r="AT1071" t="s">
        <v>77</v>
      </c>
      <c r="AV1071" t="s">
        <v>11231</v>
      </c>
      <c r="AW1071" t="s">
        <v>6814</v>
      </c>
    </row>
    <row r="1072" spans="1:49">
      <c r="A1072" s="1">
        <f>HYPERLINK("https://lsnyc.legalserver.org/matter/dynamic-profile/view/1892218","19-1892218")</f>
        <v>0</v>
      </c>
      <c r="B1072" t="s">
        <v>50</v>
      </c>
      <c r="C1072" t="s">
        <v>1060</v>
      </c>
      <c r="D1072" t="s">
        <v>2409</v>
      </c>
      <c r="E1072" t="s">
        <v>4088</v>
      </c>
      <c r="F1072" t="s">
        <v>5440</v>
      </c>
      <c r="G1072" t="s">
        <v>5635</v>
      </c>
      <c r="H1072">
        <v>10461</v>
      </c>
      <c r="I1072" t="s">
        <v>5696</v>
      </c>
      <c r="J1072" t="s">
        <v>5696</v>
      </c>
      <c r="M1072" t="s">
        <v>6735</v>
      </c>
      <c r="O1072" t="s">
        <v>6745</v>
      </c>
      <c r="R1072" t="s">
        <v>6800</v>
      </c>
      <c r="U1072">
        <v>0</v>
      </c>
      <c r="V1072" t="s">
        <v>6833</v>
      </c>
      <c r="Y1072" t="s">
        <v>7889</v>
      </c>
      <c r="AA1072" t="s">
        <v>9933</v>
      </c>
      <c r="AB1072">
        <v>0</v>
      </c>
      <c r="AE1072">
        <v>0</v>
      </c>
      <c r="AF1072">
        <v>1</v>
      </c>
      <c r="AG1072">
        <v>0</v>
      </c>
      <c r="AH1072">
        <v>161.73</v>
      </c>
      <c r="AK1072" t="s">
        <v>10967</v>
      </c>
      <c r="AL1072">
        <v>20200</v>
      </c>
      <c r="AR1072">
        <v>13.65</v>
      </c>
      <c r="AS1072" t="s">
        <v>6808</v>
      </c>
      <c r="AT1072" t="s">
        <v>11176</v>
      </c>
      <c r="AV1072" t="s">
        <v>11231</v>
      </c>
      <c r="AW1072" t="s">
        <v>6825</v>
      </c>
    </row>
    <row r="1073" spans="1:49">
      <c r="A1073" s="1">
        <f>HYPERLINK("https://lsnyc.legalserver.org/matter/dynamic-profile/view/1898153","19-1898153")</f>
        <v>0</v>
      </c>
      <c r="B1073" t="s">
        <v>53</v>
      </c>
      <c r="C1073" t="s">
        <v>1061</v>
      </c>
      <c r="D1073" t="s">
        <v>2410</v>
      </c>
      <c r="E1073" t="s">
        <v>4089</v>
      </c>
      <c r="F1073" t="s">
        <v>5180</v>
      </c>
      <c r="G1073" t="s">
        <v>5635</v>
      </c>
      <c r="H1073">
        <v>10457</v>
      </c>
      <c r="I1073" t="s">
        <v>5695</v>
      </c>
      <c r="J1073" t="s">
        <v>5697</v>
      </c>
      <c r="M1073" t="s">
        <v>6735</v>
      </c>
      <c r="O1073" t="s">
        <v>6763</v>
      </c>
      <c r="R1073" t="s">
        <v>6793</v>
      </c>
      <c r="U1073">
        <v>1351.7</v>
      </c>
      <c r="V1073" t="s">
        <v>6833</v>
      </c>
      <c r="W1073" t="s">
        <v>6840</v>
      </c>
      <c r="Y1073" t="s">
        <v>7890</v>
      </c>
      <c r="Z1073" t="s">
        <v>8994</v>
      </c>
      <c r="AA1073" t="s">
        <v>9934</v>
      </c>
      <c r="AB1073">
        <v>0</v>
      </c>
      <c r="AD1073" t="s">
        <v>10944</v>
      </c>
      <c r="AE1073">
        <v>45</v>
      </c>
      <c r="AF1073">
        <v>1</v>
      </c>
      <c r="AG1073">
        <v>0</v>
      </c>
      <c r="AH1073">
        <v>86.47</v>
      </c>
      <c r="AK1073" t="s">
        <v>10967</v>
      </c>
      <c r="AL1073">
        <v>10800</v>
      </c>
      <c r="AR1073">
        <v>1.75</v>
      </c>
      <c r="AS1073" t="s">
        <v>11147</v>
      </c>
      <c r="AT1073" t="s">
        <v>11179</v>
      </c>
      <c r="AU1073" t="s">
        <v>11228</v>
      </c>
      <c r="AV1073" t="s">
        <v>11231</v>
      </c>
      <c r="AW1073" t="s">
        <v>10956</v>
      </c>
    </row>
    <row r="1074" spans="1:49">
      <c r="A1074" s="1">
        <f>HYPERLINK("https://lsnyc.legalserver.org/matter/dynamic-profile/view/1904819","19-1904819")</f>
        <v>0</v>
      </c>
      <c r="B1074" t="s">
        <v>121</v>
      </c>
      <c r="C1074" t="s">
        <v>365</v>
      </c>
      <c r="D1074" t="s">
        <v>352</v>
      </c>
      <c r="E1074" t="s">
        <v>4090</v>
      </c>
      <c r="F1074" t="s">
        <v>5441</v>
      </c>
      <c r="G1074" t="s">
        <v>5637</v>
      </c>
      <c r="H1074">
        <v>11225</v>
      </c>
      <c r="I1074" t="s">
        <v>5695</v>
      </c>
      <c r="J1074" t="s">
        <v>5696</v>
      </c>
      <c r="K1074" t="s">
        <v>6133</v>
      </c>
      <c r="M1074" t="s">
        <v>6735</v>
      </c>
      <c r="O1074" t="s">
        <v>6753</v>
      </c>
      <c r="P1074" t="s">
        <v>5697</v>
      </c>
      <c r="R1074" t="s">
        <v>6795</v>
      </c>
      <c r="U1074">
        <v>158.74</v>
      </c>
      <c r="V1074" t="s">
        <v>6835</v>
      </c>
      <c r="W1074" t="s">
        <v>6843</v>
      </c>
      <c r="Y1074" t="s">
        <v>7891</v>
      </c>
      <c r="AA1074" t="s">
        <v>9935</v>
      </c>
      <c r="AB1074">
        <v>0</v>
      </c>
      <c r="AD1074" t="s">
        <v>5741</v>
      </c>
      <c r="AE1074">
        <v>36</v>
      </c>
      <c r="AF1074">
        <v>2</v>
      </c>
      <c r="AG1074">
        <v>0</v>
      </c>
      <c r="AH1074">
        <v>346.54</v>
      </c>
      <c r="AK1074" t="s">
        <v>10966</v>
      </c>
      <c r="AL1074">
        <v>58600</v>
      </c>
      <c r="AR1074">
        <v>0</v>
      </c>
      <c r="AT1074" t="s">
        <v>11178</v>
      </c>
      <c r="AV1074" t="s">
        <v>11231</v>
      </c>
      <c r="AW1074" t="s">
        <v>6816</v>
      </c>
    </row>
    <row r="1075" spans="1:49">
      <c r="A1075" s="1">
        <f>HYPERLINK("https://lsnyc.legalserver.org/matter/dynamic-profile/view/1904834","19-1904834")</f>
        <v>0</v>
      </c>
      <c r="B1075" t="s">
        <v>121</v>
      </c>
      <c r="C1075" t="s">
        <v>365</v>
      </c>
      <c r="D1075" t="s">
        <v>352</v>
      </c>
      <c r="E1075" t="s">
        <v>4090</v>
      </c>
      <c r="F1075" t="s">
        <v>5441</v>
      </c>
      <c r="G1075" t="s">
        <v>5637</v>
      </c>
      <c r="H1075">
        <v>11225</v>
      </c>
      <c r="I1075" t="s">
        <v>5695</v>
      </c>
      <c r="J1075" t="s">
        <v>5696</v>
      </c>
      <c r="K1075" t="s">
        <v>6133</v>
      </c>
      <c r="M1075" t="s">
        <v>6735</v>
      </c>
      <c r="O1075" t="s">
        <v>6753</v>
      </c>
      <c r="R1075" t="s">
        <v>6795</v>
      </c>
      <c r="U1075">
        <v>158.74</v>
      </c>
      <c r="V1075" t="s">
        <v>6835</v>
      </c>
      <c r="W1075" t="s">
        <v>6843</v>
      </c>
      <c r="Y1075" t="s">
        <v>7891</v>
      </c>
      <c r="AA1075" t="s">
        <v>9935</v>
      </c>
      <c r="AB1075">
        <v>0</v>
      </c>
      <c r="AD1075" t="s">
        <v>5741</v>
      </c>
      <c r="AE1075">
        <v>36</v>
      </c>
      <c r="AF1075">
        <v>2</v>
      </c>
      <c r="AG1075">
        <v>0</v>
      </c>
      <c r="AH1075">
        <v>346.54</v>
      </c>
      <c r="AK1075" t="s">
        <v>10966</v>
      </c>
      <c r="AL1075">
        <v>58600</v>
      </c>
      <c r="AR1075">
        <v>0.6</v>
      </c>
      <c r="AS1075" t="s">
        <v>6820</v>
      </c>
      <c r="AT1075" t="s">
        <v>11178</v>
      </c>
      <c r="AV1075" t="s">
        <v>11231</v>
      </c>
      <c r="AW1075" t="s">
        <v>6816</v>
      </c>
    </row>
    <row r="1076" spans="1:49">
      <c r="A1076" s="1">
        <f>HYPERLINK("https://lsnyc.legalserver.org/matter/dynamic-profile/view/1906107","19-1906107")</f>
        <v>0</v>
      </c>
      <c r="B1076" t="s">
        <v>209</v>
      </c>
      <c r="C1076" t="s">
        <v>533</v>
      </c>
      <c r="D1076" t="s">
        <v>2411</v>
      </c>
      <c r="E1076" t="s">
        <v>4091</v>
      </c>
      <c r="F1076" t="s">
        <v>5304</v>
      </c>
      <c r="G1076" t="s">
        <v>5635</v>
      </c>
      <c r="H1076">
        <v>10458</v>
      </c>
      <c r="I1076" t="s">
        <v>5695</v>
      </c>
      <c r="J1076" t="s">
        <v>5696</v>
      </c>
      <c r="M1076" t="s">
        <v>6735</v>
      </c>
      <c r="O1076" t="s">
        <v>6745</v>
      </c>
      <c r="P1076" t="s">
        <v>5697</v>
      </c>
      <c r="R1076" t="s">
        <v>6793</v>
      </c>
      <c r="U1076">
        <v>1091.27</v>
      </c>
      <c r="V1076" t="s">
        <v>6833</v>
      </c>
      <c r="W1076" t="s">
        <v>6838</v>
      </c>
      <c r="Y1076" t="s">
        <v>7892</v>
      </c>
      <c r="AB1076">
        <v>0</v>
      </c>
      <c r="AE1076">
        <v>0</v>
      </c>
      <c r="AF1076">
        <v>4</v>
      </c>
      <c r="AG1076">
        <v>0</v>
      </c>
      <c r="AH1076">
        <v>123.5</v>
      </c>
      <c r="AK1076" t="s">
        <v>10966</v>
      </c>
      <c r="AL1076">
        <v>31800</v>
      </c>
      <c r="AR1076">
        <v>0.9</v>
      </c>
      <c r="AS1076" t="s">
        <v>6820</v>
      </c>
      <c r="AT1076" t="s">
        <v>209</v>
      </c>
      <c r="AU1076" t="s">
        <v>11228</v>
      </c>
      <c r="AV1076" t="s">
        <v>11231</v>
      </c>
      <c r="AW1076" t="s">
        <v>6820</v>
      </c>
    </row>
    <row r="1077" spans="1:49">
      <c r="A1077" s="1">
        <f>HYPERLINK("https://lsnyc.legalserver.org/matter/dynamic-profile/view/1904324","19-1904324")</f>
        <v>0</v>
      </c>
      <c r="B1077" t="s">
        <v>267</v>
      </c>
      <c r="C1077" t="s">
        <v>1062</v>
      </c>
      <c r="D1077" t="s">
        <v>2412</v>
      </c>
      <c r="E1077" t="s">
        <v>4087</v>
      </c>
      <c r="F1077" t="s">
        <v>5153</v>
      </c>
      <c r="G1077" t="s">
        <v>5637</v>
      </c>
      <c r="H1077">
        <v>11221</v>
      </c>
      <c r="I1077" t="s">
        <v>5696</v>
      </c>
      <c r="J1077" t="s">
        <v>5696</v>
      </c>
      <c r="M1077" t="s">
        <v>6735</v>
      </c>
      <c r="O1077" t="s">
        <v>6745</v>
      </c>
      <c r="R1077" t="s">
        <v>6793</v>
      </c>
      <c r="T1077" t="s">
        <v>6813</v>
      </c>
      <c r="U1077">
        <v>0</v>
      </c>
      <c r="V1077" t="s">
        <v>6835</v>
      </c>
      <c r="Y1077" t="s">
        <v>7893</v>
      </c>
      <c r="AB1077">
        <v>0</v>
      </c>
      <c r="AE1077">
        <v>0</v>
      </c>
      <c r="AF1077">
        <v>1</v>
      </c>
      <c r="AG1077">
        <v>0</v>
      </c>
      <c r="AH1077">
        <v>0</v>
      </c>
      <c r="AK1077" t="s">
        <v>10966</v>
      </c>
      <c r="AL1077">
        <v>0</v>
      </c>
      <c r="AR1077">
        <v>2</v>
      </c>
      <c r="AS1077" t="s">
        <v>6813</v>
      </c>
      <c r="AT1077" t="s">
        <v>77</v>
      </c>
      <c r="AV1077" t="s">
        <v>11231</v>
      </c>
      <c r="AW1077" t="s">
        <v>6813</v>
      </c>
    </row>
    <row r="1078" spans="1:49">
      <c r="A1078" s="1">
        <f>HYPERLINK("https://lsnyc.legalserver.org/matter/dynamic-profile/view/1906016","19-1906016")</f>
        <v>0</v>
      </c>
      <c r="B1078" t="s">
        <v>232</v>
      </c>
      <c r="C1078" t="s">
        <v>343</v>
      </c>
      <c r="D1078" t="s">
        <v>2413</v>
      </c>
      <c r="E1078" t="s">
        <v>4092</v>
      </c>
      <c r="F1078" t="s">
        <v>5358</v>
      </c>
      <c r="G1078" t="s">
        <v>5646</v>
      </c>
      <c r="H1078">
        <v>11354</v>
      </c>
      <c r="I1078" t="s">
        <v>5696</v>
      </c>
      <c r="J1078" t="s">
        <v>5696</v>
      </c>
      <c r="K1078" t="s">
        <v>6134</v>
      </c>
      <c r="L1078" t="s">
        <v>6711</v>
      </c>
      <c r="M1078" t="s">
        <v>6737</v>
      </c>
      <c r="O1078" t="s">
        <v>6745</v>
      </c>
      <c r="P1078" t="s">
        <v>5695</v>
      </c>
      <c r="R1078" t="s">
        <v>6793</v>
      </c>
      <c r="T1078" t="s">
        <v>6826</v>
      </c>
      <c r="U1078">
        <v>1025</v>
      </c>
      <c r="V1078" t="s">
        <v>6837</v>
      </c>
      <c r="W1078" t="s">
        <v>6847</v>
      </c>
      <c r="Y1078" t="s">
        <v>7894</v>
      </c>
      <c r="AA1078" t="s">
        <v>8917</v>
      </c>
      <c r="AB1078">
        <v>0</v>
      </c>
      <c r="AC1078" t="s">
        <v>8953</v>
      </c>
      <c r="AD1078" t="s">
        <v>5741</v>
      </c>
      <c r="AE1078">
        <v>34</v>
      </c>
      <c r="AF1078">
        <v>3</v>
      </c>
      <c r="AG1078">
        <v>0</v>
      </c>
      <c r="AH1078">
        <v>48.38</v>
      </c>
      <c r="AK1078" t="s">
        <v>10967</v>
      </c>
      <c r="AL1078">
        <v>10320</v>
      </c>
      <c r="AR1078">
        <v>0.4</v>
      </c>
      <c r="AS1078" t="s">
        <v>6829</v>
      </c>
      <c r="AT1078" t="s">
        <v>11182</v>
      </c>
      <c r="AV1078" t="s">
        <v>11231</v>
      </c>
      <c r="AW1078" t="s">
        <v>6826</v>
      </c>
    </row>
    <row r="1079" spans="1:49">
      <c r="A1079" s="1">
        <f>HYPERLINK("https://lsnyc.legalserver.org/matter/dynamic-profile/view/1897595","19-1897595")</f>
        <v>0</v>
      </c>
      <c r="B1079" t="s">
        <v>186</v>
      </c>
      <c r="C1079" t="s">
        <v>1063</v>
      </c>
      <c r="D1079" t="s">
        <v>2414</v>
      </c>
      <c r="E1079" t="s">
        <v>4093</v>
      </c>
      <c r="F1079" t="s">
        <v>5442</v>
      </c>
      <c r="G1079" t="s">
        <v>5662</v>
      </c>
      <c r="H1079">
        <v>11368</v>
      </c>
      <c r="I1079" t="s">
        <v>5695</v>
      </c>
      <c r="J1079" t="s">
        <v>5695</v>
      </c>
      <c r="K1079" t="s">
        <v>6135</v>
      </c>
      <c r="L1079" t="s">
        <v>6711</v>
      </c>
      <c r="M1079" t="s">
        <v>6737</v>
      </c>
      <c r="O1079" t="s">
        <v>6745</v>
      </c>
      <c r="P1079" t="s">
        <v>5695</v>
      </c>
      <c r="R1079" t="s">
        <v>6793</v>
      </c>
      <c r="S1079" t="s">
        <v>6801</v>
      </c>
      <c r="T1079" t="s">
        <v>6824</v>
      </c>
      <c r="U1079">
        <v>1293</v>
      </c>
      <c r="V1079" t="s">
        <v>6837</v>
      </c>
      <c r="W1079" t="s">
        <v>6841</v>
      </c>
      <c r="Y1079" t="s">
        <v>7895</v>
      </c>
      <c r="Z1079" t="s">
        <v>8917</v>
      </c>
      <c r="AA1079" t="s">
        <v>9936</v>
      </c>
      <c r="AB1079">
        <v>70</v>
      </c>
      <c r="AC1079" t="s">
        <v>10929</v>
      </c>
      <c r="AD1079" t="s">
        <v>5741</v>
      </c>
      <c r="AE1079">
        <v>30</v>
      </c>
      <c r="AF1079">
        <v>2</v>
      </c>
      <c r="AG1079">
        <v>0</v>
      </c>
      <c r="AH1079">
        <v>276.76</v>
      </c>
      <c r="AK1079" t="s">
        <v>10966</v>
      </c>
      <c r="AL1079">
        <v>46800</v>
      </c>
      <c r="AR1079">
        <v>0.65</v>
      </c>
      <c r="AS1079" t="s">
        <v>6823</v>
      </c>
      <c r="AT1079" t="s">
        <v>186</v>
      </c>
      <c r="AU1079" t="s">
        <v>11228</v>
      </c>
      <c r="AV1079" t="s">
        <v>11231</v>
      </c>
      <c r="AW1079" t="s">
        <v>11159</v>
      </c>
    </row>
    <row r="1080" spans="1:49">
      <c r="A1080" s="1">
        <f>HYPERLINK("https://lsnyc.legalserver.org/matter/dynamic-profile/view/1905201","19-1905201")</f>
        <v>0</v>
      </c>
      <c r="B1080" t="s">
        <v>211</v>
      </c>
      <c r="C1080" t="s">
        <v>334</v>
      </c>
      <c r="D1080" t="s">
        <v>535</v>
      </c>
      <c r="E1080" t="s">
        <v>4094</v>
      </c>
      <c r="F1080" t="s">
        <v>5099</v>
      </c>
      <c r="G1080" t="s">
        <v>5635</v>
      </c>
      <c r="H1080">
        <v>10453</v>
      </c>
      <c r="I1080" t="s">
        <v>5695</v>
      </c>
      <c r="J1080" t="s">
        <v>5696</v>
      </c>
      <c r="K1080" t="s">
        <v>6136</v>
      </c>
      <c r="L1080" t="s">
        <v>6711</v>
      </c>
      <c r="M1080" t="s">
        <v>6737</v>
      </c>
      <c r="O1080" t="s">
        <v>6745</v>
      </c>
      <c r="P1080" t="s">
        <v>5695</v>
      </c>
      <c r="R1080" t="s">
        <v>6793</v>
      </c>
      <c r="T1080" t="s">
        <v>6831</v>
      </c>
      <c r="U1080">
        <v>880.27</v>
      </c>
      <c r="V1080" t="s">
        <v>6833</v>
      </c>
      <c r="W1080" t="s">
        <v>6838</v>
      </c>
      <c r="Y1080" t="s">
        <v>7896</v>
      </c>
      <c r="AA1080" t="s">
        <v>9937</v>
      </c>
      <c r="AB1080">
        <v>170</v>
      </c>
      <c r="AC1080" t="s">
        <v>10929</v>
      </c>
      <c r="AD1080" t="s">
        <v>5741</v>
      </c>
      <c r="AE1080">
        <v>20</v>
      </c>
      <c r="AF1080">
        <v>2</v>
      </c>
      <c r="AG1080">
        <v>4</v>
      </c>
      <c r="AH1080">
        <v>99.43000000000001</v>
      </c>
      <c r="AK1080" t="s">
        <v>10966</v>
      </c>
      <c r="AL1080">
        <v>34392</v>
      </c>
      <c r="AR1080">
        <v>0</v>
      </c>
      <c r="AT1080" t="s">
        <v>11176</v>
      </c>
      <c r="AU1080" t="s">
        <v>11228</v>
      </c>
      <c r="AV1080" t="s">
        <v>11231</v>
      </c>
      <c r="AW1080" t="s">
        <v>6808</v>
      </c>
    </row>
    <row r="1081" spans="1:49">
      <c r="A1081" s="1">
        <f>HYPERLINK("https://lsnyc.legalserver.org/matter/dynamic-profile/view/1905134","19-1905134")</f>
        <v>0</v>
      </c>
      <c r="B1081" t="s">
        <v>211</v>
      </c>
      <c r="C1081" t="s">
        <v>1064</v>
      </c>
      <c r="D1081" t="s">
        <v>1864</v>
      </c>
      <c r="E1081" t="s">
        <v>4021</v>
      </c>
      <c r="F1081" t="s">
        <v>5117</v>
      </c>
      <c r="G1081" t="s">
        <v>5635</v>
      </c>
      <c r="H1081">
        <v>10455</v>
      </c>
      <c r="I1081" t="s">
        <v>5695</v>
      </c>
      <c r="J1081" t="s">
        <v>5696</v>
      </c>
      <c r="L1081" t="s">
        <v>6711</v>
      </c>
      <c r="M1081" t="s">
        <v>6737</v>
      </c>
      <c r="O1081" t="s">
        <v>6745</v>
      </c>
      <c r="P1081" t="s">
        <v>5695</v>
      </c>
      <c r="R1081" t="s">
        <v>6793</v>
      </c>
      <c r="U1081">
        <v>1779</v>
      </c>
      <c r="V1081" t="s">
        <v>6833</v>
      </c>
      <c r="W1081" t="s">
        <v>6843</v>
      </c>
      <c r="Y1081" t="s">
        <v>7897</v>
      </c>
      <c r="AA1081" t="s">
        <v>9938</v>
      </c>
      <c r="AB1081">
        <v>99</v>
      </c>
      <c r="AC1081" t="s">
        <v>10929</v>
      </c>
      <c r="AD1081" t="s">
        <v>10949</v>
      </c>
      <c r="AE1081">
        <v>2</v>
      </c>
      <c r="AF1081">
        <v>1</v>
      </c>
      <c r="AG1081">
        <v>4</v>
      </c>
      <c r="AH1081">
        <v>120.65</v>
      </c>
      <c r="AK1081" t="s">
        <v>10966</v>
      </c>
      <c r="AL1081">
        <v>36400</v>
      </c>
      <c r="AR1081">
        <v>0</v>
      </c>
      <c r="AT1081" t="s">
        <v>11196</v>
      </c>
      <c r="AV1081" t="s">
        <v>11231</v>
      </c>
      <c r="AW1081" t="s">
        <v>6814</v>
      </c>
    </row>
    <row r="1082" spans="1:49">
      <c r="A1082" s="1">
        <f>HYPERLINK("https://lsnyc.legalserver.org/matter/dynamic-profile/view/1905034","19-1905034")</f>
        <v>0</v>
      </c>
      <c r="B1082" t="s">
        <v>211</v>
      </c>
      <c r="C1082" t="s">
        <v>540</v>
      </c>
      <c r="D1082" t="s">
        <v>2415</v>
      </c>
      <c r="E1082" t="s">
        <v>4094</v>
      </c>
      <c r="F1082" t="s">
        <v>5443</v>
      </c>
      <c r="G1082" t="s">
        <v>5635</v>
      </c>
      <c r="H1082">
        <v>10453</v>
      </c>
      <c r="I1082" t="s">
        <v>5695</v>
      </c>
      <c r="J1082" t="s">
        <v>5696</v>
      </c>
      <c r="K1082" t="s">
        <v>6137</v>
      </c>
      <c r="L1082" t="s">
        <v>6711</v>
      </c>
      <c r="M1082" t="s">
        <v>6737</v>
      </c>
      <c r="O1082" t="s">
        <v>6745</v>
      </c>
      <c r="P1082" t="s">
        <v>5695</v>
      </c>
      <c r="R1082" t="s">
        <v>6793</v>
      </c>
      <c r="T1082" t="s">
        <v>6831</v>
      </c>
      <c r="U1082">
        <v>1091</v>
      </c>
      <c r="V1082" t="s">
        <v>6833</v>
      </c>
      <c r="W1082" t="s">
        <v>6838</v>
      </c>
      <c r="Y1082" t="s">
        <v>7898</v>
      </c>
      <c r="AA1082" t="s">
        <v>9939</v>
      </c>
      <c r="AB1082">
        <v>167</v>
      </c>
      <c r="AC1082" t="s">
        <v>10929</v>
      </c>
      <c r="AD1082" t="s">
        <v>10946</v>
      </c>
      <c r="AE1082">
        <v>12</v>
      </c>
      <c r="AF1082">
        <v>1</v>
      </c>
      <c r="AG1082">
        <v>2</v>
      </c>
      <c r="AH1082">
        <v>41.63</v>
      </c>
      <c r="AK1082" t="s">
        <v>10967</v>
      </c>
      <c r="AL1082">
        <v>8880</v>
      </c>
      <c r="AR1082">
        <v>0</v>
      </c>
      <c r="AT1082" t="s">
        <v>219</v>
      </c>
      <c r="AU1082" t="s">
        <v>11228</v>
      </c>
      <c r="AV1082" t="s">
        <v>11231</v>
      </c>
      <c r="AW1082" t="s">
        <v>6814</v>
      </c>
    </row>
    <row r="1083" spans="1:49">
      <c r="A1083" s="1">
        <f>HYPERLINK("https://lsnyc.legalserver.org/matter/dynamic-profile/view/1905676","19-1905676")</f>
        <v>0</v>
      </c>
      <c r="B1083" t="s">
        <v>268</v>
      </c>
      <c r="C1083" t="s">
        <v>877</v>
      </c>
      <c r="D1083" t="s">
        <v>1431</v>
      </c>
      <c r="E1083" t="s">
        <v>4095</v>
      </c>
      <c r="F1083" t="s">
        <v>5130</v>
      </c>
      <c r="G1083" t="s">
        <v>5637</v>
      </c>
      <c r="H1083">
        <v>11226</v>
      </c>
      <c r="I1083" t="s">
        <v>5696</v>
      </c>
      <c r="J1083" t="s">
        <v>5696</v>
      </c>
      <c r="L1083" t="s">
        <v>6711</v>
      </c>
      <c r="M1083" t="s">
        <v>6737</v>
      </c>
      <c r="O1083" t="s">
        <v>6745</v>
      </c>
      <c r="P1083" t="s">
        <v>5695</v>
      </c>
      <c r="R1083" t="s">
        <v>6793</v>
      </c>
      <c r="T1083" t="s">
        <v>6823</v>
      </c>
      <c r="U1083">
        <v>0</v>
      </c>
      <c r="V1083" t="s">
        <v>6835</v>
      </c>
      <c r="Y1083" t="s">
        <v>7899</v>
      </c>
      <c r="AA1083" t="s">
        <v>9940</v>
      </c>
      <c r="AB1083">
        <v>0</v>
      </c>
      <c r="AE1083">
        <v>0</v>
      </c>
      <c r="AF1083">
        <v>1</v>
      </c>
      <c r="AG1083">
        <v>0</v>
      </c>
      <c r="AH1083">
        <v>96.08</v>
      </c>
      <c r="AK1083" t="s">
        <v>10974</v>
      </c>
      <c r="AL1083">
        <v>12000</v>
      </c>
      <c r="AR1083">
        <v>0.2</v>
      </c>
      <c r="AS1083" t="s">
        <v>6823</v>
      </c>
      <c r="AT1083" t="s">
        <v>77</v>
      </c>
      <c r="AV1083" t="s">
        <v>11231</v>
      </c>
      <c r="AW1083" t="s">
        <v>6823</v>
      </c>
    </row>
    <row r="1084" spans="1:49">
      <c r="A1084" s="1">
        <f>HYPERLINK("https://lsnyc.legalserver.org/matter/dynamic-profile/view/1905112","19-1905112")</f>
        <v>0</v>
      </c>
      <c r="B1084" t="s">
        <v>211</v>
      </c>
      <c r="C1084" t="s">
        <v>1022</v>
      </c>
      <c r="D1084" t="s">
        <v>2358</v>
      </c>
      <c r="E1084" t="s">
        <v>4021</v>
      </c>
      <c r="F1084" t="s">
        <v>5305</v>
      </c>
      <c r="G1084" t="s">
        <v>5635</v>
      </c>
      <c r="H1084">
        <v>10455</v>
      </c>
      <c r="I1084" t="s">
        <v>5695</v>
      </c>
      <c r="J1084" t="s">
        <v>5696</v>
      </c>
      <c r="L1084" t="s">
        <v>6711</v>
      </c>
      <c r="M1084" t="s">
        <v>6737</v>
      </c>
      <c r="O1084" t="s">
        <v>6745</v>
      </c>
      <c r="P1084" t="s">
        <v>5695</v>
      </c>
      <c r="R1084" t="s">
        <v>6793</v>
      </c>
      <c r="U1084">
        <v>1515</v>
      </c>
      <c r="V1084" t="s">
        <v>6833</v>
      </c>
      <c r="W1084" t="s">
        <v>6843</v>
      </c>
      <c r="Y1084" t="s">
        <v>7813</v>
      </c>
      <c r="AA1084" t="s">
        <v>9867</v>
      </c>
      <c r="AB1084">
        <v>49</v>
      </c>
      <c r="AC1084" t="s">
        <v>10929</v>
      </c>
      <c r="AD1084" t="s">
        <v>5741</v>
      </c>
      <c r="AE1084">
        <v>3</v>
      </c>
      <c r="AF1084">
        <v>1</v>
      </c>
      <c r="AG1084">
        <v>2</v>
      </c>
      <c r="AH1084">
        <v>11.7</v>
      </c>
      <c r="AK1084" t="s">
        <v>10966</v>
      </c>
      <c r="AL1084">
        <v>2496</v>
      </c>
      <c r="AR1084">
        <v>0</v>
      </c>
      <c r="AT1084" t="s">
        <v>11196</v>
      </c>
      <c r="AV1084" t="s">
        <v>11231</v>
      </c>
      <c r="AW1084" t="s">
        <v>6814</v>
      </c>
    </row>
    <row r="1085" spans="1:49">
      <c r="A1085" s="1">
        <f>HYPERLINK("https://lsnyc.legalserver.org/matter/dynamic-profile/view/1904334","19-1904334")</f>
        <v>0</v>
      </c>
      <c r="B1085" t="s">
        <v>211</v>
      </c>
      <c r="C1085" t="s">
        <v>1022</v>
      </c>
      <c r="D1085" t="s">
        <v>2358</v>
      </c>
      <c r="E1085" t="s">
        <v>4021</v>
      </c>
      <c r="F1085" t="s">
        <v>5305</v>
      </c>
      <c r="G1085" t="s">
        <v>5635</v>
      </c>
      <c r="H1085">
        <v>10455</v>
      </c>
      <c r="I1085" t="s">
        <v>5695</v>
      </c>
      <c r="J1085" t="s">
        <v>5696</v>
      </c>
      <c r="L1085" t="s">
        <v>6711</v>
      </c>
      <c r="M1085" t="s">
        <v>6737</v>
      </c>
      <c r="O1085" t="s">
        <v>6745</v>
      </c>
      <c r="P1085" t="s">
        <v>5697</v>
      </c>
      <c r="R1085" t="s">
        <v>6793</v>
      </c>
      <c r="U1085">
        <v>600</v>
      </c>
      <c r="V1085" t="s">
        <v>6833</v>
      </c>
      <c r="W1085" t="s">
        <v>6843</v>
      </c>
      <c r="Y1085" t="s">
        <v>7813</v>
      </c>
      <c r="AA1085" t="s">
        <v>9867</v>
      </c>
      <c r="AB1085">
        <v>49</v>
      </c>
      <c r="AC1085" t="s">
        <v>10929</v>
      </c>
      <c r="AD1085" t="s">
        <v>10946</v>
      </c>
      <c r="AE1085">
        <v>4</v>
      </c>
      <c r="AF1085">
        <v>1</v>
      </c>
      <c r="AG1085">
        <v>2</v>
      </c>
      <c r="AH1085">
        <v>11.7</v>
      </c>
      <c r="AK1085" t="s">
        <v>10966</v>
      </c>
      <c r="AL1085">
        <v>2496</v>
      </c>
      <c r="AR1085">
        <v>7</v>
      </c>
      <c r="AS1085" t="s">
        <v>6808</v>
      </c>
      <c r="AT1085" t="s">
        <v>93</v>
      </c>
      <c r="AU1085" t="s">
        <v>11228</v>
      </c>
      <c r="AV1085" t="s">
        <v>11231</v>
      </c>
      <c r="AW1085" t="s">
        <v>6813</v>
      </c>
    </row>
    <row r="1086" spans="1:49">
      <c r="A1086" s="1">
        <f>HYPERLINK("https://lsnyc.legalserver.org/matter/dynamic-profile/view/1904906","19-1904906")</f>
        <v>0</v>
      </c>
      <c r="B1086" t="s">
        <v>211</v>
      </c>
      <c r="C1086" t="s">
        <v>1065</v>
      </c>
      <c r="D1086" t="s">
        <v>2416</v>
      </c>
      <c r="E1086" t="s">
        <v>4094</v>
      </c>
      <c r="F1086" t="s">
        <v>5444</v>
      </c>
      <c r="G1086" t="s">
        <v>5635</v>
      </c>
      <c r="H1086">
        <v>10453</v>
      </c>
      <c r="I1086" t="s">
        <v>5695</v>
      </c>
      <c r="J1086" t="s">
        <v>5696</v>
      </c>
      <c r="K1086" t="s">
        <v>6137</v>
      </c>
      <c r="L1086" t="s">
        <v>6711</v>
      </c>
      <c r="M1086" t="s">
        <v>6737</v>
      </c>
      <c r="O1086" t="s">
        <v>6745</v>
      </c>
      <c r="P1086" t="s">
        <v>5695</v>
      </c>
      <c r="R1086" t="s">
        <v>6793</v>
      </c>
      <c r="T1086" t="s">
        <v>6831</v>
      </c>
      <c r="U1086">
        <v>1172</v>
      </c>
      <c r="V1086" t="s">
        <v>6833</v>
      </c>
      <c r="W1086" t="s">
        <v>6838</v>
      </c>
      <c r="Y1086" t="s">
        <v>7900</v>
      </c>
      <c r="AA1086" t="s">
        <v>9941</v>
      </c>
      <c r="AB1086">
        <v>167</v>
      </c>
      <c r="AC1086" t="s">
        <v>10929</v>
      </c>
      <c r="AD1086" t="s">
        <v>10946</v>
      </c>
      <c r="AE1086">
        <v>16</v>
      </c>
      <c r="AF1086">
        <v>2</v>
      </c>
      <c r="AG1086">
        <v>3</v>
      </c>
      <c r="AH1086">
        <v>51.26</v>
      </c>
      <c r="AK1086" t="s">
        <v>10967</v>
      </c>
      <c r="AL1086">
        <v>15080</v>
      </c>
      <c r="AR1086">
        <v>0</v>
      </c>
      <c r="AT1086" t="s">
        <v>11196</v>
      </c>
      <c r="AU1086" t="s">
        <v>11228</v>
      </c>
      <c r="AV1086" t="s">
        <v>11231</v>
      </c>
      <c r="AW1086" t="s">
        <v>6812</v>
      </c>
    </row>
    <row r="1087" spans="1:49">
      <c r="A1087" s="1">
        <f>HYPERLINK("https://lsnyc.legalserver.org/matter/dynamic-profile/view/1904342","19-1904342")</f>
        <v>0</v>
      </c>
      <c r="B1087" t="s">
        <v>211</v>
      </c>
      <c r="C1087" t="s">
        <v>926</v>
      </c>
      <c r="D1087" t="s">
        <v>2417</v>
      </c>
      <c r="E1087" t="s">
        <v>4021</v>
      </c>
      <c r="F1087" t="s">
        <v>5445</v>
      </c>
      <c r="G1087" t="s">
        <v>5635</v>
      </c>
      <c r="H1087">
        <v>10455</v>
      </c>
      <c r="I1087" t="s">
        <v>5695</v>
      </c>
      <c r="J1087" t="s">
        <v>5696</v>
      </c>
      <c r="L1087" t="s">
        <v>6711</v>
      </c>
      <c r="M1087" t="s">
        <v>6737</v>
      </c>
      <c r="O1087" t="s">
        <v>6745</v>
      </c>
      <c r="R1087" t="s">
        <v>6793</v>
      </c>
      <c r="U1087">
        <v>1500</v>
      </c>
      <c r="V1087" t="s">
        <v>6833</v>
      </c>
      <c r="W1087" t="s">
        <v>6844</v>
      </c>
      <c r="Y1087" t="s">
        <v>7901</v>
      </c>
      <c r="AA1087" t="s">
        <v>9942</v>
      </c>
      <c r="AB1087">
        <v>49</v>
      </c>
      <c r="AC1087" t="s">
        <v>10929</v>
      </c>
      <c r="AD1087" t="s">
        <v>5741</v>
      </c>
      <c r="AE1087">
        <v>4</v>
      </c>
      <c r="AF1087">
        <v>2</v>
      </c>
      <c r="AG1087">
        <v>0</v>
      </c>
      <c r="AH1087">
        <v>0</v>
      </c>
      <c r="AK1087" t="s">
        <v>10967</v>
      </c>
      <c r="AL1087">
        <v>0</v>
      </c>
      <c r="AR1087">
        <v>1.5</v>
      </c>
      <c r="AS1087" t="s">
        <v>6813</v>
      </c>
      <c r="AT1087" t="s">
        <v>93</v>
      </c>
      <c r="AU1087" t="s">
        <v>11228</v>
      </c>
      <c r="AV1087" t="s">
        <v>11231</v>
      </c>
      <c r="AW1087" t="s">
        <v>6813</v>
      </c>
    </row>
    <row r="1088" spans="1:49">
      <c r="A1088" s="1">
        <f>HYPERLINK("https://lsnyc.legalserver.org/matter/dynamic-profile/view/1905147","19-1905147")</f>
        <v>0</v>
      </c>
      <c r="B1088" t="s">
        <v>211</v>
      </c>
      <c r="C1088" t="s">
        <v>926</v>
      </c>
      <c r="D1088" t="s">
        <v>2417</v>
      </c>
      <c r="E1088" t="s">
        <v>4021</v>
      </c>
      <c r="F1088" t="s">
        <v>5445</v>
      </c>
      <c r="G1088" t="s">
        <v>5635</v>
      </c>
      <c r="H1088">
        <v>10455</v>
      </c>
      <c r="I1088" t="s">
        <v>5695</v>
      </c>
      <c r="J1088" t="s">
        <v>5696</v>
      </c>
      <c r="L1088" t="s">
        <v>6711</v>
      </c>
      <c r="M1088" t="s">
        <v>6737</v>
      </c>
      <c r="O1088" t="s">
        <v>6745</v>
      </c>
      <c r="P1088" t="s">
        <v>5695</v>
      </c>
      <c r="R1088" t="s">
        <v>6793</v>
      </c>
      <c r="U1088">
        <v>1421</v>
      </c>
      <c r="V1088" t="s">
        <v>6833</v>
      </c>
      <c r="W1088" t="s">
        <v>6843</v>
      </c>
      <c r="Y1088" t="s">
        <v>7901</v>
      </c>
      <c r="AA1088" t="s">
        <v>9942</v>
      </c>
      <c r="AB1088">
        <v>49</v>
      </c>
      <c r="AC1088" t="s">
        <v>10929</v>
      </c>
      <c r="AD1088" t="s">
        <v>5741</v>
      </c>
      <c r="AE1088">
        <v>5</v>
      </c>
      <c r="AF1088">
        <v>2</v>
      </c>
      <c r="AG1088">
        <v>0</v>
      </c>
      <c r="AH1088">
        <v>0</v>
      </c>
      <c r="AK1088" t="s">
        <v>10967</v>
      </c>
      <c r="AL1088">
        <v>0</v>
      </c>
      <c r="AR1088">
        <v>0</v>
      </c>
      <c r="AT1088" t="s">
        <v>11196</v>
      </c>
      <c r="AV1088" t="s">
        <v>11231</v>
      </c>
      <c r="AW1088" t="s">
        <v>6814</v>
      </c>
    </row>
    <row r="1089" spans="1:49">
      <c r="A1089" s="1">
        <f>HYPERLINK("https://lsnyc.legalserver.org/matter/dynamic-profile/view/1904754","19-1904754")</f>
        <v>0</v>
      </c>
      <c r="B1089" t="s">
        <v>207</v>
      </c>
      <c r="C1089" t="s">
        <v>345</v>
      </c>
      <c r="D1089" t="s">
        <v>1739</v>
      </c>
      <c r="E1089" t="s">
        <v>4096</v>
      </c>
      <c r="F1089" t="s">
        <v>5187</v>
      </c>
      <c r="G1089" t="s">
        <v>5635</v>
      </c>
      <c r="H1089">
        <v>10456</v>
      </c>
      <c r="I1089" t="s">
        <v>5695</v>
      </c>
      <c r="J1089" t="s">
        <v>5696</v>
      </c>
      <c r="L1089" t="s">
        <v>6711</v>
      </c>
      <c r="M1089" t="s">
        <v>6737</v>
      </c>
      <c r="O1089" t="s">
        <v>6745</v>
      </c>
      <c r="P1089" t="s">
        <v>5695</v>
      </c>
      <c r="R1089" t="s">
        <v>6793</v>
      </c>
      <c r="U1089">
        <v>380.89</v>
      </c>
      <c r="V1089" t="s">
        <v>6833</v>
      </c>
      <c r="W1089" t="s">
        <v>6852</v>
      </c>
      <c r="Y1089" t="s">
        <v>7902</v>
      </c>
      <c r="Z1089" t="s">
        <v>8995</v>
      </c>
      <c r="AA1089" t="s">
        <v>9943</v>
      </c>
      <c r="AB1089">
        <v>17</v>
      </c>
      <c r="AC1089" t="s">
        <v>10936</v>
      </c>
      <c r="AD1089" t="s">
        <v>10945</v>
      </c>
      <c r="AE1089">
        <v>50</v>
      </c>
      <c r="AF1089">
        <v>3</v>
      </c>
      <c r="AG1089">
        <v>0</v>
      </c>
      <c r="AH1089">
        <v>43.38</v>
      </c>
      <c r="AK1089" t="s">
        <v>10967</v>
      </c>
      <c r="AL1089">
        <v>9252</v>
      </c>
      <c r="AR1089">
        <v>0.5</v>
      </c>
      <c r="AS1089" t="s">
        <v>6809</v>
      </c>
      <c r="AT1089" t="s">
        <v>213</v>
      </c>
      <c r="AU1089" t="s">
        <v>11228</v>
      </c>
      <c r="AV1089" t="s">
        <v>11231</v>
      </c>
      <c r="AW1089" t="s">
        <v>6809</v>
      </c>
    </row>
    <row r="1090" spans="1:49">
      <c r="A1090" s="1">
        <f>HYPERLINK("https://lsnyc.legalserver.org/matter/dynamic-profile/view/1905957","19-1905957")</f>
        <v>0</v>
      </c>
      <c r="B1090" t="s">
        <v>213</v>
      </c>
      <c r="C1090" t="s">
        <v>1066</v>
      </c>
      <c r="D1090" t="s">
        <v>2418</v>
      </c>
      <c r="E1090" t="s">
        <v>4097</v>
      </c>
      <c r="F1090" t="s">
        <v>5128</v>
      </c>
      <c r="G1090" t="s">
        <v>5635</v>
      </c>
      <c r="H1090">
        <v>10452</v>
      </c>
      <c r="I1090" t="s">
        <v>5695</v>
      </c>
      <c r="J1090" t="s">
        <v>5696</v>
      </c>
      <c r="L1090" t="s">
        <v>6711</v>
      </c>
      <c r="M1090" t="s">
        <v>6737</v>
      </c>
      <c r="O1090" t="s">
        <v>6745</v>
      </c>
      <c r="P1090" t="s">
        <v>5695</v>
      </c>
      <c r="R1090" t="s">
        <v>6793</v>
      </c>
      <c r="U1090">
        <v>1728.15</v>
      </c>
      <c r="V1090" t="s">
        <v>6833</v>
      </c>
      <c r="W1090" t="s">
        <v>6838</v>
      </c>
      <c r="Y1090" t="s">
        <v>7903</v>
      </c>
      <c r="AA1090" t="s">
        <v>9944</v>
      </c>
      <c r="AB1090">
        <v>52</v>
      </c>
      <c r="AC1090" t="s">
        <v>10929</v>
      </c>
      <c r="AD1090" t="s">
        <v>5741</v>
      </c>
      <c r="AE1090">
        <v>8</v>
      </c>
      <c r="AF1090">
        <v>2</v>
      </c>
      <c r="AG1090">
        <v>0</v>
      </c>
      <c r="AH1090">
        <v>679.74</v>
      </c>
      <c r="AK1090" t="s">
        <v>10966</v>
      </c>
      <c r="AL1090">
        <v>114944.72</v>
      </c>
      <c r="AR1090">
        <v>0.6</v>
      </c>
      <c r="AS1090" t="s">
        <v>6826</v>
      </c>
      <c r="AT1090" t="s">
        <v>213</v>
      </c>
      <c r="AU1090" t="s">
        <v>11228</v>
      </c>
      <c r="AV1090" t="s">
        <v>11231</v>
      </c>
      <c r="AW1090" t="s">
        <v>6826</v>
      </c>
    </row>
    <row r="1091" spans="1:49">
      <c r="A1091" s="1">
        <f>HYPERLINK("https://lsnyc.legalserver.org/matter/dynamic-profile/view/1900774","19-1900774")</f>
        <v>0</v>
      </c>
      <c r="B1091" t="s">
        <v>186</v>
      </c>
      <c r="C1091" t="s">
        <v>1067</v>
      </c>
      <c r="D1091" t="s">
        <v>1664</v>
      </c>
      <c r="E1091" t="s">
        <v>3928</v>
      </c>
      <c r="F1091" t="s">
        <v>5446</v>
      </c>
      <c r="G1091" t="s">
        <v>5662</v>
      </c>
      <c r="H1091">
        <v>11368</v>
      </c>
      <c r="I1091" t="s">
        <v>5695</v>
      </c>
      <c r="J1091" t="s">
        <v>5696</v>
      </c>
      <c r="K1091" t="s">
        <v>6138</v>
      </c>
      <c r="L1091" t="s">
        <v>6711</v>
      </c>
      <c r="M1091" t="s">
        <v>6737</v>
      </c>
      <c r="O1091" t="s">
        <v>6745</v>
      </c>
      <c r="P1091" t="s">
        <v>5695</v>
      </c>
      <c r="R1091" t="s">
        <v>6793</v>
      </c>
      <c r="S1091" t="s">
        <v>6801</v>
      </c>
      <c r="T1091" t="s">
        <v>6824</v>
      </c>
      <c r="U1091">
        <v>940</v>
      </c>
      <c r="V1091" t="s">
        <v>6837</v>
      </c>
      <c r="W1091" t="s">
        <v>6841</v>
      </c>
      <c r="Y1091" t="s">
        <v>7904</v>
      </c>
      <c r="Z1091" t="s">
        <v>8917</v>
      </c>
      <c r="AA1091" t="s">
        <v>9945</v>
      </c>
      <c r="AB1091">
        <v>50</v>
      </c>
      <c r="AC1091" t="s">
        <v>10929</v>
      </c>
      <c r="AD1091" t="s">
        <v>5741</v>
      </c>
      <c r="AE1091">
        <v>19</v>
      </c>
      <c r="AF1091">
        <v>1</v>
      </c>
      <c r="AG1091">
        <v>0</v>
      </c>
      <c r="AH1091">
        <v>129.7</v>
      </c>
      <c r="AK1091" t="s">
        <v>10966</v>
      </c>
      <c r="AL1091">
        <v>16200</v>
      </c>
      <c r="AR1091">
        <v>0.75</v>
      </c>
      <c r="AS1091" t="s">
        <v>6823</v>
      </c>
      <c r="AT1091" t="s">
        <v>186</v>
      </c>
      <c r="AU1091" t="s">
        <v>11228</v>
      </c>
      <c r="AV1091" t="s">
        <v>11231</v>
      </c>
      <c r="AW1091" t="s">
        <v>11234</v>
      </c>
    </row>
    <row r="1092" spans="1:49">
      <c r="A1092" s="1">
        <f>HYPERLINK("https://lsnyc.legalserver.org/matter/dynamic-profile/view/1905123","19-1905123")</f>
        <v>0</v>
      </c>
      <c r="B1092" t="s">
        <v>211</v>
      </c>
      <c r="C1092" t="s">
        <v>472</v>
      </c>
      <c r="D1092" t="s">
        <v>2419</v>
      </c>
      <c r="E1092" t="s">
        <v>4021</v>
      </c>
      <c r="F1092" t="s">
        <v>5447</v>
      </c>
      <c r="G1092" t="s">
        <v>5635</v>
      </c>
      <c r="H1092">
        <v>10455</v>
      </c>
      <c r="I1092" t="s">
        <v>5695</v>
      </c>
      <c r="J1092" t="s">
        <v>5696</v>
      </c>
      <c r="L1092" t="s">
        <v>6711</v>
      </c>
      <c r="M1092" t="s">
        <v>6737</v>
      </c>
      <c r="O1092" t="s">
        <v>6745</v>
      </c>
      <c r="P1092" t="s">
        <v>5695</v>
      </c>
      <c r="R1092" t="s">
        <v>6793</v>
      </c>
      <c r="U1092">
        <v>1534</v>
      </c>
      <c r="V1092" t="s">
        <v>6833</v>
      </c>
      <c r="W1092" t="s">
        <v>6843</v>
      </c>
      <c r="Y1092" t="s">
        <v>7905</v>
      </c>
      <c r="AA1092" t="s">
        <v>9946</v>
      </c>
      <c r="AB1092">
        <v>99</v>
      </c>
      <c r="AC1092" t="s">
        <v>10929</v>
      </c>
      <c r="AD1092" t="s">
        <v>10949</v>
      </c>
      <c r="AE1092">
        <v>1</v>
      </c>
      <c r="AF1092">
        <v>1</v>
      </c>
      <c r="AG1092">
        <v>3</v>
      </c>
      <c r="AH1092">
        <v>18.92</v>
      </c>
      <c r="AK1092" t="s">
        <v>10966</v>
      </c>
      <c r="AL1092">
        <v>4870.8</v>
      </c>
      <c r="AR1092">
        <v>0</v>
      </c>
      <c r="AT1092" t="s">
        <v>11196</v>
      </c>
      <c r="AV1092" t="s">
        <v>11231</v>
      </c>
      <c r="AW1092" t="s">
        <v>6814</v>
      </c>
    </row>
    <row r="1093" spans="1:49">
      <c r="A1093" s="1">
        <f>HYPERLINK("https://lsnyc.legalserver.org/matter/dynamic-profile/view/1898330","19-1898330")</f>
        <v>0</v>
      </c>
      <c r="B1093" t="s">
        <v>209</v>
      </c>
      <c r="C1093" t="s">
        <v>763</v>
      </c>
      <c r="D1093" t="s">
        <v>2404</v>
      </c>
      <c r="E1093" t="s">
        <v>4080</v>
      </c>
      <c r="F1093" t="s">
        <v>5316</v>
      </c>
      <c r="G1093" t="s">
        <v>5635</v>
      </c>
      <c r="H1093">
        <v>10467</v>
      </c>
      <c r="I1093" t="s">
        <v>5695</v>
      </c>
      <c r="J1093" t="s">
        <v>5695</v>
      </c>
      <c r="L1093" t="s">
        <v>6711</v>
      </c>
      <c r="M1093" t="s">
        <v>6737</v>
      </c>
      <c r="O1093" t="s">
        <v>6745</v>
      </c>
      <c r="P1093" t="s">
        <v>5695</v>
      </c>
      <c r="R1093" t="s">
        <v>6793</v>
      </c>
      <c r="U1093">
        <v>752</v>
      </c>
      <c r="V1093" t="s">
        <v>6833</v>
      </c>
      <c r="W1093" t="s">
        <v>6838</v>
      </c>
      <c r="Y1093" t="s">
        <v>7881</v>
      </c>
      <c r="AA1093" t="s">
        <v>9924</v>
      </c>
      <c r="AB1093">
        <v>60</v>
      </c>
      <c r="AC1093" t="s">
        <v>10929</v>
      </c>
      <c r="AD1093" t="s">
        <v>5741</v>
      </c>
      <c r="AE1093">
        <v>19</v>
      </c>
      <c r="AF1093">
        <v>1</v>
      </c>
      <c r="AG1093">
        <v>0</v>
      </c>
      <c r="AH1093">
        <v>340.27</v>
      </c>
      <c r="AK1093" t="s">
        <v>10966</v>
      </c>
      <c r="AL1093">
        <v>42500</v>
      </c>
      <c r="AR1093">
        <v>0</v>
      </c>
      <c r="AT1093" t="s">
        <v>11176</v>
      </c>
      <c r="AV1093" t="s">
        <v>11231</v>
      </c>
      <c r="AW1093" t="s">
        <v>10956</v>
      </c>
    </row>
    <row r="1094" spans="1:49">
      <c r="A1094" s="1">
        <f>HYPERLINK("https://lsnyc.legalserver.org/matter/dynamic-profile/view/1905120","19-1905120")</f>
        <v>0</v>
      </c>
      <c r="B1094" t="s">
        <v>211</v>
      </c>
      <c r="C1094" t="s">
        <v>1068</v>
      </c>
      <c r="D1094" t="s">
        <v>2420</v>
      </c>
      <c r="E1094" t="s">
        <v>4021</v>
      </c>
      <c r="G1094" t="s">
        <v>5635</v>
      </c>
      <c r="H1094">
        <v>10455</v>
      </c>
      <c r="I1094" t="s">
        <v>5695</v>
      </c>
      <c r="J1094" t="s">
        <v>5696</v>
      </c>
      <c r="L1094" t="s">
        <v>6711</v>
      </c>
      <c r="M1094" t="s">
        <v>6737</v>
      </c>
      <c r="O1094" t="s">
        <v>6745</v>
      </c>
      <c r="P1094" t="s">
        <v>5695</v>
      </c>
      <c r="R1094" t="s">
        <v>6793</v>
      </c>
      <c r="U1094">
        <v>222.4</v>
      </c>
      <c r="V1094" t="s">
        <v>6833</v>
      </c>
      <c r="W1094" t="s">
        <v>6843</v>
      </c>
      <c r="Y1094" t="s">
        <v>7906</v>
      </c>
      <c r="AA1094" t="s">
        <v>9947</v>
      </c>
      <c r="AB1094">
        <v>99</v>
      </c>
      <c r="AC1094" t="s">
        <v>10929</v>
      </c>
      <c r="AD1094" t="s">
        <v>5741</v>
      </c>
      <c r="AE1094">
        <v>1</v>
      </c>
      <c r="AF1094">
        <v>1</v>
      </c>
      <c r="AG1094">
        <v>0</v>
      </c>
      <c r="AH1094">
        <v>83.68000000000001</v>
      </c>
      <c r="AK1094" t="s">
        <v>10966</v>
      </c>
      <c r="AL1094">
        <v>10452</v>
      </c>
      <c r="AR1094">
        <v>0</v>
      </c>
      <c r="AT1094" t="s">
        <v>11196</v>
      </c>
      <c r="AV1094" t="s">
        <v>11231</v>
      </c>
      <c r="AW1094" t="s">
        <v>6814</v>
      </c>
    </row>
    <row r="1095" spans="1:49">
      <c r="A1095" s="1">
        <f>HYPERLINK("https://lsnyc.legalserver.org/matter/dynamic-profile/view/1905257","19-1905257")</f>
        <v>0</v>
      </c>
      <c r="B1095" t="s">
        <v>234</v>
      </c>
      <c r="C1095" t="s">
        <v>348</v>
      </c>
      <c r="D1095" t="s">
        <v>2421</v>
      </c>
      <c r="E1095" t="s">
        <v>3758</v>
      </c>
      <c r="F1095" t="s">
        <v>5154</v>
      </c>
      <c r="G1095" t="s">
        <v>5638</v>
      </c>
      <c r="H1095">
        <v>10024</v>
      </c>
      <c r="I1095" t="s">
        <v>5695</v>
      </c>
      <c r="J1095" t="s">
        <v>5696</v>
      </c>
      <c r="L1095" t="s">
        <v>6711</v>
      </c>
      <c r="M1095" t="s">
        <v>6737</v>
      </c>
      <c r="O1095" t="s">
        <v>6745</v>
      </c>
      <c r="P1095" t="s">
        <v>5695</v>
      </c>
      <c r="R1095" t="s">
        <v>6793</v>
      </c>
      <c r="S1095" t="s">
        <v>6801</v>
      </c>
      <c r="T1095" t="s">
        <v>6808</v>
      </c>
      <c r="U1095">
        <v>1009</v>
      </c>
      <c r="V1095" t="s">
        <v>6836</v>
      </c>
      <c r="W1095" t="s">
        <v>6845</v>
      </c>
      <c r="Y1095" t="s">
        <v>7907</v>
      </c>
      <c r="AA1095" t="s">
        <v>9948</v>
      </c>
      <c r="AB1095">
        <v>10</v>
      </c>
      <c r="AC1095" t="s">
        <v>10929</v>
      </c>
      <c r="AD1095" t="s">
        <v>5741</v>
      </c>
      <c r="AE1095">
        <v>42</v>
      </c>
      <c r="AF1095">
        <v>1</v>
      </c>
      <c r="AG1095">
        <v>0</v>
      </c>
      <c r="AH1095">
        <v>424.34</v>
      </c>
      <c r="AK1095" t="s">
        <v>10966</v>
      </c>
      <c r="AL1095">
        <v>53000</v>
      </c>
      <c r="AR1095">
        <v>0</v>
      </c>
      <c r="AT1095" t="s">
        <v>11219</v>
      </c>
      <c r="AU1095" t="s">
        <v>11228</v>
      </c>
      <c r="AV1095" t="s">
        <v>11231</v>
      </c>
      <c r="AW1095" t="s">
        <v>6808</v>
      </c>
    </row>
    <row r="1096" spans="1:49">
      <c r="A1096" s="1">
        <f>HYPERLINK("https://lsnyc.legalserver.org/matter/dynamic-profile/view/1905248","19-1905248")</f>
        <v>0</v>
      </c>
      <c r="B1096" t="s">
        <v>234</v>
      </c>
      <c r="C1096" t="s">
        <v>402</v>
      </c>
      <c r="D1096" t="s">
        <v>2422</v>
      </c>
      <c r="E1096" t="s">
        <v>3758</v>
      </c>
      <c r="F1096" t="s">
        <v>5248</v>
      </c>
      <c r="G1096" t="s">
        <v>5638</v>
      </c>
      <c r="H1096">
        <v>10024</v>
      </c>
      <c r="I1096" t="s">
        <v>5695</v>
      </c>
      <c r="J1096" t="s">
        <v>5696</v>
      </c>
      <c r="L1096" t="s">
        <v>6711</v>
      </c>
      <c r="M1096" t="s">
        <v>6737</v>
      </c>
      <c r="O1096" t="s">
        <v>6745</v>
      </c>
      <c r="P1096" t="s">
        <v>5695</v>
      </c>
      <c r="R1096" t="s">
        <v>6793</v>
      </c>
      <c r="S1096" t="s">
        <v>6801</v>
      </c>
      <c r="T1096" t="s">
        <v>6808</v>
      </c>
      <c r="U1096">
        <v>792.7</v>
      </c>
      <c r="V1096" t="s">
        <v>6836</v>
      </c>
      <c r="W1096" t="s">
        <v>6845</v>
      </c>
      <c r="Y1096" t="s">
        <v>7908</v>
      </c>
      <c r="AA1096" t="s">
        <v>9949</v>
      </c>
      <c r="AB1096">
        <v>10</v>
      </c>
      <c r="AC1096" t="s">
        <v>10929</v>
      </c>
      <c r="AD1096" t="s">
        <v>10945</v>
      </c>
      <c r="AE1096">
        <v>39</v>
      </c>
      <c r="AF1096">
        <v>1</v>
      </c>
      <c r="AG1096">
        <v>0</v>
      </c>
      <c r="AH1096">
        <v>144.12</v>
      </c>
      <c r="AK1096" t="s">
        <v>10966</v>
      </c>
      <c r="AL1096">
        <v>18000</v>
      </c>
      <c r="AR1096">
        <v>0</v>
      </c>
      <c r="AT1096" t="s">
        <v>11219</v>
      </c>
      <c r="AU1096" t="s">
        <v>11228</v>
      </c>
      <c r="AV1096" t="s">
        <v>11231</v>
      </c>
      <c r="AW1096" t="s">
        <v>6808</v>
      </c>
    </row>
    <row r="1097" spans="1:49">
      <c r="A1097" s="1">
        <f>HYPERLINK("https://lsnyc.legalserver.org/matter/dynamic-profile/view/1904977","19-1904977")</f>
        <v>0</v>
      </c>
      <c r="B1097" t="s">
        <v>211</v>
      </c>
      <c r="C1097" t="s">
        <v>964</v>
      </c>
      <c r="D1097" t="s">
        <v>2423</v>
      </c>
      <c r="E1097" t="s">
        <v>4094</v>
      </c>
      <c r="F1097" t="s">
        <v>5273</v>
      </c>
      <c r="G1097" t="s">
        <v>5635</v>
      </c>
      <c r="H1097">
        <v>10453</v>
      </c>
      <c r="I1097" t="s">
        <v>5695</v>
      </c>
      <c r="J1097" t="s">
        <v>5696</v>
      </c>
      <c r="K1097" t="s">
        <v>6137</v>
      </c>
      <c r="L1097" t="s">
        <v>6711</v>
      </c>
      <c r="M1097" t="s">
        <v>6737</v>
      </c>
      <c r="O1097" t="s">
        <v>6745</v>
      </c>
      <c r="P1097" t="s">
        <v>5695</v>
      </c>
      <c r="R1097" t="s">
        <v>6793</v>
      </c>
      <c r="T1097" t="s">
        <v>6831</v>
      </c>
      <c r="U1097">
        <v>1140</v>
      </c>
      <c r="V1097" t="s">
        <v>6833</v>
      </c>
      <c r="W1097" t="s">
        <v>6838</v>
      </c>
      <c r="Y1097" t="s">
        <v>7909</v>
      </c>
      <c r="AA1097" t="s">
        <v>9950</v>
      </c>
      <c r="AB1097">
        <v>170</v>
      </c>
      <c r="AC1097" t="s">
        <v>10929</v>
      </c>
      <c r="AD1097" t="s">
        <v>5741</v>
      </c>
      <c r="AE1097">
        <v>6</v>
      </c>
      <c r="AF1097">
        <v>1</v>
      </c>
      <c r="AG1097">
        <v>1</v>
      </c>
      <c r="AH1097">
        <v>187.89</v>
      </c>
      <c r="AK1097" t="s">
        <v>10967</v>
      </c>
      <c r="AL1097">
        <v>31772</v>
      </c>
      <c r="AR1097">
        <v>0</v>
      </c>
      <c r="AT1097" t="s">
        <v>11196</v>
      </c>
      <c r="AU1097" t="s">
        <v>11228</v>
      </c>
      <c r="AV1097" t="s">
        <v>11231</v>
      </c>
      <c r="AW1097" t="s">
        <v>6812</v>
      </c>
    </row>
    <row r="1098" spans="1:49">
      <c r="A1098" s="1">
        <f>HYPERLINK("https://lsnyc.legalserver.org/matter/dynamic-profile/view/1904796","19-1904796")</f>
        <v>0</v>
      </c>
      <c r="B1098" t="s">
        <v>142</v>
      </c>
      <c r="C1098" t="s">
        <v>1069</v>
      </c>
      <c r="D1098" t="s">
        <v>2424</v>
      </c>
      <c r="E1098" t="s">
        <v>4098</v>
      </c>
      <c r="F1098">
        <v>25</v>
      </c>
      <c r="G1098" t="s">
        <v>5635</v>
      </c>
      <c r="H1098">
        <v>10458</v>
      </c>
      <c r="I1098" t="s">
        <v>5695</v>
      </c>
      <c r="J1098" t="s">
        <v>5696</v>
      </c>
      <c r="K1098" t="s">
        <v>6139</v>
      </c>
      <c r="L1098" t="s">
        <v>6711</v>
      </c>
      <c r="M1098" t="s">
        <v>6737</v>
      </c>
      <c r="O1098" t="s">
        <v>6745</v>
      </c>
      <c r="P1098" t="s">
        <v>5695</v>
      </c>
      <c r="R1098" t="s">
        <v>6793</v>
      </c>
      <c r="U1098">
        <v>1300</v>
      </c>
      <c r="V1098" t="s">
        <v>6833</v>
      </c>
      <c r="W1098" t="s">
        <v>6838</v>
      </c>
      <c r="Y1098" t="s">
        <v>7910</v>
      </c>
      <c r="Z1098" t="s">
        <v>8996</v>
      </c>
      <c r="AB1098">
        <v>48</v>
      </c>
      <c r="AC1098" t="s">
        <v>10929</v>
      </c>
      <c r="AD1098" t="s">
        <v>6841</v>
      </c>
      <c r="AE1098">
        <v>10</v>
      </c>
      <c r="AF1098">
        <v>1</v>
      </c>
      <c r="AG1098">
        <v>0</v>
      </c>
      <c r="AH1098">
        <v>115.29</v>
      </c>
      <c r="AK1098" t="s">
        <v>10966</v>
      </c>
      <c r="AL1098">
        <v>14400</v>
      </c>
      <c r="AR1098">
        <v>1</v>
      </c>
      <c r="AS1098" t="s">
        <v>6816</v>
      </c>
      <c r="AT1098" t="s">
        <v>213</v>
      </c>
      <c r="AU1098" t="s">
        <v>11229</v>
      </c>
      <c r="AV1098" t="s">
        <v>11231</v>
      </c>
      <c r="AW1098" t="s">
        <v>6816</v>
      </c>
    </row>
    <row r="1099" spans="1:49">
      <c r="A1099" s="1">
        <f>HYPERLINK("https://lsnyc.legalserver.org/matter/dynamic-profile/view/1896798","19-1896798")</f>
        <v>0</v>
      </c>
      <c r="B1099" t="s">
        <v>165</v>
      </c>
      <c r="C1099" t="s">
        <v>1070</v>
      </c>
      <c r="D1099" t="s">
        <v>2195</v>
      </c>
      <c r="E1099" t="s">
        <v>3766</v>
      </c>
      <c r="F1099" t="s">
        <v>5240</v>
      </c>
      <c r="G1099" t="s">
        <v>5637</v>
      </c>
      <c r="H1099">
        <v>11213</v>
      </c>
      <c r="I1099" t="s">
        <v>5695</v>
      </c>
      <c r="J1099" t="s">
        <v>5695</v>
      </c>
      <c r="K1099" t="s">
        <v>5741</v>
      </c>
      <c r="L1099" t="s">
        <v>6711</v>
      </c>
      <c r="M1099" t="s">
        <v>6737</v>
      </c>
      <c r="O1099" t="s">
        <v>6745</v>
      </c>
      <c r="P1099" t="s">
        <v>5695</v>
      </c>
      <c r="R1099" t="s">
        <v>6793</v>
      </c>
      <c r="T1099" t="s">
        <v>6807</v>
      </c>
      <c r="U1099">
        <v>855.86</v>
      </c>
      <c r="V1099" t="s">
        <v>6835</v>
      </c>
      <c r="W1099" t="s">
        <v>6838</v>
      </c>
      <c r="Y1099" t="s">
        <v>7911</v>
      </c>
      <c r="AB1099">
        <v>6</v>
      </c>
      <c r="AC1099" t="s">
        <v>10929</v>
      </c>
      <c r="AD1099" t="s">
        <v>5741</v>
      </c>
      <c r="AE1099">
        <v>26</v>
      </c>
      <c r="AF1099">
        <v>1</v>
      </c>
      <c r="AG1099">
        <v>1</v>
      </c>
      <c r="AH1099">
        <v>52.58</v>
      </c>
      <c r="AK1099" t="s">
        <v>10966</v>
      </c>
      <c r="AL1099">
        <v>8892</v>
      </c>
      <c r="AM1099" t="s">
        <v>11059</v>
      </c>
      <c r="AR1099">
        <v>0</v>
      </c>
      <c r="AT1099" t="s">
        <v>67</v>
      </c>
      <c r="AU1099" t="s">
        <v>11228</v>
      </c>
      <c r="AV1099" t="s">
        <v>11231</v>
      </c>
      <c r="AW1099" t="s">
        <v>11232</v>
      </c>
    </row>
    <row r="1100" spans="1:49">
      <c r="A1100" s="1">
        <f>HYPERLINK("https://lsnyc.legalserver.org/matter/dynamic-profile/view/1901176","19-1901176")</f>
        <v>0</v>
      </c>
      <c r="B1100" t="s">
        <v>91</v>
      </c>
      <c r="C1100" t="s">
        <v>1071</v>
      </c>
      <c r="D1100" t="s">
        <v>2010</v>
      </c>
      <c r="E1100" t="s">
        <v>3615</v>
      </c>
      <c r="F1100" t="s">
        <v>5100</v>
      </c>
      <c r="G1100" t="s">
        <v>5637</v>
      </c>
      <c r="H1100">
        <v>11233</v>
      </c>
      <c r="I1100" t="s">
        <v>5695</v>
      </c>
      <c r="J1100" t="s">
        <v>5696</v>
      </c>
      <c r="L1100" t="s">
        <v>5740</v>
      </c>
      <c r="M1100" t="s">
        <v>6737</v>
      </c>
      <c r="O1100" t="s">
        <v>6745</v>
      </c>
      <c r="P1100" t="s">
        <v>5697</v>
      </c>
      <c r="R1100" t="s">
        <v>6793</v>
      </c>
      <c r="S1100" t="s">
        <v>6801</v>
      </c>
      <c r="U1100">
        <v>1546.83</v>
      </c>
      <c r="V1100" t="s">
        <v>6835</v>
      </c>
      <c r="W1100" t="s">
        <v>6842</v>
      </c>
      <c r="Y1100" t="s">
        <v>7912</v>
      </c>
      <c r="AA1100" t="s">
        <v>9951</v>
      </c>
      <c r="AB1100">
        <v>16</v>
      </c>
      <c r="AC1100" t="s">
        <v>10929</v>
      </c>
      <c r="AD1100" t="s">
        <v>10944</v>
      </c>
      <c r="AE1100">
        <v>9</v>
      </c>
      <c r="AF1100">
        <v>1</v>
      </c>
      <c r="AG1100">
        <v>2</v>
      </c>
      <c r="AH1100">
        <v>57.33</v>
      </c>
      <c r="AK1100" t="s">
        <v>10966</v>
      </c>
      <c r="AL1100">
        <v>12228</v>
      </c>
      <c r="AR1100">
        <v>21</v>
      </c>
      <c r="AS1100" t="s">
        <v>6826</v>
      </c>
      <c r="AT1100" t="s">
        <v>69</v>
      </c>
      <c r="AU1100" t="s">
        <v>11228</v>
      </c>
      <c r="AV1100" t="s">
        <v>11231</v>
      </c>
      <c r="AW1100" t="s">
        <v>11143</v>
      </c>
    </row>
    <row r="1101" spans="1:49">
      <c r="A1101" s="1">
        <f>HYPERLINK("https://lsnyc.legalserver.org/matter/dynamic-profile/view/1903406","19-1903406")</f>
        <v>0</v>
      </c>
      <c r="B1101" t="s">
        <v>76</v>
      </c>
      <c r="C1101" t="s">
        <v>415</v>
      </c>
      <c r="D1101" t="s">
        <v>2425</v>
      </c>
      <c r="E1101" t="s">
        <v>4099</v>
      </c>
      <c r="F1101" t="s">
        <v>5196</v>
      </c>
      <c r="G1101" t="s">
        <v>5682</v>
      </c>
      <c r="H1101">
        <v>10467</v>
      </c>
      <c r="I1101" t="s">
        <v>5695</v>
      </c>
      <c r="J1101" t="s">
        <v>5696</v>
      </c>
      <c r="K1101" t="s">
        <v>6140</v>
      </c>
      <c r="L1101" t="s">
        <v>6714</v>
      </c>
      <c r="M1101" t="s">
        <v>6737</v>
      </c>
      <c r="O1101" t="s">
        <v>6763</v>
      </c>
      <c r="P1101" t="s">
        <v>5697</v>
      </c>
      <c r="R1101" t="s">
        <v>6796</v>
      </c>
      <c r="S1101" t="s">
        <v>6801</v>
      </c>
      <c r="U1101">
        <v>252</v>
      </c>
      <c r="V1101" t="s">
        <v>6833</v>
      </c>
      <c r="W1101" t="s">
        <v>6839</v>
      </c>
      <c r="Y1101" t="s">
        <v>7913</v>
      </c>
      <c r="Z1101" t="s">
        <v>8997</v>
      </c>
      <c r="AA1101" t="s">
        <v>9952</v>
      </c>
      <c r="AB1101">
        <v>733</v>
      </c>
      <c r="AD1101" t="s">
        <v>5741</v>
      </c>
      <c r="AE1101">
        <v>1</v>
      </c>
      <c r="AF1101">
        <v>1</v>
      </c>
      <c r="AG1101">
        <v>1</v>
      </c>
      <c r="AH1101">
        <v>0</v>
      </c>
      <c r="AK1101" t="s">
        <v>10966</v>
      </c>
      <c r="AL1101">
        <v>0</v>
      </c>
      <c r="AR1101">
        <v>6.7</v>
      </c>
      <c r="AS1101" t="s">
        <v>6828</v>
      </c>
      <c r="AT1101" t="s">
        <v>11196</v>
      </c>
      <c r="AV1101" t="s">
        <v>11231</v>
      </c>
      <c r="AW1101" t="s">
        <v>11136</v>
      </c>
    </row>
    <row r="1102" spans="1:49">
      <c r="A1102" s="1">
        <f>HYPERLINK("https://lsnyc.legalserver.org/matter/dynamic-profile/view/1897976","19-1897976")</f>
        <v>0</v>
      </c>
      <c r="B1102" t="s">
        <v>249</v>
      </c>
      <c r="C1102" t="s">
        <v>1072</v>
      </c>
      <c r="D1102" t="s">
        <v>1646</v>
      </c>
      <c r="E1102" t="s">
        <v>4100</v>
      </c>
      <c r="F1102" t="s">
        <v>5147</v>
      </c>
      <c r="G1102" t="s">
        <v>5638</v>
      </c>
      <c r="H1102">
        <v>10025</v>
      </c>
      <c r="I1102" t="s">
        <v>5697</v>
      </c>
      <c r="J1102" t="s">
        <v>5697</v>
      </c>
      <c r="L1102" t="s">
        <v>6715</v>
      </c>
      <c r="M1102" t="s">
        <v>6737</v>
      </c>
      <c r="O1102" t="s">
        <v>6759</v>
      </c>
      <c r="P1102" t="s">
        <v>5697</v>
      </c>
      <c r="R1102" t="s">
        <v>6794</v>
      </c>
      <c r="S1102" t="s">
        <v>6801</v>
      </c>
      <c r="U1102">
        <v>383</v>
      </c>
      <c r="V1102" t="s">
        <v>6836</v>
      </c>
      <c r="W1102" t="s">
        <v>6843</v>
      </c>
      <c r="Y1102" t="s">
        <v>7707</v>
      </c>
      <c r="AA1102" t="s">
        <v>9953</v>
      </c>
      <c r="AB1102">
        <v>0</v>
      </c>
      <c r="AC1102" t="s">
        <v>10940</v>
      </c>
      <c r="AD1102" t="s">
        <v>5741</v>
      </c>
      <c r="AE1102">
        <v>46</v>
      </c>
      <c r="AF1102">
        <v>1</v>
      </c>
      <c r="AG1102">
        <v>0</v>
      </c>
      <c r="AH1102">
        <v>41.63</v>
      </c>
      <c r="AK1102" t="s">
        <v>10966</v>
      </c>
      <c r="AL1102">
        <v>5200</v>
      </c>
      <c r="AR1102">
        <v>48.5</v>
      </c>
      <c r="AS1102" t="s">
        <v>6828</v>
      </c>
      <c r="AT1102" t="s">
        <v>305</v>
      </c>
      <c r="AV1102" t="s">
        <v>11231</v>
      </c>
      <c r="AW1102" t="s">
        <v>11142</v>
      </c>
    </row>
    <row r="1103" spans="1:49">
      <c r="A1103" s="1">
        <f>HYPERLINK("https://lsnyc.legalserver.org/matter/dynamic-profile/view/1895780","19-1895780")</f>
        <v>0</v>
      </c>
      <c r="B1103" t="s">
        <v>185</v>
      </c>
      <c r="C1103" t="s">
        <v>1073</v>
      </c>
      <c r="D1103" t="s">
        <v>1549</v>
      </c>
      <c r="E1103" t="s">
        <v>4101</v>
      </c>
      <c r="F1103" t="s">
        <v>5100</v>
      </c>
      <c r="G1103" t="s">
        <v>5635</v>
      </c>
      <c r="H1103">
        <v>10455</v>
      </c>
      <c r="I1103" t="s">
        <v>5695</v>
      </c>
      <c r="J1103" t="s">
        <v>5695</v>
      </c>
      <c r="K1103" t="s">
        <v>6141</v>
      </c>
      <c r="L1103" t="s">
        <v>6716</v>
      </c>
      <c r="M1103" t="s">
        <v>6737</v>
      </c>
      <c r="O1103" t="s">
        <v>6747</v>
      </c>
      <c r="P1103" t="s">
        <v>5697</v>
      </c>
      <c r="R1103" t="s">
        <v>6794</v>
      </c>
      <c r="U1103">
        <v>218</v>
      </c>
      <c r="V1103" t="s">
        <v>6833</v>
      </c>
      <c r="Y1103" t="s">
        <v>7914</v>
      </c>
      <c r="AA1103" t="s">
        <v>9954</v>
      </c>
      <c r="AB1103">
        <v>0</v>
      </c>
      <c r="AC1103" t="s">
        <v>10931</v>
      </c>
      <c r="AD1103" t="s">
        <v>5741</v>
      </c>
      <c r="AE1103">
        <v>0</v>
      </c>
      <c r="AF1103">
        <v>1</v>
      </c>
      <c r="AG1103">
        <v>0</v>
      </c>
      <c r="AH1103">
        <v>74.08</v>
      </c>
      <c r="AK1103" t="s">
        <v>10967</v>
      </c>
      <c r="AL1103">
        <v>9252</v>
      </c>
      <c r="AM1103" t="s">
        <v>11060</v>
      </c>
      <c r="AR1103">
        <v>8.199999999999999</v>
      </c>
      <c r="AS1103" t="s">
        <v>11155</v>
      </c>
      <c r="AT1103" t="s">
        <v>185</v>
      </c>
      <c r="AV1103" t="s">
        <v>11231</v>
      </c>
      <c r="AW1103" t="s">
        <v>11153</v>
      </c>
    </row>
    <row r="1104" spans="1:49">
      <c r="A1104" s="1">
        <f>HYPERLINK("https://lsnyc.legalserver.org/matter/dynamic-profile/view/1898908","19-1898908")</f>
        <v>0</v>
      </c>
      <c r="B1104" t="s">
        <v>91</v>
      </c>
      <c r="C1104" t="s">
        <v>694</v>
      </c>
      <c r="D1104" t="s">
        <v>1739</v>
      </c>
      <c r="E1104" t="s">
        <v>4102</v>
      </c>
      <c r="F1104" t="s">
        <v>5098</v>
      </c>
      <c r="G1104" t="s">
        <v>5637</v>
      </c>
      <c r="H1104">
        <v>11208</v>
      </c>
      <c r="I1104" t="s">
        <v>5695</v>
      </c>
      <c r="J1104" t="s">
        <v>5697</v>
      </c>
      <c r="L1104" t="s">
        <v>6717</v>
      </c>
      <c r="M1104" t="s">
        <v>6737</v>
      </c>
      <c r="O1104" t="s">
        <v>6745</v>
      </c>
      <c r="P1104" t="s">
        <v>5697</v>
      </c>
      <c r="R1104" t="s">
        <v>6793</v>
      </c>
      <c r="S1104" t="s">
        <v>6804</v>
      </c>
      <c r="U1104">
        <v>1297</v>
      </c>
      <c r="V1104" t="s">
        <v>6835</v>
      </c>
      <c r="Y1104" t="s">
        <v>7915</v>
      </c>
      <c r="Z1104">
        <v>4798867</v>
      </c>
      <c r="AA1104" t="s">
        <v>9955</v>
      </c>
      <c r="AB1104">
        <v>2</v>
      </c>
      <c r="AC1104" t="s">
        <v>10930</v>
      </c>
      <c r="AD1104" t="s">
        <v>10944</v>
      </c>
      <c r="AE1104">
        <v>12</v>
      </c>
      <c r="AF1104">
        <v>1</v>
      </c>
      <c r="AG1104">
        <v>2</v>
      </c>
      <c r="AH1104">
        <v>14.14</v>
      </c>
      <c r="AK1104" t="s">
        <v>10966</v>
      </c>
      <c r="AL1104">
        <v>3016</v>
      </c>
      <c r="AR1104">
        <v>5.5</v>
      </c>
      <c r="AS1104" t="s">
        <v>6807</v>
      </c>
      <c r="AT1104" t="s">
        <v>69</v>
      </c>
      <c r="AU1104" t="s">
        <v>11229</v>
      </c>
      <c r="AV1104" t="s">
        <v>11231</v>
      </c>
      <c r="AW1104" t="s">
        <v>10959</v>
      </c>
    </row>
    <row r="1105" spans="1:49">
      <c r="A1105" s="1">
        <f>HYPERLINK("https://lsnyc.legalserver.org/matter/dynamic-profile/view/1904241","19-1904241")</f>
        <v>0</v>
      </c>
      <c r="B1105" t="s">
        <v>60</v>
      </c>
      <c r="C1105" t="s">
        <v>1074</v>
      </c>
      <c r="D1105" t="s">
        <v>2426</v>
      </c>
      <c r="E1105" t="s">
        <v>4103</v>
      </c>
      <c r="F1105" t="s">
        <v>5448</v>
      </c>
      <c r="G1105" t="s">
        <v>5636</v>
      </c>
      <c r="H1105">
        <v>10303</v>
      </c>
      <c r="I1105" t="s">
        <v>5695</v>
      </c>
      <c r="J1105" t="s">
        <v>5696</v>
      </c>
      <c r="K1105" t="s">
        <v>5738</v>
      </c>
      <c r="L1105" t="s">
        <v>6717</v>
      </c>
      <c r="M1105" t="s">
        <v>6737</v>
      </c>
      <c r="O1105" t="s">
        <v>6751</v>
      </c>
      <c r="P1105" t="s">
        <v>5697</v>
      </c>
      <c r="R1105" t="s">
        <v>6796</v>
      </c>
      <c r="S1105" t="s">
        <v>6801</v>
      </c>
      <c r="T1105" t="s">
        <v>6813</v>
      </c>
      <c r="U1105">
        <v>1400</v>
      </c>
      <c r="V1105" t="s">
        <v>6834</v>
      </c>
      <c r="W1105" t="s">
        <v>6843</v>
      </c>
      <c r="Y1105" t="s">
        <v>7916</v>
      </c>
      <c r="AA1105" t="s">
        <v>9956</v>
      </c>
      <c r="AB1105">
        <v>130</v>
      </c>
      <c r="AC1105" t="s">
        <v>10934</v>
      </c>
      <c r="AD1105" t="s">
        <v>10944</v>
      </c>
      <c r="AE1105">
        <v>5</v>
      </c>
      <c r="AF1105">
        <v>1</v>
      </c>
      <c r="AG1105">
        <v>2</v>
      </c>
      <c r="AH1105">
        <v>149.99</v>
      </c>
      <c r="AK1105" t="s">
        <v>10966</v>
      </c>
      <c r="AL1105">
        <v>31992</v>
      </c>
      <c r="AR1105">
        <v>2.3</v>
      </c>
      <c r="AS1105" t="s">
        <v>6820</v>
      </c>
      <c r="AT1105" t="s">
        <v>60</v>
      </c>
      <c r="AU1105" t="s">
        <v>11228</v>
      </c>
      <c r="AV1105" t="s">
        <v>11231</v>
      </c>
      <c r="AW1105" t="s">
        <v>6818</v>
      </c>
    </row>
    <row r="1106" spans="1:49">
      <c r="A1106" s="1">
        <f>HYPERLINK("https://lsnyc.legalserver.org/matter/dynamic-profile/view/1905681","19-1905681")</f>
        <v>0</v>
      </c>
      <c r="B1106" t="s">
        <v>268</v>
      </c>
      <c r="C1106" t="s">
        <v>1075</v>
      </c>
      <c r="D1106" t="s">
        <v>2224</v>
      </c>
      <c r="E1106" t="s">
        <v>4095</v>
      </c>
      <c r="F1106" t="s">
        <v>5093</v>
      </c>
      <c r="G1106" t="s">
        <v>5637</v>
      </c>
      <c r="H1106">
        <v>11226</v>
      </c>
      <c r="I1106" t="s">
        <v>5696</v>
      </c>
      <c r="J1106" t="s">
        <v>5696</v>
      </c>
      <c r="M1106" t="s">
        <v>6737</v>
      </c>
      <c r="O1106" t="s">
        <v>6745</v>
      </c>
      <c r="P1106" t="s">
        <v>5695</v>
      </c>
      <c r="R1106" t="s">
        <v>6793</v>
      </c>
      <c r="T1106" t="s">
        <v>6823</v>
      </c>
      <c r="U1106">
        <v>0</v>
      </c>
      <c r="V1106" t="s">
        <v>6835</v>
      </c>
      <c r="Y1106" t="s">
        <v>7917</v>
      </c>
      <c r="AA1106" t="s">
        <v>9957</v>
      </c>
      <c r="AB1106">
        <v>0</v>
      </c>
      <c r="AE1106">
        <v>0</v>
      </c>
      <c r="AF1106">
        <v>4</v>
      </c>
      <c r="AG1106">
        <v>0</v>
      </c>
      <c r="AH1106">
        <v>100.97</v>
      </c>
      <c r="AK1106" t="s">
        <v>10967</v>
      </c>
      <c r="AL1106">
        <v>26000</v>
      </c>
      <c r="AR1106">
        <v>0.2</v>
      </c>
      <c r="AS1106" t="s">
        <v>6823</v>
      </c>
      <c r="AT1106" t="s">
        <v>77</v>
      </c>
      <c r="AV1106" t="s">
        <v>11231</v>
      </c>
      <c r="AW1106" t="s">
        <v>6823</v>
      </c>
    </row>
    <row r="1107" spans="1:49">
      <c r="A1107" s="1">
        <f>HYPERLINK("https://lsnyc.legalserver.org/matter/dynamic-profile/view/1902319","19-1902319")</f>
        <v>0</v>
      </c>
      <c r="B1107" t="s">
        <v>75</v>
      </c>
      <c r="C1107" t="s">
        <v>1076</v>
      </c>
      <c r="D1107" t="s">
        <v>2427</v>
      </c>
      <c r="E1107" t="s">
        <v>4104</v>
      </c>
      <c r="F1107" t="s">
        <v>5449</v>
      </c>
      <c r="G1107" t="s">
        <v>5638</v>
      </c>
      <c r="H1107">
        <v>10031</v>
      </c>
      <c r="I1107" t="s">
        <v>5696</v>
      </c>
      <c r="J1107" t="s">
        <v>5696</v>
      </c>
      <c r="M1107" t="s">
        <v>6737</v>
      </c>
      <c r="O1107" t="s">
        <v>6748</v>
      </c>
      <c r="R1107" t="s">
        <v>6793</v>
      </c>
      <c r="U1107">
        <v>0</v>
      </c>
      <c r="V1107" t="s">
        <v>6836</v>
      </c>
      <c r="Y1107" t="s">
        <v>7918</v>
      </c>
      <c r="AA1107" t="s">
        <v>9958</v>
      </c>
      <c r="AB1107">
        <v>20</v>
      </c>
      <c r="AE1107">
        <v>1</v>
      </c>
      <c r="AF1107">
        <v>1</v>
      </c>
      <c r="AG1107">
        <v>0</v>
      </c>
      <c r="AH1107">
        <v>0</v>
      </c>
      <c r="AK1107" t="s">
        <v>10966</v>
      </c>
      <c r="AL1107">
        <v>0</v>
      </c>
      <c r="AR1107">
        <v>2.25</v>
      </c>
      <c r="AS1107" t="s">
        <v>6815</v>
      </c>
      <c r="AT1107" t="s">
        <v>11192</v>
      </c>
      <c r="AV1107" t="s">
        <v>11231</v>
      </c>
      <c r="AW1107" t="s">
        <v>11140</v>
      </c>
    </row>
    <row r="1108" spans="1:49">
      <c r="A1108" s="1">
        <f>HYPERLINK("https://lsnyc.legalserver.org/matter/dynamic-profile/view/1905679","19-1905679")</f>
        <v>0</v>
      </c>
      <c r="B1108" t="s">
        <v>268</v>
      </c>
      <c r="C1108" t="s">
        <v>893</v>
      </c>
      <c r="D1108" t="s">
        <v>2428</v>
      </c>
      <c r="E1108" t="s">
        <v>4095</v>
      </c>
      <c r="F1108" t="s">
        <v>5328</v>
      </c>
      <c r="G1108" t="s">
        <v>5637</v>
      </c>
      <c r="H1108">
        <v>11226</v>
      </c>
      <c r="I1108" t="s">
        <v>5696</v>
      </c>
      <c r="J1108" t="s">
        <v>5696</v>
      </c>
      <c r="M1108" t="s">
        <v>6737</v>
      </c>
      <c r="O1108" t="s">
        <v>6745</v>
      </c>
      <c r="P1108" t="s">
        <v>5695</v>
      </c>
      <c r="R1108" t="s">
        <v>6793</v>
      </c>
      <c r="T1108" t="s">
        <v>6823</v>
      </c>
      <c r="U1108">
        <v>0</v>
      </c>
      <c r="V1108" t="s">
        <v>6835</v>
      </c>
      <c r="Y1108" t="s">
        <v>7919</v>
      </c>
      <c r="AA1108" t="s">
        <v>9959</v>
      </c>
      <c r="AB1108">
        <v>0</v>
      </c>
      <c r="AE1108">
        <v>0</v>
      </c>
      <c r="AF1108">
        <v>2</v>
      </c>
      <c r="AG1108">
        <v>0</v>
      </c>
      <c r="AH1108">
        <v>532.23</v>
      </c>
      <c r="AK1108" t="s">
        <v>10966</v>
      </c>
      <c r="AL1108">
        <v>90000</v>
      </c>
      <c r="AR1108">
        <v>0.2</v>
      </c>
      <c r="AS1108" t="s">
        <v>6823</v>
      </c>
      <c r="AT1108" t="s">
        <v>77</v>
      </c>
      <c r="AV1108" t="s">
        <v>11231</v>
      </c>
      <c r="AW1108" t="s">
        <v>6823</v>
      </c>
    </row>
    <row r="1109" spans="1:49">
      <c r="A1109" s="1">
        <f>HYPERLINK("https://lsnyc.legalserver.org/matter/dynamic-profile/view/1905685","19-1905685")</f>
        <v>0</v>
      </c>
      <c r="B1109" t="s">
        <v>268</v>
      </c>
      <c r="C1109" t="s">
        <v>352</v>
      </c>
      <c r="D1109" t="s">
        <v>1931</v>
      </c>
      <c r="E1109" t="s">
        <v>4095</v>
      </c>
      <c r="F1109" t="s">
        <v>5203</v>
      </c>
      <c r="G1109" t="s">
        <v>5637</v>
      </c>
      <c r="H1109">
        <v>11226</v>
      </c>
      <c r="I1109" t="s">
        <v>5696</v>
      </c>
      <c r="J1109" t="s">
        <v>5696</v>
      </c>
      <c r="M1109" t="s">
        <v>6737</v>
      </c>
      <c r="O1109" t="s">
        <v>6745</v>
      </c>
      <c r="P1109" t="s">
        <v>5695</v>
      </c>
      <c r="R1109" t="s">
        <v>6793</v>
      </c>
      <c r="T1109" t="s">
        <v>6823</v>
      </c>
      <c r="U1109">
        <v>0</v>
      </c>
      <c r="V1109" t="s">
        <v>6835</v>
      </c>
      <c r="Y1109" t="s">
        <v>7920</v>
      </c>
      <c r="AA1109" t="s">
        <v>9960</v>
      </c>
      <c r="AB1109">
        <v>0</v>
      </c>
      <c r="AE1109">
        <v>0</v>
      </c>
      <c r="AF1109">
        <v>2</v>
      </c>
      <c r="AG1109">
        <v>0</v>
      </c>
      <c r="AH1109">
        <v>123</v>
      </c>
      <c r="AK1109" t="s">
        <v>10974</v>
      </c>
      <c r="AL1109">
        <v>20800</v>
      </c>
      <c r="AR1109">
        <v>0.2</v>
      </c>
      <c r="AS1109" t="s">
        <v>6823</v>
      </c>
      <c r="AT1109" t="s">
        <v>77</v>
      </c>
      <c r="AV1109" t="s">
        <v>11231</v>
      </c>
      <c r="AW1109" t="s">
        <v>6823</v>
      </c>
    </row>
    <row r="1110" spans="1:49">
      <c r="A1110" s="1">
        <f>HYPERLINK("https://lsnyc.legalserver.org/matter/dynamic-profile/view/1905743","19-1905743")</f>
        <v>0</v>
      </c>
      <c r="B1110" t="s">
        <v>268</v>
      </c>
      <c r="C1110" t="s">
        <v>1077</v>
      </c>
      <c r="D1110" t="s">
        <v>2429</v>
      </c>
      <c r="E1110" t="s">
        <v>4095</v>
      </c>
      <c r="F1110" t="s">
        <v>5142</v>
      </c>
      <c r="G1110" t="s">
        <v>5637</v>
      </c>
      <c r="H1110">
        <v>11226</v>
      </c>
      <c r="I1110" t="s">
        <v>5696</v>
      </c>
      <c r="J1110" t="s">
        <v>5696</v>
      </c>
      <c r="M1110" t="s">
        <v>6737</v>
      </c>
      <c r="O1110" t="s">
        <v>6745</v>
      </c>
      <c r="P1110" t="s">
        <v>5695</v>
      </c>
      <c r="R1110" t="s">
        <v>6793</v>
      </c>
      <c r="T1110" t="s">
        <v>6823</v>
      </c>
      <c r="U1110">
        <v>0</v>
      </c>
      <c r="V1110" t="s">
        <v>6835</v>
      </c>
      <c r="Y1110" t="s">
        <v>7670</v>
      </c>
      <c r="AA1110" t="s">
        <v>9961</v>
      </c>
      <c r="AB1110">
        <v>0</v>
      </c>
      <c r="AE1110">
        <v>0</v>
      </c>
      <c r="AF1110">
        <v>2</v>
      </c>
      <c r="AG1110">
        <v>0</v>
      </c>
      <c r="AH1110">
        <v>56.77</v>
      </c>
      <c r="AK1110" t="s">
        <v>10974</v>
      </c>
      <c r="AL1110">
        <v>9600</v>
      </c>
      <c r="AR1110">
        <v>0.2</v>
      </c>
      <c r="AS1110" t="s">
        <v>6823</v>
      </c>
      <c r="AT1110" t="s">
        <v>77</v>
      </c>
      <c r="AV1110" t="s">
        <v>11231</v>
      </c>
      <c r="AW1110" t="s">
        <v>6823</v>
      </c>
    </row>
    <row r="1111" spans="1:49">
      <c r="A1111" s="1">
        <f>HYPERLINK("https://lsnyc.legalserver.org/matter/dynamic-profile/view/1905687","19-1905687")</f>
        <v>0</v>
      </c>
      <c r="B1111" t="s">
        <v>268</v>
      </c>
      <c r="C1111" t="s">
        <v>423</v>
      </c>
      <c r="D1111" t="s">
        <v>2430</v>
      </c>
      <c r="E1111" t="s">
        <v>4095</v>
      </c>
      <c r="F1111" t="s">
        <v>5237</v>
      </c>
      <c r="G1111" t="s">
        <v>5637</v>
      </c>
      <c r="H1111">
        <v>11226</v>
      </c>
      <c r="I1111" t="s">
        <v>5696</v>
      </c>
      <c r="J1111" t="s">
        <v>5696</v>
      </c>
      <c r="M1111" t="s">
        <v>6737</v>
      </c>
      <c r="O1111" t="s">
        <v>6745</v>
      </c>
      <c r="P1111" t="s">
        <v>5695</v>
      </c>
      <c r="R1111" t="s">
        <v>6793</v>
      </c>
      <c r="T1111" t="s">
        <v>6823</v>
      </c>
      <c r="U1111">
        <v>0</v>
      </c>
      <c r="V1111" t="s">
        <v>6835</v>
      </c>
      <c r="Y1111" t="s">
        <v>7921</v>
      </c>
      <c r="AB1111">
        <v>0</v>
      </c>
      <c r="AE1111">
        <v>0</v>
      </c>
      <c r="AF1111">
        <v>3</v>
      </c>
      <c r="AG1111">
        <v>1</v>
      </c>
      <c r="AH1111">
        <v>194.17</v>
      </c>
      <c r="AK1111" t="s">
        <v>10966</v>
      </c>
      <c r="AL1111">
        <v>50000</v>
      </c>
      <c r="AR1111">
        <v>0.2</v>
      </c>
      <c r="AS1111" t="s">
        <v>6823</v>
      </c>
      <c r="AT1111" t="s">
        <v>77</v>
      </c>
      <c r="AV1111" t="s">
        <v>11231</v>
      </c>
      <c r="AW1111" t="s">
        <v>6823</v>
      </c>
    </row>
    <row r="1112" spans="1:49">
      <c r="A1112" s="1">
        <f>HYPERLINK("https://lsnyc.legalserver.org/matter/dynamic-profile/view/1906321","19-1906321")</f>
        <v>0</v>
      </c>
      <c r="B1112" t="s">
        <v>104</v>
      </c>
      <c r="C1112" t="s">
        <v>432</v>
      </c>
      <c r="D1112" t="s">
        <v>1703</v>
      </c>
      <c r="E1112" t="s">
        <v>4105</v>
      </c>
      <c r="F1112" t="s">
        <v>5107</v>
      </c>
      <c r="G1112" t="s">
        <v>5635</v>
      </c>
      <c r="H1112">
        <v>10455</v>
      </c>
      <c r="I1112" t="s">
        <v>5696</v>
      </c>
      <c r="J1112" t="s">
        <v>5696</v>
      </c>
      <c r="K1112" t="s">
        <v>6142</v>
      </c>
      <c r="L1112" t="s">
        <v>6714</v>
      </c>
      <c r="M1112" t="s">
        <v>6738</v>
      </c>
      <c r="O1112" t="s">
        <v>6772</v>
      </c>
      <c r="P1112" t="s">
        <v>5697</v>
      </c>
      <c r="R1112" t="s">
        <v>6793</v>
      </c>
      <c r="S1112" t="s">
        <v>6803</v>
      </c>
      <c r="U1112">
        <v>901</v>
      </c>
      <c r="V1112" t="s">
        <v>6833</v>
      </c>
      <c r="W1112" t="s">
        <v>6838</v>
      </c>
      <c r="Y1112" t="s">
        <v>7922</v>
      </c>
      <c r="AA1112" t="s">
        <v>9962</v>
      </c>
      <c r="AB1112">
        <v>0</v>
      </c>
      <c r="AC1112" t="s">
        <v>10931</v>
      </c>
      <c r="AE1112">
        <v>0</v>
      </c>
      <c r="AF1112">
        <v>1</v>
      </c>
      <c r="AG1112">
        <v>0</v>
      </c>
      <c r="AH1112">
        <v>27.38</v>
      </c>
      <c r="AK1112" t="s">
        <v>10966</v>
      </c>
      <c r="AL1112">
        <v>3420</v>
      </c>
      <c r="AR1112">
        <v>1.25</v>
      </c>
      <c r="AS1112" t="s">
        <v>11168</v>
      </c>
      <c r="AT1112" t="s">
        <v>104</v>
      </c>
      <c r="AV1112" t="s">
        <v>11231</v>
      </c>
      <c r="AW1112" t="s">
        <v>6827</v>
      </c>
    </row>
    <row r="1113" spans="1:49">
      <c r="A1113" s="1">
        <f>HYPERLINK("https://lsnyc.legalserver.org/matter/dynamic-profile/view/1904389","19-1904389")</f>
        <v>0</v>
      </c>
      <c r="B1113" t="s">
        <v>258</v>
      </c>
      <c r="C1113" t="s">
        <v>517</v>
      </c>
      <c r="D1113" t="s">
        <v>1879</v>
      </c>
      <c r="E1113" t="s">
        <v>4106</v>
      </c>
      <c r="F1113" t="s">
        <v>5237</v>
      </c>
      <c r="G1113" t="s">
        <v>5638</v>
      </c>
      <c r="H1113">
        <v>10031</v>
      </c>
      <c r="I1113" t="s">
        <v>5695</v>
      </c>
      <c r="J1113" t="s">
        <v>5696</v>
      </c>
      <c r="K1113" t="s">
        <v>6143</v>
      </c>
      <c r="L1113" t="s">
        <v>6714</v>
      </c>
      <c r="M1113" t="s">
        <v>6738</v>
      </c>
      <c r="O1113" t="s">
        <v>6749</v>
      </c>
      <c r="P1113" t="s">
        <v>5697</v>
      </c>
      <c r="R1113" t="s">
        <v>6793</v>
      </c>
      <c r="S1113" t="s">
        <v>6801</v>
      </c>
      <c r="U1113">
        <v>306</v>
      </c>
      <c r="V1113" t="s">
        <v>6836</v>
      </c>
      <c r="W1113" t="s">
        <v>6840</v>
      </c>
      <c r="Y1113" t="s">
        <v>7923</v>
      </c>
      <c r="Z1113" t="s">
        <v>8998</v>
      </c>
      <c r="AA1113" t="s">
        <v>9963</v>
      </c>
      <c r="AB1113">
        <v>0</v>
      </c>
      <c r="AC1113" t="s">
        <v>10934</v>
      </c>
      <c r="AD1113" t="s">
        <v>10944</v>
      </c>
      <c r="AE1113">
        <v>13</v>
      </c>
      <c r="AF1113">
        <v>1</v>
      </c>
      <c r="AG1113">
        <v>1</v>
      </c>
      <c r="AH1113">
        <v>67.36</v>
      </c>
      <c r="AK1113" t="s">
        <v>10966</v>
      </c>
      <c r="AL1113">
        <v>11391</v>
      </c>
      <c r="AR1113">
        <v>5</v>
      </c>
      <c r="AS1113" t="s">
        <v>6826</v>
      </c>
      <c r="AT1113" t="s">
        <v>305</v>
      </c>
      <c r="AU1113" t="s">
        <v>11229</v>
      </c>
      <c r="AV1113" t="s">
        <v>11231</v>
      </c>
      <c r="AW1113" t="s">
        <v>6815</v>
      </c>
    </row>
    <row r="1114" spans="1:49">
      <c r="A1114" s="1">
        <f>HYPERLINK("https://lsnyc.legalserver.org/matter/dynamic-profile/view/1905335","19-1905335")</f>
        <v>0</v>
      </c>
      <c r="B1114" t="s">
        <v>245</v>
      </c>
      <c r="C1114" t="s">
        <v>1078</v>
      </c>
      <c r="D1114" t="s">
        <v>2431</v>
      </c>
      <c r="E1114" t="s">
        <v>4107</v>
      </c>
      <c r="F1114">
        <v>1</v>
      </c>
      <c r="G1114" t="s">
        <v>5638</v>
      </c>
      <c r="H1114">
        <v>10031</v>
      </c>
      <c r="I1114" t="s">
        <v>5697</v>
      </c>
      <c r="J1114" t="s">
        <v>5696</v>
      </c>
      <c r="K1114" t="s">
        <v>6144</v>
      </c>
      <c r="M1114" t="s">
        <v>6738</v>
      </c>
      <c r="O1114" t="s">
        <v>6759</v>
      </c>
      <c r="P1114" t="s">
        <v>5697</v>
      </c>
      <c r="R1114" t="s">
        <v>6793</v>
      </c>
      <c r="U1114">
        <v>300</v>
      </c>
      <c r="V1114" t="s">
        <v>6836</v>
      </c>
      <c r="W1114" t="s">
        <v>6843</v>
      </c>
      <c r="Y1114" t="s">
        <v>7924</v>
      </c>
      <c r="AA1114" t="s">
        <v>8917</v>
      </c>
      <c r="AB1114">
        <v>0</v>
      </c>
      <c r="AC1114" t="s">
        <v>8953</v>
      </c>
      <c r="AD1114" t="s">
        <v>5741</v>
      </c>
      <c r="AE1114">
        <v>30</v>
      </c>
      <c r="AF1114">
        <v>1</v>
      </c>
      <c r="AG1114">
        <v>0</v>
      </c>
      <c r="AH1114">
        <v>72.06</v>
      </c>
      <c r="AK1114" t="s">
        <v>10966</v>
      </c>
      <c r="AL1114">
        <v>9000</v>
      </c>
      <c r="AR1114">
        <v>0</v>
      </c>
      <c r="AT1114" t="s">
        <v>305</v>
      </c>
      <c r="AV1114" t="s">
        <v>11231</v>
      </c>
      <c r="AW1114" t="s">
        <v>6822</v>
      </c>
    </row>
    <row r="1115" spans="1:49">
      <c r="A1115" s="1">
        <f>HYPERLINK("https://lsnyc.legalserver.org/matter/dynamic-profile/view/1899139","19-1899139")</f>
        <v>0</v>
      </c>
      <c r="B1115" t="s">
        <v>242</v>
      </c>
      <c r="C1115" t="s">
        <v>935</v>
      </c>
      <c r="D1115" t="s">
        <v>2432</v>
      </c>
      <c r="E1115" t="s">
        <v>4108</v>
      </c>
      <c r="F1115" t="s">
        <v>5099</v>
      </c>
      <c r="G1115" t="s">
        <v>5637</v>
      </c>
      <c r="H1115">
        <v>11221</v>
      </c>
      <c r="I1115" t="s">
        <v>5696</v>
      </c>
      <c r="J1115" t="s">
        <v>5696</v>
      </c>
      <c r="M1115" t="s">
        <v>6738</v>
      </c>
      <c r="O1115" t="s">
        <v>6746</v>
      </c>
      <c r="R1115" t="s">
        <v>6793</v>
      </c>
      <c r="U1115">
        <v>129300</v>
      </c>
      <c r="V1115" t="s">
        <v>6835</v>
      </c>
      <c r="W1115" t="s">
        <v>6843</v>
      </c>
      <c r="Y1115" t="s">
        <v>7925</v>
      </c>
      <c r="AA1115" t="s">
        <v>9964</v>
      </c>
      <c r="AB1115">
        <v>6</v>
      </c>
      <c r="AC1115" t="s">
        <v>10929</v>
      </c>
      <c r="AE1115">
        <v>8</v>
      </c>
      <c r="AF1115">
        <v>1</v>
      </c>
      <c r="AG1115">
        <v>0</v>
      </c>
      <c r="AH1115">
        <v>124.9</v>
      </c>
      <c r="AK1115" t="s">
        <v>10966</v>
      </c>
      <c r="AL1115">
        <v>15600</v>
      </c>
      <c r="AR1115">
        <v>8.25</v>
      </c>
      <c r="AS1115" t="s">
        <v>11135</v>
      </c>
      <c r="AT1115" t="s">
        <v>11198</v>
      </c>
      <c r="AV1115" t="s">
        <v>11231</v>
      </c>
      <c r="AW1115" t="s">
        <v>11134</v>
      </c>
    </row>
    <row r="1116" spans="1:49">
      <c r="A1116" s="1">
        <f>HYPERLINK("https://lsnyc.legalserver.org/matter/dynamic-profile/view/1904367","19-1904367")</f>
        <v>0</v>
      </c>
      <c r="B1116" t="s">
        <v>110</v>
      </c>
      <c r="C1116" t="s">
        <v>1079</v>
      </c>
      <c r="D1116" t="s">
        <v>2433</v>
      </c>
      <c r="E1116" t="s">
        <v>4109</v>
      </c>
      <c r="F1116">
        <v>6</v>
      </c>
      <c r="G1116" t="s">
        <v>5638</v>
      </c>
      <c r="H1116">
        <v>10033</v>
      </c>
      <c r="I1116" t="s">
        <v>5695</v>
      </c>
      <c r="J1116" t="s">
        <v>5696</v>
      </c>
      <c r="L1116" t="s">
        <v>6722</v>
      </c>
      <c r="M1116" t="s">
        <v>6736</v>
      </c>
      <c r="O1116" t="s">
        <v>6745</v>
      </c>
      <c r="P1116" t="s">
        <v>5697</v>
      </c>
      <c r="R1116" t="s">
        <v>6793</v>
      </c>
      <c r="T1116" t="s">
        <v>6815</v>
      </c>
      <c r="U1116">
        <v>163</v>
      </c>
      <c r="V1116" t="s">
        <v>6836</v>
      </c>
      <c r="W1116" t="s">
        <v>6843</v>
      </c>
      <c r="Y1116" t="s">
        <v>7926</v>
      </c>
      <c r="AA1116" t="s">
        <v>9965</v>
      </c>
      <c r="AB1116">
        <v>36</v>
      </c>
      <c r="AC1116" t="s">
        <v>10929</v>
      </c>
      <c r="AD1116" t="s">
        <v>10944</v>
      </c>
      <c r="AE1116">
        <v>22</v>
      </c>
      <c r="AF1116">
        <v>1</v>
      </c>
      <c r="AG1116">
        <v>0</v>
      </c>
      <c r="AH1116">
        <v>79.55</v>
      </c>
      <c r="AK1116" t="s">
        <v>10967</v>
      </c>
      <c r="AL1116">
        <v>9936</v>
      </c>
      <c r="AR1116">
        <v>0.2</v>
      </c>
      <c r="AS1116" t="s">
        <v>6815</v>
      </c>
      <c r="AT1116" t="s">
        <v>11201</v>
      </c>
      <c r="AU1116" t="s">
        <v>11228</v>
      </c>
      <c r="AV1116" t="s">
        <v>11231</v>
      </c>
      <c r="AW1116" t="s">
        <v>6815</v>
      </c>
    </row>
    <row r="1117" spans="1:49">
      <c r="A1117" s="1">
        <f>HYPERLINK("https://lsnyc.legalserver.org/matter/dynamic-profile/view/1896827","19-1896827")</f>
        <v>0</v>
      </c>
      <c r="B1117" t="s">
        <v>243</v>
      </c>
      <c r="C1117" t="s">
        <v>1080</v>
      </c>
      <c r="D1117" t="s">
        <v>2434</v>
      </c>
      <c r="E1117" t="s">
        <v>4110</v>
      </c>
      <c r="F1117">
        <v>41</v>
      </c>
      <c r="G1117" t="s">
        <v>5646</v>
      </c>
      <c r="H1117">
        <v>11358</v>
      </c>
      <c r="I1117" t="s">
        <v>5696</v>
      </c>
      <c r="J1117" t="s">
        <v>5696</v>
      </c>
      <c r="L1117" t="s">
        <v>6728</v>
      </c>
      <c r="M1117" t="s">
        <v>6736</v>
      </c>
      <c r="O1117" t="s">
        <v>6750</v>
      </c>
      <c r="R1117" t="s">
        <v>6793</v>
      </c>
      <c r="U1117">
        <v>0</v>
      </c>
      <c r="V1117" t="s">
        <v>6837</v>
      </c>
      <c r="Y1117" t="s">
        <v>7927</v>
      </c>
      <c r="AA1117" t="s">
        <v>9966</v>
      </c>
      <c r="AB1117">
        <v>0</v>
      </c>
      <c r="AE1117">
        <v>0</v>
      </c>
      <c r="AF1117">
        <v>1</v>
      </c>
      <c r="AG1117">
        <v>0</v>
      </c>
      <c r="AH1117">
        <v>0</v>
      </c>
      <c r="AK1117" t="s">
        <v>10966</v>
      </c>
      <c r="AL1117">
        <v>0</v>
      </c>
      <c r="AR1117">
        <v>0</v>
      </c>
      <c r="AT1117" t="s">
        <v>61</v>
      </c>
      <c r="AV1117" t="s">
        <v>11231</v>
      </c>
      <c r="AW1117" t="s">
        <v>11232</v>
      </c>
    </row>
    <row r="1118" spans="1:49">
      <c r="A1118" s="1">
        <f>HYPERLINK("https://lsnyc.legalserver.org/matter/dynamic-profile/view/1902281","19-1902281")</f>
        <v>0</v>
      </c>
      <c r="B1118" t="s">
        <v>236</v>
      </c>
      <c r="C1118" t="s">
        <v>1081</v>
      </c>
      <c r="D1118" t="s">
        <v>2435</v>
      </c>
      <c r="E1118" t="s">
        <v>4111</v>
      </c>
      <c r="F1118" t="s">
        <v>5450</v>
      </c>
      <c r="G1118" t="s">
        <v>5637</v>
      </c>
      <c r="H1118">
        <v>11201</v>
      </c>
      <c r="I1118" t="s">
        <v>5695</v>
      </c>
      <c r="J1118" t="s">
        <v>5696</v>
      </c>
      <c r="K1118" t="s">
        <v>6145</v>
      </c>
      <c r="L1118" t="s">
        <v>6729</v>
      </c>
      <c r="M1118" t="s">
        <v>6736</v>
      </c>
      <c r="O1118" t="s">
        <v>6746</v>
      </c>
      <c r="P1118" t="s">
        <v>5697</v>
      </c>
      <c r="R1118" t="s">
        <v>6793</v>
      </c>
      <c r="S1118" t="s">
        <v>6801</v>
      </c>
      <c r="U1118">
        <v>281</v>
      </c>
      <c r="V1118" t="s">
        <v>6835</v>
      </c>
      <c r="W1118" t="s">
        <v>6843</v>
      </c>
      <c r="Y1118" t="s">
        <v>7928</v>
      </c>
      <c r="Z1118" t="s">
        <v>8999</v>
      </c>
      <c r="AA1118" t="s">
        <v>9967</v>
      </c>
      <c r="AB1118">
        <v>30</v>
      </c>
      <c r="AC1118" t="s">
        <v>10940</v>
      </c>
      <c r="AD1118" t="s">
        <v>5741</v>
      </c>
      <c r="AE1118">
        <v>47</v>
      </c>
      <c r="AF1118">
        <v>1</v>
      </c>
      <c r="AG1118">
        <v>0</v>
      </c>
      <c r="AH1118">
        <v>38.24</v>
      </c>
      <c r="AK1118" t="s">
        <v>10966</v>
      </c>
      <c r="AL1118">
        <v>4776</v>
      </c>
      <c r="AR1118">
        <v>35.4</v>
      </c>
      <c r="AS1118" t="s">
        <v>6822</v>
      </c>
      <c r="AT1118" t="s">
        <v>11178</v>
      </c>
      <c r="AU1118" t="s">
        <v>11228</v>
      </c>
      <c r="AV1118" t="s">
        <v>11231</v>
      </c>
      <c r="AW1118" t="s">
        <v>11117</v>
      </c>
    </row>
    <row r="1119" spans="1:49">
      <c r="A1119" s="1">
        <f>HYPERLINK("https://lsnyc.legalserver.org/matter/dynamic-profile/view/1904982","19-1904982")</f>
        <v>0</v>
      </c>
      <c r="B1119" t="s">
        <v>221</v>
      </c>
      <c r="C1119" t="s">
        <v>1082</v>
      </c>
      <c r="D1119" t="s">
        <v>2436</v>
      </c>
      <c r="E1119" t="s">
        <v>4112</v>
      </c>
      <c r="F1119">
        <v>2</v>
      </c>
      <c r="G1119" t="s">
        <v>5635</v>
      </c>
      <c r="H1119">
        <v>10467</v>
      </c>
      <c r="I1119" t="s">
        <v>5695</v>
      </c>
      <c r="J1119" t="s">
        <v>5696</v>
      </c>
      <c r="L1119" t="s">
        <v>6729</v>
      </c>
      <c r="M1119" t="s">
        <v>6736</v>
      </c>
      <c r="O1119" t="s">
        <v>6747</v>
      </c>
      <c r="P1119" t="s">
        <v>5697</v>
      </c>
      <c r="R1119" t="s">
        <v>6795</v>
      </c>
      <c r="S1119" t="s">
        <v>6801</v>
      </c>
      <c r="T1119" t="s">
        <v>6812</v>
      </c>
      <c r="U1119">
        <v>1545</v>
      </c>
      <c r="V1119" t="s">
        <v>6833</v>
      </c>
      <c r="W1119" t="s">
        <v>6843</v>
      </c>
      <c r="Y1119" t="s">
        <v>7929</v>
      </c>
      <c r="AA1119" t="s">
        <v>9968</v>
      </c>
      <c r="AB1119">
        <v>3</v>
      </c>
      <c r="AC1119" t="s">
        <v>10939</v>
      </c>
      <c r="AD1119" t="s">
        <v>10944</v>
      </c>
      <c r="AE1119">
        <v>6</v>
      </c>
      <c r="AF1119">
        <v>3</v>
      </c>
      <c r="AG1119">
        <v>0</v>
      </c>
      <c r="AH1119">
        <v>187.53</v>
      </c>
      <c r="AK1119" t="s">
        <v>10966</v>
      </c>
      <c r="AL1119">
        <v>40000</v>
      </c>
      <c r="AR1119">
        <v>24.4</v>
      </c>
      <c r="AS1119" t="s">
        <v>6826</v>
      </c>
      <c r="AT1119" t="s">
        <v>219</v>
      </c>
      <c r="AU1119" t="s">
        <v>11228</v>
      </c>
      <c r="AV1119" t="s">
        <v>11231</v>
      </c>
      <c r="AW1119" t="s">
        <v>6812</v>
      </c>
    </row>
    <row r="1120" spans="1:49">
      <c r="A1120" s="1">
        <f>HYPERLINK("https://lsnyc.legalserver.org/matter/dynamic-profile/view/1901296","19-1901296")</f>
        <v>0</v>
      </c>
      <c r="B1120" t="s">
        <v>60</v>
      </c>
      <c r="C1120" t="s">
        <v>371</v>
      </c>
      <c r="D1120" t="s">
        <v>2437</v>
      </c>
      <c r="E1120" t="s">
        <v>4113</v>
      </c>
      <c r="F1120" t="s">
        <v>5137</v>
      </c>
      <c r="G1120" t="s">
        <v>5636</v>
      </c>
      <c r="H1120">
        <v>10301</v>
      </c>
      <c r="I1120" t="s">
        <v>5696</v>
      </c>
      <c r="J1120" t="s">
        <v>5696</v>
      </c>
      <c r="L1120" t="s">
        <v>6729</v>
      </c>
      <c r="M1120" t="s">
        <v>6736</v>
      </c>
      <c r="O1120" t="s">
        <v>6745</v>
      </c>
      <c r="P1120" t="s">
        <v>5697</v>
      </c>
      <c r="R1120" t="s">
        <v>6796</v>
      </c>
      <c r="S1120" t="s">
        <v>6801</v>
      </c>
      <c r="U1120">
        <v>2200</v>
      </c>
      <c r="V1120" t="s">
        <v>6834</v>
      </c>
      <c r="W1120" t="s">
        <v>6843</v>
      </c>
      <c r="Y1120" t="s">
        <v>7930</v>
      </c>
      <c r="AA1120" t="s">
        <v>9969</v>
      </c>
      <c r="AB1120">
        <v>227</v>
      </c>
      <c r="AC1120" t="s">
        <v>10935</v>
      </c>
      <c r="AD1120" t="s">
        <v>10944</v>
      </c>
      <c r="AE1120">
        <v>7</v>
      </c>
      <c r="AF1120">
        <v>2</v>
      </c>
      <c r="AG1120">
        <v>0</v>
      </c>
      <c r="AH1120">
        <v>37.61</v>
      </c>
      <c r="AK1120" t="s">
        <v>10966</v>
      </c>
      <c r="AL1120">
        <v>6360</v>
      </c>
      <c r="AR1120">
        <v>40.9</v>
      </c>
      <c r="AS1120" t="s">
        <v>6826</v>
      </c>
      <c r="AT1120" t="s">
        <v>60</v>
      </c>
      <c r="AV1120" t="s">
        <v>11231</v>
      </c>
      <c r="AW1120" t="s">
        <v>11148</v>
      </c>
    </row>
    <row r="1121" spans="1:49">
      <c r="A1121" s="1">
        <f>HYPERLINK("https://lsnyc.legalserver.org/matter/dynamic-profile/view/1905550","19-1905550")</f>
        <v>0</v>
      </c>
      <c r="B1121" t="s">
        <v>178</v>
      </c>
      <c r="C1121" t="s">
        <v>670</v>
      </c>
      <c r="D1121" t="s">
        <v>1685</v>
      </c>
      <c r="E1121" t="s">
        <v>3508</v>
      </c>
      <c r="F1121" t="s">
        <v>5161</v>
      </c>
      <c r="G1121" t="s">
        <v>5638</v>
      </c>
      <c r="H1121">
        <v>10035</v>
      </c>
      <c r="I1121" t="s">
        <v>5695</v>
      </c>
      <c r="J1121" t="s">
        <v>5696</v>
      </c>
      <c r="L1121" t="s">
        <v>6729</v>
      </c>
      <c r="M1121" t="s">
        <v>6736</v>
      </c>
      <c r="O1121" t="s">
        <v>6745</v>
      </c>
      <c r="P1121" t="s">
        <v>5697</v>
      </c>
      <c r="R1121" t="s">
        <v>6793</v>
      </c>
      <c r="T1121" t="s">
        <v>6819</v>
      </c>
      <c r="U1121">
        <v>1575</v>
      </c>
      <c r="V1121" t="s">
        <v>6836</v>
      </c>
      <c r="W1121" t="s">
        <v>6843</v>
      </c>
      <c r="Y1121" t="s">
        <v>7301</v>
      </c>
      <c r="AA1121" t="s">
        <v>9416</v>
      </c>
      <c r="AB1121">
        <v>10</v>
      </c>
      <c r="AC1121" t="s">
        <v>10929</v>
      </c>
      <c r="AD1121" t="s">
        <v>5741</v>
      </c>
      <c r="AE1121">
        <v>0</v>
      </c>
      <c r="AF1121">
        <v>3</v>
      </c>
      <c r="AG1121">
        <v>1</v>
      </c>
      <c r="AH1121">
        <v>166.99</v>
      </c>
      <c r="AK1121" t="s">
        <v>10966</v>
      </c>
      <c r="AL1121">
        <v>43000</v>
      </c>
      <c r="AR1121">
        <v>0</v>
      </c>
      <c r="AT1121" t="s">
        <v>11201</v>
      </c>
      <c r="AU1121" t="s">
        <v>11228</v>
      </c>
      <c r="AV1121" t="s">
        <v>11231</v>
      </c>
      <c r="AW1121" t="s">
        <v>6819</v>
      </c>
    </row>
    <row r="1122" spans="1:49">
      <c r="A1122" s="1">
        <f>HYPERLINK("https://lsnyc.legalserver.org/matter/dynamic-profile/view/1905437","19-1905437")</f>
        <v>0</v>
      </c>
      <c r="B1122" t="s">
        <v>178</v>
      </c>
      <c r="C1122" t="s">
        <v>540</v>
      </c>
      <c r="D1122" t="s">
        <v>2438</v>
      </c>
      <c r="E1122" t="s">
        <v>4114</v>
      </c>
      <c r="F1122">
        <v>16</v>
      </c>
      <c r="G1122" t="s">
        <v>5638</v>
      </c>
      <c r="H1122">
        <v>10032</v>
      </c>
      <c r="I1122" t="s">
        <v>5695</v>
      </c>
      <c r="J1122" t="s">
        <v>5696</v>
      </c>
      <c r="K1122" t="s">
        <v>6146</v>
      </c>
      <c r="L1122" t="s">
        <v>6711</v>
      </c>
      <c r="M1122" t="s">
        <v>6736</v>
      </c>
      <c r="O1122" t="s">
        <v>6745</v>
      </c>
      <c r="P1122" t="s">
        <v>5697</v>
      </c>
      <c r="R1122" t="s">
        <v>6793</v>
      </c>
      <c r="T1122" t="s">
        <v>6822</v>
      </c>
      <c r="U1122">
        <v>1142.3</v>
      </c>
      <c r="V1122" t="s">
        <v>6836</v>
      </c>
      <c r="W1122" t="s">
        <v>6843</v>
      </c>
      <c r="Y1122" t="s">
        <v>7931</v>
      </c>
      <c r="AA1122" t="s">
        <v>9970</v>
      </c>
      <c r="AB1122">
        <v>20</v>
      </c>
      <c r="AC1122" t="s">
        <v>10929</v>
      </c>
      <c r="AD1122" t="s">
        <v>5741</v>
      </c>
      <c r="AE1122">
        <v>25</v>
      </c>
      <c r="AF1122">
        <v>3</v>
      </c>
      <c r="AG1122">
        <v>2</v>
      </c>
      <c r="AH1122">
        <v>77.56</v>
      </c>
      <c r="AK1122" t="s">
        <v>10967</v>
      </c>
      <c r="AL1122">
        <v>23400</v>
      </c>
      <c r="AR1122">
        <v>0.1</v>
      </c>
      <c r="AS1122" t="s">
        <v>6822</v>
      </c>
      <c r="AT1122" t="s">
        <v>11201</v>
      </c>
      <c r="AU1122" t="s">
        <v>11228</v>
      </c>
      <c r="AV1122" t="s">
        <v>11231</v>
      </c>
      <c r="AW1122" t="s">
        <v>6822</v>
      </c>
    </row>
    <row r="1123" spans="1:49">
      <c r="A1123" s="1">
        <f>HYPERLINK("https://lsnyc.legalserver.org/matter/dynamic-profile/view/1905904","19-1905904")</f>
        <v>0</v>
      </c>
      <c r="B1123" t="s">
        <v>232</v>
      </c>
      <c r="C1123" t="s">
        <v>1083</v>
      </c>
      <c r="D1123" t="s">
        <v>770</v>
      </c>
      <c r="E1123" t="s">
        <v>4115</v>
      </c>
      <c r="G1123" t="s">
        <v>5646</v>
      </c>
      <c r="H1123">
        <v>11354</v>
      </c>
      <c r="I1123" t="s">
        <v>5696</v>
      </c>
      <c r="J1123" t="s">
        <v>5696</v>
      </c>
      <c r="K1123" t="s">
        <v>6147</v>
      </c>
      <c r="L1123" t="s">
        <v>6730</v>
      </c>
      <c r="M1123" t="s">
        <v>6736</v>
      </c>
      <c r="O1123" t="s">
        <v>6748</v>
      </c>
      <c r="P1123" t="s">
        <v>5697</v>
      </c>
      <c r="Q1123" t="s">
        <v>6745</v>
      </c>
      <c r="R1123" t="s">
        <v>6793</v>
      </c>
      <c r="S1123" t="s">
        <v>6801</v>
      </c>
      <c r="U1123">
        <v>1100</v>
      </c>
      <c r="V1123" t="s">
        <v>6837</v>
      </c>
      <c r="W1123" t="s">
        <v>6843</v>
      </c>
      <c r="Y1123" t="s">
        <v>7932</v>
      </c>
      <c r="AA1123" t="s">
        <v>9971</v>
      </c>
      <c r="AB1123">
        <v>2</v>
      </c>
      <c r="AC1123" t="s">
        <v>10930</v>
      </c>
      <c r="AD1123" t="s">
        <v>5741</v>
      </c>
      <c r="AE1123">
        <v>1</v>
      </c>
      <c r="AF1123">
        <v>1</v>
      </c>
      <c r="AG1123">
        <v>0</v>
      </c>
      <c r="AH1123">
        <v>120.1</v>
      </c>
      <c r="AK1123" t="s">
        <v>10982</v>
      </c>
      <c r="AL1123">
        <v>15000</v>
      </c>
      <c r="AR1123">
        <v>4.5</v>
      </c>
      <c r="AS1123" t="s">
        <v>6820</v>
      </c>
      <c r="AT1123" t="s">
        <v>11203</v>
      </c>
      <c r="AV1123" t="s">
        <v>11231</v>
      </c>
      <c r="AW1123" t="s">
        <v>6824</v>
      </c>
    </row>
    <row r="1124" spans="1:49">
      <c r="A1124" s="1">
        <f>HYPERLINK("https://lsnyc.legalserver.org/matter/dynamic-profile/view/1897715","19-1897715")</f>
        <v>0</v>
      </c>
      <c r="B1124" t="s">
        <v>269</v>
      </c>
      <c r="C1124" t="s">
        <v>1084</v>
      </c>
      <c r="D1124" t="s">
        <v>2439</v>
      </c>
      <c r="E1124" t="s">
        <v>4116</v>
      </c>
      <c r="F1124" t="s">
        <v>5244</v>
      </c>
      <c r="G1124" t="s">
        <v>5636</v>
      </c>
      <c r="H1124">
        <v>10306</v>
      </c>
      <c r="I1124" t="s">
        <v>5697</v>
      </c>
      <c r="J1124" t="s">
        <v>5696</v>
      </c>
      <c r="K1124" t="s">
        <v>6148</v>
      </c>
      <c r="L1124" t="s">
        <v>6712</v>
      </c>
      <c r="M1124" t="s">
        <v>6736</v>
      </c>
      <c r="O1124" t="s">
        <v>6745</v>
      </c>
      <c r="P1124" t="s">
        <v>5697</v>
      </c>
      <c r="R1124" t="s">
        <v>6793</v>
      </c>
      <c r="S1124" t="s">
        <v>6801</v>
      </c>
      <c r="U1124">
        <v>600</v>
      </c>
      <c r="V1124" t="s">
        <v>6834</v>
      </c>
      <c r="W1124" t="s">
        <v>6842</v>
      </c>
      <c r="Y1124" t="s">
        <v>7933</v>
      </c>
      <c r="AA1124" t="s">
        <v>9972</v>
      </c>
      <c r="AB1124">
        <v>0</v>
      </c>
      <c r="AC1124" t="s">
        <v>10930</v>
      </c>
      <c r="AD1124" t="s">
        <v>5741</v>
      </c>
      <c r="AE1124">
        <v>-1</v>
      </c>
      <c r="AF1124">
        <v>1</v>
      </c>
      <c r="AG1124">
        <v>0</v>
      </c>
      <c r="AH1124">
        <v>72.06</v>
      </c>
      <c r="AK1124" t="s">
        <v>10966</v>
      </c>
      <c r="AL1124">
        <v>9000</v>
      </c>
      <c r="AN1124" t="s">
        <v>11084</v>
      </c>
      <c r="AO1124" t="s">
        <v>6841</v>
      </c>
      <c r="AR1124">
        <v>35.45</v>
      </c>
      <c r="AS1124" t="s">
        <v>6808</v>
      </c>
      <c r="AT1124" t="s">
        <v>11177</v>
      </c>
      <c r="AU1124" t="s">
        <v>11228</v>
      </c>
      <c r="AV1124" t="s">
        <v>11231</v>
      </c>
      <c r="AW1124" t="s">
        <v>11146</v>
      </c>
    </row>
    <row r="1125" spans="1:49">
      <c r="A1125" s="1">
        <f>HYPERLINK("https://lsnyc.legalserver.org/matter/dynamic-profile/view/1905090","19-1905090")</f>
        <v>0</v>
      </c>
      <c r="B1125" t="s">
        <v>217</v>
      </c>
      <c r="C1125" t="s">
        <v>1085</v>
      </c>
      <c r="D1125" t="s">
        <v>2440</v>
      </c>
      <c r="E1125" t="s">
        <v>4117</v>
      </c>
      <c r="F1125" t="s">
        <v>5451</v>
      </c>
      <c r="G1125" t="s">
        <v>5644</v>
      </c>
      <c r="H1125">
        <v>11434</v>
      </c>
      <c r="I1125" t="s">
        <v>5695</v>
      </c>
      <c r="J1125" t="s">
        <v>5696</v>
      </c>
      <c r="K1125" t="s">
        <v>6149</v>
      </c>
      <c r="L1125" t="s">
        <v>6712</v>
      </c>
      <c r="M1125" t="s">
        <v>6736</v>
      </c>
      <c r="O1125" t="s">
        <v>6752</v>
      </c>
      <c r="P1125" t="s">
        <v>5697</v>
      </c>
      <c r="R1125" t="s">
        <v>6793</v>
      </c>
      <c r="T1125" t="s">
        <v>6814</v>
      </c>
      <c r="U1125">
        <v>950</v>
      </c>
      <c r="V1125" t="s">
        <v>6837</v>
      </c>
      <c r="W1125" t="s">
        <v>6839</v>
      </c>
      <c r="Y1125" t="s">
        <v>7934</v>
      </c>
      <c r="AA1125" t="s">
        <v>8917</v>
      </c>
      <c r="AB1125">
        <v>3</v>
      </c>
      <c r="AC1125" t="s">
        <v>10930</v>
      </c>
      <c r="AD1125" t="s">
        <v>5741</v>
      </c>
      <c r="AE1125">
        <v>3</v>
      </c>
      <c r="AF1125">
        <v>2</v>
      </c>
      <c r="AG1125">
        <v>2</v>
      </c>
      <c r="AH1125">
        <v>128.16</v>
      </c>
      <c r="AK1125" t="s">
        <v>10966</v>
      </c>
      <c r="AL1125">
        <v>33000</v>
      </c>
      <c r="AR1125">
        <v>2.1</v>
      </c>
      <c r="AS1125" t="s">
        <v>6827</v>
      </c>
      <c r="AT1125" t="s">
        <v>11182</v>
      </c>
      <c r="AU1125" t="s">
        <v>11228</v>
      </c>
      <c r="AV1125" t="s">
        <v>11231</v>
      </c>
      <c r="AW1125" t="s">
        <v>6814</v>
      </c>
    </row>
    <row r="1126" spans="1:49">
      <c r="A1126" s="1">
        <f>HYPERLINK("https://lsnyc.legalserver.org/matter/dynamic-profile/view/1906261","19-1906261")</f>
        <v>0</v>
      </c>
      <c r="B1126" t="s">
        <v>108</v>
      </c>
      <c r="C1126" t="s">
        <v>1086</v>
      </c>
      <c r="D1126" t="s">
        <v>2441</v>
      </c>
      <c r="E1126" t="s">
        <v>4118</v>
      </c>
      <c r="F1126" t="s">
        <v>5452</v>
      </c>
      <c r="G1126" t="s">
        <v>5635</v>
      </c>
      <c r="H1126">
        <v>10462</v>
      </c>
      <c r="I1126" t="s">
        <v>5695</v>
      </c>
      <c r="J1126" t="s">
        <v>5696</v>
      </c>
      <c r="K1126" t="s">
        <v>6150</v>
      </c>
      <c r="L1126" t="s">
        <v>6712</v>
      </c>
      <c r="M1126" t="s">
        <v>6736</v>
      </c>
      <c r="O1126" t="s">
        <v>6763</v>
      </c>
      <c r="P1126" t="s">
        <v>5697</v>
      </c>
      <c r="R1126" t="s">
        <v>6793</v>
      </c>
      <c r="T1126" t="s">
        <v>6827</v>
      </c>
      <c r="U1126">
        <v>2206</v>
      </c>
      <c r="V1126" t="s">
        <v>6833</v>
      </c>
      <c r="W1126" t="s">
        <v>6840</v>
      </c>
      <c r="Y1126" t="s">
        <v>7935</v>
      </c>
      <c r="AA1126" t="s">
        <v>9973</v>
      </c>
      <c r="AB1126">
        <v>0</v>
      </c>
      <c r="AC1126" t="s">
        <v>10929</v>
      </c>
      <c r="AD1126" t="s">
        <v>5741</v>
      </c>
      <c r="AE1126">
        <v>22</v>
      </c>
      <c r="AF1126">
        <v>2</v>
      </c>
      <c r="AG1126">
        <v>1</v>
      </c>
      <c r="AH1126">
        <v>185.85</v>
      </c>
      <c r="AK1126" t="s">
        <v>10966</v>
      </c>
      <c r="AL1126">
        <v>39642</v>
      </c>
      <c r="AR1126">
        <v>2</v>
      </c>
      <c r="AS1126" t="s">
        <v>6827</v>
      </c>
      <c r="AT1126" t="s">
        <v>11179</v>
      </c>
      <c r="AU1126" t="s">
        <v>11228</v>
      </c>
      <c r="AV1126" t="s">
        <v>11231</v>
      </c>
      <c r="AW1126" t="s">
        <v>6827</v>
      </c>
    </row>
    <row r="1127" spans="1:49">
      <c r="A1127" s="1">
        <f>HYPERLINK("https://lsnyc.legalserver.org/matter/dynamic-profile/view/1906026","19-1906026")</f>
        <v>0</v>
      </c>
      <c r="B1127" t="s">
        <v>270</v>
      </c>
      <c r="C1127" t="s">
        <v>481</v>
      </c>
      <c r="D1127" t="s">
        <v>2442</v>
      </c>
      <c r="E1127" t="s">
        <v>4119</v>
      </c>
      <c r="F1127">
        <v>8</v>
      </c>
      <c r="G1127" t="s">
        <v>5637</v>
      </c>
      <c r="H1127">
        <v>11218</v>
      </c>
      <c r="I1127" t="s">
        <v>5695</v>
      </c>
      <c r="J1127" t="s">
        <v>5696</v>
      </c>
      <c r="L1127" t="s">
        <v>6712</v>
      </c>
      <c r="M1127" t="s">
        <v>6736</v>
      </c>
      <c r="O1127" t="s">
        <v>6745</v>
      </c>
      <c r="R1127" t="s">
        <v>6793</v>
      </c>
      <c r="T1127" t="s">
        <v>6819</v>
      </c>
      <c r="U1127">
        <v>1615</v>
      </c>
      <c r="V1127" t="s">
        <v>6835</v>
      </c>
      <c r="Y1127" t="s">
        <v>7936</v>
      </c>
      <c r="AA1127" t="s">
        <v>9974</v>
      </c>
      <c r="AB1127">
        <v>0</v>
      </c>
      <c r="AE1127">
        <v>3</v>
      </c>
      <c r="AF1127">
        <v>1</v>
      </c>
      <c r="AG1127">
        <v>0</v>
      </c>
      <c r="AH1127">
        <v>240.19</v>
      </c>
      <c r="AK1127" t="s">
        <v>10966</v>
      </c>
      <c r="AL1127">
        <v>30000</v>
      </c>
      <c r="AR1127">
        <v>0</v>
      </c>
      <c r="AT1127" t="s">
        <v>278</v>
      </c>
      <c r="AU1127" t="s">
        <v>11228</v>
      </c>
      <c r="AV1127" t="s">
        <v>11231</v>
      </c>
      <c r="AW1127" t="s">
        <v>6826</v>
      </c>
    </row>
    <row r="1128" spans="1:49">
      <c r="A1128" s="1">
        <f>HYPERLINK("https://lsnyc.legalserver.org/matter/dynamic-profile/view/1896104","19-1896104")</f>
        <v>0</v>
      </c>
      <c r="B1128" t="s">
        <v>192</v>
      </c>
      <c r="C1128" t="s">
        <v>1087</v>
      </c>
      <c r="D1128" t="s">
        <v>1679</v>
      </c>
      <c r="E1128" t="s">
        <v>4120</v>
      </c>
      <c r="F1128" t="s">
        <v>5453</v>
      </c>
      <c r="G1128" t="s">
        <v>5635</v>
      </c>
      <c r="H1128">
        <v>10462</v>
      </c>
      <c r="I1128" t="s">
        <v>5695</v>
      </c>
      <c r="J1128" t="s">
        <v>5696</v>
      </c>
      <c r="K1128" t="s">
        <v>6151</v>
      </c>
      <c r="L1128" t="s">
        <v>6712</v>
      </c>
      <c r="M1128" t="s">
        <v>6736</v>
      </c>
      <c r="O1128" t="s">
        <v>6758</v>
      </c>
      <c r="P1128" t="s">
        <v>5697</v>
      </c>
      <c r="R1128" t="s">
        <v>6793</v>
      </c>
      <c r="U1128">
        <v>1200</v>
      </c>
      <c r="V1128" t="s">
        <v>6833</v>
      </c>
      <c r="W1128" t="s">
        <v>6843</v>
      </c>
      <c r="Y1128" t="s">
        <v>7937</v>
      </c>
      <c r="Z1128" t="s">
        <v>9000</v>
      </c>
      <c r="AA1128" t="s">
        <v>9975</v>
      </c>
      <c r="AB1128">
        <v>0</v>
      </c>
      <c r="AC1128" t="s">
        <v>10930</v>
      </c>
      <c r="AD1128" t="s">
        <v>5741</v>
      </c>
      <c r="AE1128">
        <v>2</v>
      </c>
      <c r="AF1128">
        <v>1</v>
      </c>
      <c r="AG1128">
        <v>1</v>
      </c>
      <c r="AH1128">
        <v>105.17</v>
      </c>
      <c r="AK1128" t="s">
        <v>10966</v>
      </c>
      <c r="AL1128">
        <v>17784</v>
      </c>
      <c r="AR1128">
        <v>9.25</v>
      </c>
      <c r="AS1128" t="s">
        <v>6817</v>
      </c>
      <c r="AT1128" t="s">
        <v>11187</v>
      </c>
      <c r="AU1128" t="s">
        <v>11228</v>
      </c>
      <c r="AV1128" t="s">
        <v>11231</v>
      </c>
      <c r="AW1128" t="s">
        <v>10962</v>
      </c>
    </row>
    <row r="1129" spans="1:49">
      <c r="A1129" s="1">
        <f>HYPERLINK("https://lsnyc.legalserver.org/matter/dynamic-profile/view/1903021","19-1903021")</f>
        <v>0</v>
      </c>
      <c r="B1129" t="s">
        <v>224</v>
      </c>
      <c r="C1129" t="s">
        <v>395</v>
      </c>
      <c r="D1129" t="s">
        <v>2443</v>
      </c>
      <c r="E1129" t="s">
        <v>4121</v>
      </c>
      <c r="F1129" t="s">
        <v>5454</v>
      </c>
      <c r="G1129" t="s">
        <v>5637</v>
      </c>
      <c r="H1129">
        <v>11233</v>
      </c>
      <c r="I1129" t="s">
        <v>5695</v>
      </c>
      <c r="J1129" t="s">
        <v>5696</v>
      </c>
      <c r="K1129" t="s">
        <v>6152</v>
      </c>
      <c r="L1129" t="s">
        <v>6712</v>
      </c>
      <c r="M1129" t="s">
        <v>6736</v>
      </c>
      <c r="O1129" t="s">
        <v>6746</v>
      </c>
      <c r="P1129" t="s">
        <v>5697</v>
      </c>
      <c r="R1129" t="s">
        <v>6793</v>
      </c>
      <c r="U1129">
        <v>257</v>
      </c>
      <c r="V1129" t="s">
        <v>6835</v>
      </c>
      <c r="W1129" t="s">
        <v>6854</v>
      </c>
      <c r="Y1129" t="s">
        <v>7938</v>
      </c>
      <c r="AA1129" t="s">
        <v>9976</v>
      </c>
      <c r="AB1129">
        <v>0</v>
      </c>
      <c r="AC1129" t="s">
        <v>10932</v>
      </c>
      <c r="AE1129">
        <v>1</v>
      </c>
      <c r="AF1129">
        <v>1</v>
      </c>
      <c r="AG1129">
        <v>0</v>
      </c>
      <c r="AH1129">
        <v>18.94</v>
      </c>
      <c r="AK1129" t="s">
        <v>10966</v>
      </c>
      <c r="AL1129">
        <v>2366</v>
      </c>
      <c r="AR1129">
        <v>5.95</v>
      </c>
      <c r="AS1129" t="s">
        <v>6814</v>
      </c>
      <c r="AT1129" t="s">
        <v>11197</v>
      </c>
      <c r="AU1129" t="s">
        <v>11228</v>
      </c>
      <c r="AV1129" t="s">
        <v>11231</v>
      </c>
      <c r="AW1129" t="s">
        <v>11138</v>
      </c>
    </row>
    <row r="1130" spans="1:49">
      <c r="A1130" s="1">
        <f>HYPERLINK("https://lsnyc.legalserver.org/matter/dynamic-profile/view/1904618","19-1904618")</f>
        <v>0</v>
      </c>
      <c r="B1130" t="s">
        <v>271</v>
      </c>
      <c r="C1130" t="s">
        <v>663</v>
      </c>
      <c r="D1130" t="s">
        <v>2444</v>
      </c>
      <c r="E1130" t="s">
        <v>4122</v>
      </c>
      <c r="F1130">
        <v>1</v>
      </c>
      <c r="G1130" t="s">
        <v>5637</v>
      </c>
      <c r="H1130">
        <v>11216</v>
      </c>
      <c r="I1130" t="s">
        <v>5695</v>
      </c>
      <c r="J1130" t="s">
        <v>5696</v>
      </c>
      <c r="K1130" t="s">
        <v>6153</v>
      </c>
      <c r="L1130" t="s">
        <v>6712</v>
      </c>
      <c r="M1130" t="s">
        <v>6736</v>
      </c>
      <c r="O1130" t="s">
        <v>6755</v>
      </c>
      <c r="R1130" t="s">
        <v>6793</v>
      </c>
      <c r="U1130">
        <v>1200</v>
      </c>
      <c r="V1130" t="s">
        <v>6835</v>
      </c>
      <c r="W1130" t="s">
        <v>6854</v>
      </c>
      <c r="Y1130" t="s">
        <v>7939</v>
      </c>
      <c r="AA1130" t="s">
        <v>9977</v>
      </c>
      <c r="AB1130">
        <v>0</v>
      </c>
      <c r="AE1130">
        <v>2</v>
      </c>
      <c r="AF1130">
        <v>1</v>
      </c>
      <c r="AG1130">
        <v>0</v>
      </c>
      <c r="AH1130">
        <v>184.15</v>
      </c>
      <c r="AK1130" t="s">
        <v>10966</v>
      </c>
      <c r="AL1130">
        <v>23000</v>
      </c>
      <c r="AR1130">
        <v>0.8</v>
      </c>
      <c r="AS1130" t="s">
        <v>6808</v>
      </c>
      <c r="AT1130" t="s">
        <v>11197</v>
      </c>
      <c r="AU1130" t="s">
        <v>11228</v>
      </c>
      <c r="AV1130" t="s">
        <v>11231</v>
      </c>
      <c r="AW1130" t="s">
        <v>6809</v>
      </c>
    </row>
    <row r="1131" spans="1:49">
      <c r="A1131" s="1">
        <f>HYPERLINK("https://lsnyc.legalserver.org/matter/dynamic-profile/view/1900892","19-1900892")</f>
        <v>0</v>
      </c>
      <c r="B1131" t="s">
        <v>224</v>
      </c>
      <c r="C1131" t="s">
        <v>306</v>
      </c>
      <c r="D1131" t="s">
        <v>1896</v>
      </c>
      <c r="E1131" t="s">
        <v>4123</v>
      </c>
      <c r="F1131" t="s">
        <v>5455</v>
      </c>
      <c r="G1131" t="s">
        <v>5637</v>
      </c>
      <c r="H1131">
        <v>11216</v>
      </c>
      <c r="I1131" t="s">
        <v>5696</v>
      </c>
      <c r="J1131" t="s">
        <v>5696</v>
      </c>
      <c r="K1131" t="s">
        <v>6154</v>
      </c>
      <c r="L1131" t="s">
        <v>6712</v>
      </c>
      <c r="M1131" t="s">
        <v>6736</v>
      </c>
      <c r="O1131" t="s">
        <v>6755</v>
      </c>
      <c r="R1131" t="s">
        <v>6793</v>
      </c>
      <c r="U1131">
        <v>1172</v>
      </c>
      <c r="V1131" t="s">
        <v>6835</v>
      </c>
      <c r="W1131" t="s">
        <v>6854</v>
      </c>
      <c r="Y1131" t="s">
        <v>7940</v>
      </c>
      <c r="AA1131" t="s">
        <v>9978</v>
      </c>
      <c r="AB1131">
        <v>0</v>
      </c>
      <c r="AE1131">
        <v>4</v>
      </c>
      <c r="AF1131">
        <v>1</v>
      </c>
      <c r="AG1131">
        <v>0</v>
      </c>
      <c r="AH1131">
        <v>2.88</v>
      </c>
      <c r="AK1131" t="s">
        <v>10966</v>
      </c>
      <c r="AL1131">
        <v>360</v>
      </c>
      <c r="AR1131">
        <v>31.1</v>
      </c>
      <c r="AS1131" t="s">
        <v>6809</v>
      </c>
      <c r="AT1131" t="s">
        <v>11190</v>
      </c>
      <c r="AV1131" t="s">
        <v>11231</v>
      </c>
      <c r="AW1131" t="s">
        <v>11157</v>
      </c>
    </row>
    <row r="1132" spans="1:49">
      <c r="A1132" s="1">
        <f>HYPERLINK("https://lsnyc.legalserver.org/matter/dynamic-profile/view/1903211","19-1903211")</f>
        <v>0</v>
      </c>
      <c r="B1132" t="s">
        <v>90</v>
      </c>
      <c r="C1132" t="s">
        <v>1088</v>
      </c>
      <c r="D1132" t="s">
        <v>1741</v>
      </c>
      <c r="E1132" t="s">
        <v>4124</v>
      </c>
      <c r="F1132" t="s">
        <v>5215</v>
      </c>
      <c r="G1132" t="s">
        <v>5637</v>
      </c>
      <c r="H1132">
        <v>11221</v>
      </c>
      <c r="I1132" t="s">
        <v>5695</v>
      </c>
      <c r="J1132" t="s">
        <v>5696</v>
      </c>
      <c r="K1132" t="s">
        <v>6155</v>
      </c>
      <c r="L1132" t="s">
        <v>6712</v>
      </c>
      <c r="M1132" t="s">
        <v>6736</v>
      </c>
      <c r="O1132" t="s">
        <v>6755</v>
      </c>
      <c r="P1132" t="s">
        <v>5697</v>
      </c>
      <c r="R1132" t="s">
        <v>6793</v>
      </c>
      <c r="T1132" t="s">
        <v>6811</v>
      </c>
      <c r="U1132">
        <v>860</v>
      </c>
      <c r="V1132" t="s">
        <v>6835</v>
      </c>
      <c r="W1132" t="s">
        <v>6854</v>
      </c>
      <c r="Y1132" t="s">
        <v>7941</v>
      </c>
      <c r="AA1132" t="s">
        <v>9979</v>
      </c>
      <c r="AB1132">
        <v>0</v>
      </c>
      <c r="AE1132">
        <v>15</v>
      </c>
      <c r="AF1132">
        <v>2</v>
      </c>
      <c r="AG1132">
        <v>0</v>
      </c>
      <c r="AH1132">
        <v>177.41</v>
      </c>
      <c r="AK1132" t="s">
        <v>10966</v>
      </c>
      <c r="AL1132">
        <v>30000</v>
      </c>
      <c r="AR1132">
        <v>5</v>
      </c>
      <c r="AS1132" t="s">
        <v>6809</v>
      </c>
      <c r="AT1132" t="s">
        <v>11197</v>
      </c>
      <c r="AU1132" t="s">
        <v>11228</v>
      </c>
      <c r="AV1132" t="s">
        <v>11231</v>
      </c>
      <c r="AW1132" t="s">
        <v>11139</v>
      </c>
    </row>
    <row r="1133" spans="1:49">
      <c r="A1133" s="1">
        <f>HYPERLINK("https://lsnyc.legalserver.org/matter/dynamic-profile/view/1904697","19-1904697")</f>
        <v>0</v>
      </c>
      <c r="B1133" t="s">
        <v>215</v>
      </c>
      <c r="C1133" t="s">
        <v>1089</v>
      </c>
      <c r="D1133" t="s">
        <v>2445</v>
      </c>
      <c r="E1133" t="s">
        <v>4125</v>
      </c>
      <c r="F1133" t="s">
        <v>5456</v>
      </c>
      <c r="G1133" t="s">
        <v>5637</v>
      </c>
      <c r="H1133">
        <v>11221</v>
      </c>
      <c r="I1133" t="s">
        <v>5695</v>
      </c>
      <c r="J1133" t="s">
        <v>5696</v>
      </c>
      <c r="K1133" t="s">
        <v>6156</v>
      </c>
      <c r="L1133" t="s">
        <v>6712</v>
      </c>
      <c r="M1133" t="s">
        <v>6736</v>
      </c>
      <c r="O1133" t="s">
        <v>6755</v>
      </c>
      <c r="R1133" t="s">
        <v>6793</v>
      </c>
      <c r="U1133">
        <v>650</v>
      </c>
      <c r="V1133" t="s">
        <v>6835</v>
      </c>
      <c r="W1133" t="s">
        <v>6840</v>
      </c>
      <c r="Y1133" t="s">
        <v>7942</v>
      </c>
      <c r="AA1133" t="s">
        <v>9980</v>
      </c>
      <c r="AB1133">
        <v>0</v>
      </c>
      <c r="AE1133">
        <v>11</v>
      </c>
      <c r="AF1133">
        <v>1</v>
      </c>
      <c r="AG1133">
        <v>0</v>
      </c>
      <c r="AH1133">
        <v>0</v>
      </c>
      <c r="AK1133" t="s">
        <v>10966</v>
      </c>
      <c r="AL1133">
        <v>0</v>
      </c>
      <c r="AR1133">
        <v>2.5</v>
      </c>
      <c r="AS1133" t="s">
        <v>6810</v>
      </c>
      <c r="AT1133" t="s">
        <v>280</v>
      </c>
      <c r="AU1133" t="s">
        <v>11228</v>
      </c>
      <c r="AV1133" t="s">
        <v>11231</v>
      </c>
      <c r="AW1133" t="s">
        <v>6810</v>
      </c>
    </row>
    <row r="1134" spans="1:49">
      <c r="A1134" s="1">
        <f>HYPERLINK("https://lsnyc.legalserver.org/matter/dynamic-profile/view/1906301","19-1906301")</f>
        <v>0</v>
      </c>
      <c r="B1134" t="s">
        <v>231</v>
      </c>
      <c r="C1134" t="s">
        <v>1090</v>
      </c>
      <c r="D1134" t="s">
        <v>2446</v>
      </c>
      <c r="E1134" t="s">
        <v>4126</v>
      </c>
      <c r="F1134" t="s">
        <v>5457</v>
      </c>
      <c r="G1134" t="s">
        <v>5637</v>
      </c>
      <c r="H1134">
        <v>11226</v>
      </c>
      <c r="I1134" t="s">
        <v>5695</v>
      </c>
      <c r="J1134" t="s">
        <v>5696</v>
      </c>
      <c r="K1134" t="s">
        <v>6157</v>
      </c>
      <c r="L1134" t="s">
        <v>6712</v>
      </c>
      <c r="M1134" t="s">
        <v>6736</v>
      </c>
      <c r="O1134" t="s">
        <v>6755</v>
      </c>
      <c r="P1134" t="s">
        <v>5697</v>
      </c>
      <c r="R1134" t="s">
        <v>6793</v>
      </c>
      <c r="U1134">
        <v>1380.12</v>
      </c>
      <c r="V1134" t="s">
        <v>6835</v>
      </c>
      <c r="W1134" t="s">
        <v>6840</v>
      </c>
      <c r="Y1134" t="s">
        <v>7943</v>
      </c>
      <c r="AA1134" t="s">
        <v>9981</v>
      </c>
      <c r="AB1134">
        <v>0</v>
      </c>
      <c r="AE1134">
        <v>9</v>
      </c>
      <c r="AF1134">
        <v>1</v>
      </c>
      <c r="AG1134">
        <v>2</v>
      </c>
      <c r="AH1134">
        <v>146.27</v>
      </c>
      <c r="AK1134" t="s">
        <v>10966</v>
      </c>
      <c r="AL1134">
        <v>31200</v>
      </c>
      <c r="AR1134">
        <v>0</v>
      </c>
      <c r="AT1134" t="s">
        <v>11197</v>
      </c>
      <c r="AU1134" t="s">
        <v>11228</v>
      </c>
      <c r="AV1134" t="s">
        <v>11231</v>
      </c>
      <c r="AW1134" t="s">
        <v>6827</v>
      </c>
    </row>
    <row r="1135" spans="1:49">
      <c r="A1135" s="1">
        <f>HYPERLINK("https://lsnyc.legalserver.org/matter/dynamic-profile/view/1904846","19-1904846")</f>
        <v>0</v>
      </c>
      <c r="B1135" t="s">
        <v>99</v>
      </c>
      <c r="C1135" t="s">
        <v>1091</v>
      </c>
      <c r="D1135" t="s">
        <v>2447</v>
      </c>
      <c r="E1135" t="s">
        <v>4127</v>
      </c>
      <c r="F1135" t="s">
        <v>5148</v>
      </c>
      <c r="G1135" t="s">
        <v>5650</v>
      </c>
      <c r="H1135">
        <v>11365</v>
      </c>
      <c r="I1135" t="s">
        <v>5695</v>
      </c>
      <c r="J1135" t="s">
        <v>5696</v>
      </c>
      <c r="K1135" t="s">
        <v>6158</v>
      </c>
      <c r="L1135" t="s">
        <v>6712</v>
      </c>
      <c r="M1135" t="s">
        <v>6736</v>
      </c>
      <c r="O1135" t="s">
        <v>6754</v>
      </c>
      <c r="R1135" t="s">
        <v>6793</v>
      </c>
      <c r="T1135" t="s">
        <v>6816</v>
      </c>
      <c r="U1135">
        <v>0</v>
      </c>
      <c r="V1135" t="s">
        <v>6835</v>
      </c>
      <c r="Y1135" t="s">
        <v>7944</v>
      </c>
      <c r="AA1135" t="s">
        <v>9982</v>
      </c>
      <c r="AB1135">
        <v>0</v>
      </c>
      <c r="AE1135">
        <v>0</v>
      </c>
      <c r="AF1135">
        <v>1</v>
      </c>
      <c r="AG1135">
        <v>0</v>
      </c>
      <c r="AH1135">
        <v>172.94</v>
      </c>
      <c r="AK1135" t="s">
        <v>10978</v>
      </c>
      <c r="AL1135">
        <v>21600</v>
      </c>
      <c r="AR1135">
        <v>2.75</v>
      </c>
      <c r="AS1135" t="s">
        <v>6827</v>
      </c>
      <c r="AT1135" t="s">
        <v>11198</v>
      </c>
      <c r="AU1135" t="s">
        <v>11228</v>
      </c>
      <c r="AV1135" t="s">
        <v>11231</v>
      </c>
      <c r="AW1135" t="s">
        <v>6816</v>
      </c>
    </row>
    <row r="1136" spans="1:49">
      <c r="A1136" s="1">
        <f>HYPERLINK("https://lsnyc.legalserver.org/matter/dynamic-profile/view/1896283","19-1896283")</f>
        <v>0</v>
      </c>
      <c r="B1136" t="s">
        <v>271</v>
      </c>
      <c r="C1136" t="s">
        <v>439</v>
      </c>
      <c r="D1136" t="s">
        <v>2111</v>
      </c>
      <c r="E1136" t="s">
        <v>4128</v>
      </c>
      <c r="F1136">
        <v>6</v>
      </c>
      <c r="G1136" t="s">
        <v>5637</v>
      </c>
      <c r="H1136">
        <v>11220</v>
      </c>
      <c r="I1136" t="s">
        <v>5696</v>
      </c>
      <c r="J1136" t="s">
        <v>5696</v>
      </c>
      <c r="K1136" t="s">
        <v>6159</v>
      </c>
      <c r="L1136" t="s">
        <v>6712</v>
      </c>
      <c r="M1136" t="s">
        <v>6736</v>
      </c>
      <c r="O1136" t="s">
        <v>6746</v>
      </c>
      <c r="P1136" t="s">
        <v>5697</v>
      </c>
      <c r="R1136" t="s">
        <v>6793</v>
      </c>
      <c r="S1136" t="s">
        <v>6801</v>
      </c>
      <c r="U1136">
        <v>1552.92</v>
      </c>
      <c r="V1136" t="s">
        <v>6835</v>
      </c>
      <c r="W1136" t="s">
        <v>6840</v>
      </c>
      <c r="Y1136" t="s">
        <v>7945</v>
      </c>
      <c r="AA1136" t="s">
        <v>9983</v>
      </c>
      <c r="AB1136">
        <v>16</v>
      </c>
      <c r="AC1136" t="s">
        <v>10929</v>
      </c>
      <c r="AE1136">
        <v>26</v>
      </c>
      <c r="AF1136">
        <v>3</v>
      </c>
      <c r="AG1136">
        <v>1</v>
      </c>
      <c r="AH1136">
        <v>0</v>
      </c>
      <c r="AK1136" t="s">
        <v>10966</v>
      </c>
      <c r="AL1136">
        <v>0</v>
      </c>
      <c r="AR1136">
        <v>11.4</v>
      </c>
      <c r="AS1136" t="s">
        <v>11124</v>
      </c>
      <c r="AT1136" t="s">
        <v>11178</v>
      </c>
      <c r="AV1136" t="s">
        <v>11231</v>
      </c>
      <c r="AW1136" t="s">
        <v>11164</v>
      </c>
    </row>
    <row r="1137" spans="1:49">
      <c r="A1137" s="1">
        <f>HYPERLINK("https://lsnyc.legalserver.org/matter/dynamic-profile/view/1902955","19-1902955")</f>
        <v>0</v>
      </c>
      <c r="B1137" t="s">
        <v>90</v>
      </c>
      <c r="C1137" t="s">
        <v>559</v>
      </c>
      <c r="D1137" t="s">
        <v>2448</v>
      </c>
      <c r="E1137" t="s">
        <v>4129</v>
      </c>
      <c r="F1137" t="s">
        <v>5344</v>
      </c>
      <c r="G1137" t="s">
        <v>5637</v>
      </c>
      <c r="H1137">
        <v>11225</v>
      </c>
      <c r="I1137" t="s">
        <v>5695</v>
      </c>
      <c r="J1137" t="s">
        <v>5696</v>
      </c>
      <c r="K1137" t="s">
        <v>6160</v>
      </c>
      <c r="L1137" t="s">
        <v>6712</v>
      </c>
      <c r="M1137" t="s">
        <v>6736</v>
      </c>
      <c r="O1137" t="s">
        <v>6755</v>
      </c>
      <c r="P1137" t="s">
        <v>5697</v>
      </c>
      <c r="R1137" t="s">
        <v>6793</v>
      </c>
      <c r="T1137" t="s">
        <v>6811</v>
      </c>
      <c r="U1137">
        <v>859.65</v>
      </c>
      <c r="V1137" t="s">
        <v>6835</v>
      </c>
      <c r="W1137" t="s">
        <v>6854</v>
      </c>
      <c r="Y1137" t="s">
        <v>7946</v>
      </c>
      <c r="AA1137" t="s">
        <v>9984</v>
      </c>
      <c r="AB1137">
        <v>0</v>
      </c>
      <c r="AE1137">
        <v>42</v>
      </c>
      <c r="AF1137">
        <v>1</v>
      </c>
      <c r="AG1137">
        <v>0</v>
      </c>
      <c r="AH1137">
        <v>160.13</v>
      </c>
      <c r="AK1137" t="s">
        <v>10966</v>
      </c>
      <c r="AL1137">
        <v>20000</v>
      </c>
      <c r="AR1137">
        <v>11.8</v>
      </c>
      <c r="AS1137" t="s">
        <v>6824</v>
      </c>
      <c r="AT1137" t="s">
        <v>11197</v>
      </c>
      <c r="AU1137" t="s">
        <v>11228</v>
      </c>
      <c r="AV1137" t="s">
        <v>11231</v>
      </c>
      <c r="AW1137" t="s">
        <v>11138</v>
      </c>
    </row>
    <row r="1138" spans="1:49">
      <c r="A1138" s="1">
        <f>HYPERLINK("https://lsnyc.legalserver.org/matter/dynamic-profile/view/1906293","19-1906293")</f>
        <v>0</v>
      </c>
      <c r="B1138" t="s">
        <v>231</v>
      </c>
      <c r="C1138" t="s">
        <v>1092</v>
      </c>
      <c r="D1138" t="s">
        <v>1680</v>
      </c>
      <c r="E1138" t="s">
        <v>4130</v>
      </c>
      <c r="F1138" t="s">
        <v>5158</v>
      </c>
      <c r="G1138" t="s">
        <v>5637</v>
      </c>
      <c r="H1138">
        <v>11226</v>
      </c>
      <c r="I1138" t="s">
        <v>5695</v>
      </c>
      <c r="J1138" t="s">
        <v>5696</v>
      </c>
      <c r="K1138" t="s">
        <v>6161</v>
      </c>
      <c r="L1138" t="s">
        <v>6712</v>
      </c>
      <c r="M1138" t="s">
        <v>6736</v>
      </c>
      <c r="O1138" t="s">
        <v>6755</v>
      </c>
      <c r="P1138" t="s">
        <v>5697</v>
      </c>
      <c r="R1138" t="s">
        <v>6793</v>
      </c>
      <c r="U1138">
        <v>860</v>
      </c>
      <c r="V1138" t="s">
        <v>6835</v>
      </c>
      <c r="W1138" t="s">
        <v>6840</v>
      </c>
      <c r="Y1138" t="s">
        <v>7947</v>
      </c>
      <c r="AA1138" t="s">
        <v>9985</v>
      </c>
      <c r="AB1138">
        <v>0</v>
      </c>
      <c r="AE1138">
        <v>9</v>
      </c>
      <c r="AF1138">
        <v>1</v>
      </c>
      <c r="AG1138">
        <v>2</v>
      </c>
      <c r="AH1138">
        <v>195.97</v>
      </c>
      <c r="AK1138" t="s">
        <v>10966</v>
      </c>
      <c r="AL1138">
        <v>41800</v>
      </c>
      <c r="AR1138">
        <v>0</v>
      </c>
      <c r="AT1138" t="s">
        <v>11197</v>
      </c>
      <c r="AU1138" t="s">
        <v>11228</v>
      </c>
      <c r="AV1138" t="s">
        <v>11231</v>
      </c>
      <c r="AW1138" t="s">
        <v>6827</v>
      </c>
    </row>
    <row r="1139" spans="1:49">
      <c r="A1139" s="1">
        <f>HYPERLINK("https://lsnyc.legalserver.org/matter/dynamic-profile/view/1897426","19-1897426")</f>
        <v>0</v>
      </c>
      <c r="B1139" t="s">
        <v>82</v>
      </c>
      <c r="C1139" t="s">
        <v>1093</v>
      </c>
      <c r="D1139" t="s">
        <v>1679</v>
      </c>
      <c r="E1139" t="s">
        <v>4131</v>
      </c>
      <c r="F1139">
        <v>2</v>
      </c>
      <c r="G1139" t="s">
        <v>5637</v>
      </c>
      <c r="H1139">
        <v>11221</v>
      </c>
      <c r="I1139" t="s">
        <v>5696</v>
      </c>
      <c r="J1139" t="s">
        <v>5696</v>
      </c>
      <c r="K1139" t="s">
        <v>6162</v>
      </c>
      <c r="L1139" t="s">
        <v>6712</v>
      </c>
      <c r="M1139" t="s">
        <v>6736</v>
      </c>
      <c r="O1139" t="s">
        <v>6755</v>
      </c>
      <c r="P1139" t="s">
        <v>5697</v>
      </c>
      <c r="R1139" t="s">
        <v>6793</v>
      </c>
      <c r="U1139">
        <v>0</v>
      </c>
      <c r="V1139" t="s">
        <v>6835</v>
      </c>
      <c r="Y1139" t="s">
        <v>7948</v>
      </c>
      <c r="AA1139" t="s">
        <v>9986</v>
      </c>
      <c r="AB1139">
        <v>0</v>
      </c>
      <c r="AE1139">
        <v>0</v>
      </c>
      <c r="AF1139">
        <v>1</v>
      </c>
      <c r="AG1139">
        <v>3</v>
      </c>
      <c r="AH1139">
        <v>0</v>
      </c>
      <c r="AK1139" t="s">
        <v>10966</v>
      </c>
      <c r="AL1139">
        <v>0</v>
      </c>
      <c r="AR1139">
        <v>14</v>
      </c>
      <c r="AS1139" t="s">
        <v>6827</v>
      </c>
      <c r="AT1139" t="s">
        <v>11197</v>
      </c>
      <c r="AV1139" t="s">
        <v>11231</v>
      </c>
      <c r="AW1139" t="s">
        <v>11165</v>
      </c>
    </row>
    <row r="1140" spans="1:49">
      <c r="A1140" s="1">
        <f>HYPERLINK("https://lsnyc.legalserver.org/matter/dynamic-profile/view/1902516","19-1902516")</f>
        <v>0</v>
      </c>
      <c r="B1140" t="s">
        <v>82</v>
      </c>
      <c r="C1140" t="s">
        <v>475</v>
      </c>
      <c r="D1140" t="s">
        <v>2449</v>
      </c>
      <c r="E1140" t="s">
        <v>4132</v>
      </c>
      <c r="F1140" t="s">
        <v>5116</v>
      </c>
      <c r="G1140" t="s">
        <v>5637</v>
      </c>
      <c r="H1140">
        <v>11216</v>
      </c>
      <c r="I1140" t="s">
        <v>5695</v>
      </c>
      <c r="J1140" t="s">
        <v>5696</v>
      </c>
      <c r="K1140" t="s">
        <v>6163</v>
      </c>
      <c r="L1140" t="s">
        <v>6712</v>
      </c>
      <c r="M1140" t="s">
        <v>6736</v>
      </c>
      <c r="O1140" t="s">
        <v>6755</v>
      </c>
      <c r="P1140" t="s">
        <v>5697</v>
      </c>
      <c r="R1140" t="s">
        <v>6793</v>
      </c>
      <c r="T1140" t="s">
        <v>6811</v>
      </c>
      <c r="U1140">
        <v>241</v>
      </c>
      <c r="V1140" t="s">
        <v>6835</v>
      </c>
      <c r="W1140" t="s">
        <v>6854</v>
      </c>
      <c r="Y1140" t="s">
        <v>7949</v>
      </c>
      <c r="AA1140" t="s">
        <v>9612</v>
      </c>
      <c r="AB1140">
        <v>0</v>
      </c>
      <c r="AC1140" t="s">
        <v>10938</v>
      </c>
      <c r="AE1140">
        <v>5</v>
      </c>
      <c r="AF1140">
        <v>1</v>
      </c>
      <c r="AG1140">
        <v>0</v>
      </c>
      <c r="AH1140">
        <v>83.59</v>
      </c>
      <c r="AK1140" t="s">
        <v>10966</v>
      </c>
      <c r="AL1140">
        <v>10440</v>
      </c>
      <c r="AR1140">
        <v>10.4</v>
      </c>
      <c r="AS1140" t="s">
        <v>6821</v>
      </c>
      <c r="AT1140" t="s">
        <v>11197</v>
      </c>
      <c r="AU1140" t="s">
        <v>11228</v>
      </c>
      <c r="AV1140" t="s">
        <v>11231</v>
      </c>
      <c r="AW1140" t="s">
        <v>11116</v>
      </c>
    </row>
    <row r="1141" spans="1:49">
      <c r="A1141" s="1">
        <f>HYPERLINK("https://lsnyc.legalserver.org/matter/dynamic-profile/view/1899467","19-1899467")</f>
        <v>0</v>
      </c>
      <c r="B1141" t="s">
        <v>187</v>
      </c>
      <c r="C1141" t="s">
        <v>1088</v>
      </c>
      <c r="D1141" t="s">
        <v>2433</v>
      </c>
      <c r="E1141" t="s">
        <v>4133</v>
      </c>
      <c r="F1141" t="s">
        <v>5103</v>
      </c>
      <c r="G1141" t="s">
        <v>5635</v>
      </c>
      <c r="H1141">
        <v>10460</v>
      </c>
      <c r="I1141" t="s">
        <v>5697</v>
      </c>
      <c r="J1141" t="s">
        <v>5696</v>
      </c>
      <c r="K1141" t="s">
        <v>6164</v>
      </c>
      <c r="L1141" t="s">
        <v>6712</v>
      </c>
      <c r="M1141" t="s">
        <v>6736</v>
      </c>
      <c r="O1141" t="s">
        <v>6747</v>
      </c>
      <c r="R1141" t="s">
        <v>6793</v>
      </c>
      <c r="S1141" t="s">
        <v>6801</v>
      </c>
      <c r="U1141">
        <v>0</v>
      </c>
      <c r="V1141" t="s">
        <v>6833</v>
      </c>
      <c r="Y1141" t="s">
        <v>7950</v>
      </c>
      <c r="AA1141" t="s">
        <v>9987</v>
      </c>
      <c r="AB1141">
        <v>0</v>
      </c>
      <c r="AC1141" t="s">
        <v>10931</v>
      </c>
      <c r="AD1141" t="s">
        <v>5741</v>
      </c>
      <c r="AE1141">
        <v>5</v>
      </c>
      <c r="AF1141">
        <v>2</v>
      </c>
      <c r="AG1141">
        <v>1</v>
      </c>
      <c r="AH1141">
        <v>158.46</v>
      </c>
      <c r="AK1141" t="s">
        <v>10966</v>
      </c>
      <c r="AL1141">
        <v>33800</v>
      </c>
      <c r="AR1141">
        <v>49.5</v>
      </c>
      <c r="AS1141" t="s">
        <v>6826</v>
      </c>
      <c r="AT1141" t="s">
        <v>288</v>
      </c>
      <c r="AU1141" t="s">
        <v>11228</v>
      </c>
      <c r="AV1141" t="s">
        <v>11231</v>
      </c>
      <c r="AW1141" t="s">
        <v>11158</v>
      </c>
    </row>
    <row r="1142" spans="1:49">
      <c r="A1142" s="1">
        <f>HYPERLINK("https://lsnyc.legalserver.org/matter/dynamic-profile/view/1903795","19-1903795")</f>
        <v>0</v>
      </c>
      <c r="B1142" t="s">
        <v>60</v>
      </c>
      <c r="C1142" t="s">
        <v>1031</v>
      </c>
      <c r="D1142" t="s">
        <v>2450</v>
      </c>
      <c r="E1142" t="s">
        <v>4134</v>
      </c>
      <c r="F1142" t="s">
        <v>5458</v>
      </c>
      <c r="G1142" t="s">
        <v>5636</v>
      </c>
      <c r="H1142">
        <v>10306</v>
      </c>
      <c r="I1142" t="s">
        <v>5695</v>
      </c>
      <c r="J1142" t="s">
        <v>5696</v>
      </c>
      <c r="K1142" t="s">
        <v>6165</v>
      </c>
      <c r="L1142" t="s">
        <v>6712</v>
      </c>
      <c r="M1142" t="s">
        <v>6736</v>
      </c>
      <c r="O1142" t="s">
        <v>6754</v>
      </c>
      <c r="P1142" t="s">
        <v>5697</v>
      </c>
      <c r="R1142" t="s">
        <v>6793</v>
      </c>
      <c r="S1142" t="s">
        <v>6804</v>
      </c>
      <c r="T1142" t="s">
        <v>6818</v>
      </c>
      <c r="U1142">
        <v>1800</v>
      </c>
      <c r="V1142" t="s">
        <v>6834</v>
      </c>
      <c r="W1142" t="s">
        <v>6839</v>
      </c>
      <c r="Y1142" t="s">
        <v>7951</v>
      </c>
      <c r="AA1142" t="s">
        <v>9988</v>
      </c>
      <c r="AB1142">
        <v>2</v>
      </c>
      <c r="AC1142" t="s">
        <v>10930</v>
      </c>
      <c r="AD1142" t="s">
        <v>5741</v>
      </c>
      <c r="AE1142">
        <v>10</v>
      </c>
      <c r="AF1142">
        <v>1</v>
      </c>
      <c r="AG1142">
        <v>0</v>
      </c>
      <c r="AH1142">
        <v>259.41</v>
      </c>
      <c r="AL1142">
        <v>32400</v>
      </c>
      <c r="AR1142">
        <v>2.5</v>
      </c>
      <c r="AS1142" t="s">
        <v>6808</v>
      </c>
      <c r="AT1142" t="s">
        <v>11177</v>
      </c>
      <c r="AU1142" t="s">
        <v>11228</v>
      </c>
      <c r="AV1142" t="s">
        <v>11231</v>
      </c>
      <c r="AW1142" t="s">
        <v>6818</v>
      </c>
    </row>
    <row r="1143" spans="1:49">
      <c r="A1143" s="1">
        <f>HYPERLINK("https://lsnyc.legalserver.org/matter/dynamic-profile/view/1901468","19-1901468")</f>
        <v>0</v>
      </c>
      <c r="B1143" t="s">
        <v>272</v>
      </c>
      <c r="C1143" t="s">
        <v>318</v>
      </c>
      <c r="D1143" t="s">
        <v>1867</v>
      </c>
      <c r="E1143" t="s">
        <v>3163</v>
      </c>
      <c r="F1143" t="s">
        <v>5093</v>
      </c>
      <c r="G1143" t="s">
        <v>5637</v>
      </c>
      <c r="H1143">
        <v>11213</v>
      </c>
      <c r="I1143" t="s">
        <v>5696</v>
      </c>
      <c r="J1143" t="s">
        <v>5696</v>
      </c>
      <c r="K1143" t="s">
        <v>6166</v>
      </c>
      <c r="L1143" t="s">
        <v>6712</v>
      </c>
      <c r="M1143" t="s">
        <v>6736</v>
      </c>
      <c r="O1143" t="s">
        <v>6748</v>
      </c>
      <c r="P1143" t="s">
        <v>5697</v>
      </c>
      <c r="R1143" t="s">
        <v>6793</v>
      </c>
      <c r="S1143" t="s">
        <v>6801</v>
      </c>
      <c r="U1143">
        <v>1200</v>
      </c>
      <c r="V1143" t="s">
        <v>6835</v>
      </c>
      <c r="W1143" t="s">
        <v>6849</v>
      </c>
      <c r="Y1143" t="s">
        <v>7952</v>
      </c>
      <c r="AA1143" t="s">
        <v>9989</v>
      </c>
      <c r="AB1143">
        <v>0</v>
      </c>
      <c r="AC1143" t="s">
        <v>10929</v>
      </c>
      <c r="AE1143">
        <v>32</v>
      </c>
      <c r="AF1143">
        <v>2</v>
      </c>
      <c r="AG1143">
        <v>0</v>
      </c>
      <c r="AH1143">
        <v>147.84</v>
      </c>
      <c r="AL1143">
        <v>25000</v>
      </c>
      <c r="AR1143">
        <v>37.25</v>
      </c>
      <c r="AS1143" t="s">
        <v>6814</v>
      </c>
      <c r="AT1143" t="s">
        <v>272</v>
      </c>
      <c r="AV1143" t="s">
        <v>11231</v>
      </c>
      <c r="AW1143" t="s">
        <v>11135</v>
      </c>
    </row>
    <row r="1144" spans="1:49">
      <c r="A1144" s="1">
        <f>HYPERLINK("https://lsnyc.legalserver.org/matter/dynamic-profile/view/1902224","19-1902224")</f>
        <v>0</v>
      </c>
      <c r="B1144" t="s">
        <v>200</v>
      </c>
      <c r="C1144" t="s">
        <v>1094</v>
      </c>
      <c r="D1144" t="s">
        <v>2451</v>
      </c>
      <c r="E1144" t="s">
        <v>4135</v>
      </c>
      <c r="F1144" t="s">
        <v>5118</v>
      </c>
      <c r="G1144" t="s">
        <v>5644</v>
      </c>
      <c r="H1144">
        <v>11434</v>
      </c>
      <c r="I1144" t="s">
        <v>5697</v>
      </c>
      <c r="J1144" t="s">
        <v>5696</v>
      </c>
      <c r="K1144" t="s">
        <v>6167</v>
      </c>
      <c r="L1144" t="s">
        <v>6712</v>
      </c>
      <c r="M1144" t="s">
        <v>6736</v>
      </c>
      <c r="O1144" t="s">
        <v>6752</v>
      </c>
      <c r="P1144" t="s">
        <v>5695</v>
      </c>
      <c r="R1144" t="s">
        <v>6793</v>
      </c>
      <c r="S1144" t="s">
        <v>6801</v>
      </c>
      <c r="U1144">
        <v>0</v>
      </c>
      <c r="V1144" t="s">
        <v>6837</v>
      </c>
      <c r="W1144" t="s">
        <v>6839</v>
      </c>
      <c r="Y1144" t="s">
        <v>7953</v>
      </c>
      <c r="Z1144" t="s">
        <v>5741</v>
      </c>
      <c r="AA1144" t="s">
        <v>9990</v>
      </c>
      <c r="AB1144">
        <v>1</v>
      </c>
      <c r="AC1144" t="s">
        <v>10930</v>
      </c>
      <c r="AD1144" t="s">
        <v>5741</v>
      </c>
      <c r="AE1144">
        <v>48</v>
      </c>
      <c r="AF1144">
        <v>3</v>
      </c>
      <c r="AG1144">
        <v>0</v>
      </c>
      <c r="AH1144">
        <v>0</v>
      </c>
      <c r="AK1144" t="s">
        <v>10966</v>
      </c>
      <c r="AL1144">
        <v>0</v>
      </c>
      <c r="AR1144">
        <v>13.98</v>
      </c>
      <c r="AS1144" t="s">
        <v>6814</v>
      </c>
      <c r="AT1144" t="s">
        <v>11184</v>
      </c>
      <c r="AU1144" t="s">
        <v>11228</v>
      </c>
      <c r="AV1144" t="s">
        <v>11231</v>
      </c>
      <c r="AW1144" t="s">
        <v>11163</v>
      </c>
    </row>
    <row r="1145" spans="1:49">
      <c r="A1145" s="1">
        <f>HYPERLINK("https://lsnyc.legalserver.org/matter/dynamic-profile/view/1903291","19-1903291")</f>
        <v>0</v>
      </c>
      <c r="B1145" t="s">
        <v>101</v>
      </c>
      <c r="C1145" t="s">
        <v>646</v>
      </c>
      <c r="D1145" t="s">
        <v>2444</v>
      </c>
      <c r="E1145" t="s">
        <v>4136</v>
      </c>
      <c r="F1145" t="s">
        <v>5243</v>
      </c>
      <c r="G1145" t="s">
        <v>5636</v>
      </c>
      <c r="H1145">
        <v>10307</v>
      </c>
      <c r="I1145" t="s">
        <v>5696</v>
      </c>
      <c r="J1145" t="s">
        <v>5696</v>
      </c>
      <c r="K1145" t="s">
        <v>6168</v>
      </c>
      <c r="L1145" t="s">
        <v>6712</v>
      </c>
      <c r="M1145" t="s">
        <v>6736</v>
      </c>
      <c r="O1145" t="s">
        <v>6751</v>
      </c>
      <c r="P1145" t="s">
        <v>5697</v>
      </c>
      <c r="R1145" t="s">
        <v>6793</v>
      </c>
      <c r="S1145" t="s">
        <v>6801</v>
      </c>
      <c r="U1145">
        <v>750</v>
      </c>
      <c r="V1145" t="s">
        <v>6834</v>
      </c>
      <c r="W1145" t="s">
        <v>6843</v>
      </c>
      <c r="Y1145" t="s">
        <v>7954</v>
      </c>
      <c r="AA1145" t="s">
        <v>9991</v>
      </c>
      <c r="AB1145">
        <v>0</v>
      </c>
      <c r="AE1145">
        <v>6</v>
      </c>
      <c r="AF1145">
        <v>1</v>
      </c>
      <c r="AG1145">
        <v>0</v>
      </c>
      <c r="AH1145">
        <v>99.34</v>
      </c>
      <c r="AK1145" t="s">
        <v>10966</v>
      </c>
      <c r="AL1145">
        <v>12408</v>
      </c>
      <c r="AR1145">
        <v>3.8</v>
      </c>
      <c r="AS1145" t="s">
        <v>6824</v>
      </c>
      <c r="AT1145" t="s">
        <v>11177</v>
      </c>
      <c r="AV1145" t="s">
        <v>11231</v>
      </c>
      <c r="AW1145" t="s">
        <v>6817</v>
      </c>
    </row>
    <row r="1146" spans="1:49">
      <c r="A1146" s="1">
        <f>HYPERLINK("https://lsnyc.legalserver.org/matter/dynamic-profile/view/1902347","19-1902347")</f>
        <v>0</v>
      </c>
      <c r="B1146" t="s">
        <v>186</v>
      </c>
      <c r="C1146" t="s">
        <v>482</v>
      </c>
      <c r="D1146" t="s">
        <v>2452</v>
      </c>
      <c r="E1146" t="s">
        <v>4137</v>
      </c>
      <c r="F1146" t="s">
        <v>5110</v>
      </c>
      <c r="G1146" t="s">
        <v>5676</v>
      </c>
      <c r="H1146">
        <v>11385</v>
      </c>
      <c r="I1146" t="s">
        <v>5695</v>
      </c>
      <c r="J1146" t="s">
        <v>5696</v>
      </c>
      <c r="K1146" t="s">
        <v>6169</v>
      </c>
      <c r="L1146" t="s">
        <v>6712</v>
      </c>
      <c r="M1146" t="s">
        <v>6736</v>
      </c>
      <c r="O1146" t="s">
        <v>6752</v>
      </c>
      <c r="P1146" t="s">
        <v>5697</v>
      </c>
      <c r="R1146" t="s">
        <v>6793</v>
      </c>
      <c r="U1146">
        <v>1400</v>
      </c>
      <c r="V1146" t="s">
        <v>6837</v>
      </c>
      <c r="W1146" t="s">
        <v>6839</v>
      </c>
      <c r="Y1146" t="s">
        <v>7955</v>
      </c>
      <c r="Z1146" t="s">
        <v>5741</v>
      </c>
      <c r="AA1146" t="s">
        <v>9992</v>
      </c>
      <c r="AB1146">
        <v>3</v>
      </c>
      <c r="AE1146">
        <v>10</v>
      </c>
      <c r="AF1146">
        <v>2</v>
      </c>
      <c r="AG1146">
        <v>0</v>
      </c>
      <c r="AH1146">
        <v>142</v>
      </c>
      <c r="AK1146" t="s">
        <v>10966</v>
      </c>
      <c r="AL1146">
        <v>24012</v>
      </c>
      <c r="AR1146">
        <v>7.13</v>
      </c>
      <c r="AS1146" t="s">
        <v>6827</v>
      </c>
      <c r="AT1146" t="s">
        <v>11184</v>
      </c>
      <c r="AU1146" t="s">
        <v>11228</v>
      </c>
      <c r="AV1146" t="s">
        <v>11231</v>
      </c>
      <c r="AW1146" t="s">
        <v>11140</v>
      </c>
    </row>
    <row r="1147" spans="1:49">
      <c r="A1147" s="1">
        <f>HYPERLINK("https://lsnyc.legalserver.org/matter/dynamic-profile/view/1900494","19-1900494")</f>
        <v>0</v>
      </c>
      <c r="B1147" t="s">
        <v>195</v>
      </c>
      <c r="C1147" t="s">
        <v>445</v>
      </c>
      <c r="D1147" t="s">
        <v>2453</v>
      </c>
      <c r="E1147" t="s">
        <v>4138</v>
      </c>
      <c r="F1147" t="s">
        <v>5098</v>
      </c>
      <c r="G1147" t="s">
        <v>5635</v>
      </c>
      <c r="H1147">
        <v>10467</v>
      </c>
      <c r="I1147" t="s">
        <v>5695</v>
      </c>
      <c r="J1147" t="s">
        <v>5696</v>
      </c>
      <c r="K1147" t="s">
        <v>6170</v>
      </c>
      <c r="L1147" t="s">
        <v>6712</v>
      </c>
      <c r="M1147" t="s">
        <v>6736</v>
      </c>
      <c r="O1147" t="s">
        <v>6763</v>
      </c>
      <c r="P1147" t="s">
        <v>5697</v>
      </c>
      <c r="R1147" t="s">
        <v>6793</v>
      </c>
      <c r="S1147" t="s">
        <v>6801</v>
      </c>
      <c r="U1147">
        <v>1700</v>
      </c>
      <c r="V1147" t="s">
        <v>6833</v>
      </c>
      <c r="W1147" t="s">
        <v>6840</v>
      </c>
      <c r="Y1147" t="s">
        <v>7269</v>
      </c>
      <c r="AA1147" t="s">
        <v>9993</v>
      </c>
      <c r="AB1147">
        <v>3</v>
      </c>
      <c r="AC1147" t="s">
        <v>10930</v>
      </c>
      <c r="AD1147" t="s">
        <v>5741</v>
      </c>
      <c r="AE1147">
        <v>14</v>
      </c>
      <c r="AF1147">
        <v>4</v>
      </c>
      <c r="AG1147">
        <v>0</v>
      </c>
      <c r="AH1147">
        <v>153.48</v>
      </c>
      <c r="AK1147" t="s">
        <v>10966</v>
      </c>
      <c r="AL1147">
        <v>39520</v>
      </c>
      <c r="AR1147">
        <v>0.75</v>
      </c>
      <c r="AS1147" t="s">
        <v>11148</v>
      </c>
      <c r="AT1147" t="s">
        <v>219</v>
      </c>
      <c r="AU1147" t="s">
        <v>11228</v>
      </c>
      <c r="AV1147" t="s">
        <v>11231</v>
      </c>
      <c r="AW1147" t="s">
        <v>11132</v>
      </c>
    </row>
    <row r="1148" spans="1:49">
      <c r="A1148" s="1">
        <f>HYPERLINK("https://lsnyc.legalserver.org/matter/dynamic-profile/view/1903435","19-1903435")</f>
        <v>0</v>
      </c>
      <c r="B1148" t="s">
        <v>236</v>
      </c>
      <c r="C1148" t="s">
        <v>1095</v>
      </c>
      <c r="D1148" t="s">
        <v>2454</v>
      </c>
      <c r="E1148" t="s">
        <v>4139</v>
      </c>
      <c r="F1148" t="s">
        <v>5248</v>
      </c>
      <c r="G1148" t="s">
        <v>5637</v>
      </c>
      <c r="H1148">
        <v>11238</v>
      </c>
      <c r="I1148" t="s">
        <v>5695</v>
      </c>
      <c r="J1148" t="s">
        <v>5696</v>
      </c>
      <c r="K1148" t="s">
        <v>6171</v>
      </c>
      <c r="L1148" t="s">
        <v>6712</v>
      </c>
      <c r="M1148" t="s">
        <v>6736</v>
      </c>
      <c r="O1148" t="s">
        <v>6753</v>
      </c>
      <c r="P1148" t="s">
        <v>5697</v>
      </c>
      <c r="R1148" t="s">
        <v>6793</v>
      </c>
      <c r="S1148" t="s">
        <v>6806</v>
      </c>
      <c r="U1148">
        <v>718</v>
      </c>
      <c r="V1148" t="s">
        <v>6835</v>
      </c>
      <c r="W1148" t="s">
        <v>6843</v>
      </c>
      <c r="Y1148" t="s">
        <v>7956</v>
      </c>
      <c r="AA1148" t="s">
        <v>9994</v>
      </c>
      <c r="AB1148">
        <v>8</v>
      </c>
      <c r="AC1148" t="s">
        <v>10929</v>
      </c>
      <c r="AD1148" t="s">
        <v>5741</v>
      </c>
      <c r="AE1148">
        <v>35</v>
      </c>
      <c r="AF1148">
        <v>3</v>
      </c>
      <c r="AG1148">
        <v>0</v>
      </c>
      <c r="AH1148">
        <v>274.73</v>
      </c>
      <c r="AL1148">
        <v>58600</v>
      </c>
      <c r="AR1148">
        <v>1.15</v>
      </c>
      <c r="AS1148" t="s">
        <v>6812</v>
      </c>
      <c r="AT1148" t="s">
        <v>11178</v>
      </c>
      <c r="AV1148" t="s">
        <v>11231</v>
      </c>
      <c r="AW1148" t="s">
        <v>11136</v>
      </c>
    </row>
    <row r="1149" spans="1:49">
      <c r="A1149" s="1">
        <f>HYPERLINK("https://lsnyc.legalserver.org/matter/dynamic-profile/view/1902506","19-1902506")</f>
        <v>0</v>
      </c>
      <c r="B1149" t="s">
        <v>55</v>
      </c>
      <c r="C1149" t="s">
        <v>1096</v>
      </c>
      <c r="D1149" t="s">
        <v>2455</v>
      </c>
      <c r="E1149" t="s">
        <v>4140</v>
      </c>
      <c r="F1149" t="s">
        <v>5154</v>
      </c>
      <c r="G1149" t="s">
        <v>5638</v>
      </c>
      <c r="H1149">
        <v>10026</v>
      </c>
      <c r="I1149" t="s">
        <v>5695</v>
      </c>
      <c r="J1149" t="s">
        <v>5696</v>
      </c>
      <c r="K1149" t="s">
        <v>6172</v>
      </c>
      <c r="L1149" t="s">
        <v>6712</v>
      </c>
      <c r="M1149" t="s">
        <v>6736</v>
      </c>
      <c r="O1149" t="s">
        <v>6749</v>
      </c>
      <c r="P1149" t="s">
        <v>5697</v>
      </c>
      <c r="R1149" t="s">
        <v>6793</v>
      </c>
      <c r="U1149">
        <v>294</v>
      </c>
      <c r="V1149" t="s">
        <v>6836</v>
      </c>
      <c r="W1149" t="s">
        <v>6843</v>
      </c>
      <c r="Y1149" t="s">
        <v>7957</v>
      </c>
      <c r="AA1149" t="s">
        <v>9995</v>
      </c>
      <c r="AB1149">
        <v>0</v>
      </c>
      <c r="AC1149" t="s">
        <v>10929</v>
      </c>
      <c r="AD1149" t="s">
        <v>5741</v>
      </c>
      <c r="AE1149">
        <v>6</v>
      </c>
      <c r="AF1149">
        <v>1</v>
      </c>
      <c r="AG1149">
        <v>0</v>
      </c>
      <c r="AH1149">
        <v>69.94</v>
      </c>
      <c r="AK1149" t="s">
        <v>10966</v>
      </c>
      <c r="AL1149">
        <v>8736</v>
      </c>
      <c r="AR1149">
        <v>5.4</v>
      </c>
      <c r="AS1149" t="s">
        <v>6809</v>
      </c>
      <c r="AT1149" t="s">
        <v>305</v>
      </c>
      <c r="AU1149" t="s">
        <v>11228</v>
      </c>
      <c r="AV1149" t="s">
        <v>11231</v>
      </c>
      <c r="AW1149" t="s">
        <v>11117</v>
      </c>
    </row>
    <row r="1150" spans="1:49">
      <c r="A1150" s="1">
        <f>HYPERLINK("https://lsnyc.legalserver.org/matter/dynamic-profile/view/1895879","19-1895879")</f>
        <v>0</v>
      </c>
      <c r="B1150" t="s">
        <v>217</v>
      </c>
      <c r="C1150" t="s">
        <v>1097</v>
      </c>
      <c r="D1150" t="s">
        <v>1973</v>
      </c>
      <c r="E1150" t="s">
        <v>4141</v>
      </c>
      <c r="F1150" t="s">
        <v>5328</v>
      </c>
      <c r="G1150" t="s">
        <v>5644</v>
      </c>
      <c r="H1150">
        <v>11433</v>
      </c>
      <c r="I1150" t="s">
        <v>5695</v>
      </c>
      <c r="J1150" t="s">
        <v>5695</v>
      </c>
      <c r="K1150" t="s">
        <v>6173</v>
      </c>
      <c r="L1150" t="s">
        <v>6712</v>
      </c>
      <c r="M1150" t="s">
        <v>6736</v>
      </c>
      <c r="O1150" t="s">
        <v>6752</v>
      </c>
      <c r="P1150" t="s">
        <v>5697</v>
      </c>
      <c r="R1150" t="s">
        <v>6794</v>
      </c>
      <c r="S1150" t="s">
        <v>6801</v>
      </c>
      <c r="U1150">
        <v>0</v>
      </c>
      <c r="V1150" t="s">
        <v>6837</v>
      </c>
      <c r="W1150" t="s">
        <v>6839</v>
      </c>
      <c r="Y1150" t="s">
        <v>7958</v>
      </c>
      <c r="AA1150" t="s">
        <v>9996</v>
      </c>
      <c r="AB1150">
        <v>0</v>
      </c>
      <c r="AC1150" t="s">
        <v>10940</v>
      </c>
      <c r="AD1150" t="s">
        <v>5741</v>
      </c>
      <c r="AE1150">
        <v>8</v>
      </c>
      <c r="AF1150">
        <v>1</v>
      </c>
      <c r="AG1150">
        <v>0</v>
      </c>
      <c r="AH1150">
        <v>200.16</v>
      </c>
      <c r="AK1150" t="s">
        <v>10966</v>
      </c>
      <c r="AL1150">
        <v>25000</v>
      </c>
      <c r="AR1150">
        <v>6.4</v>
      </c>
      <c r="AS1150" t="s">
        <v>11127</v>
      </c>
      <c r="AT1150" t="s">
        <v>11188</v>
      </c>
      <c r="AV1150" t="s">
        <v>11231</v>
      </c>
      <c r="AW1150" t="s">
        <v>11170</v>
      </c>
    </row>
    <row r="1151" spans="1:49">
      <c r="A1151" s="1">
        <f>HYPERLINK("https://lsnyc.legalserver.org/matter/dynamic-profile/view/1902932","19-1902932")</f>
        <v>0</v>
      </c>
      <c r="B1151" t="s">
        <v>251</v>
      </c>
      <c r="C1151" t="s">
        <v>877</v>
      </c>
      <c r="D1151" t="s">
        <v>1635</v>
      </c>
      <c r="E1151" t="s">
        <v>4142</v>
      </c>
      <c r="F1151" t="s">
        <v>5098</v>
      </c>
      <c r="G1151" t="s">
        <v>5644</v>
      </c>
      <c r="H1151">
        <v>11434</v>
      </c>
      <c r="I1151" t="s">
        <v>5695</v>
      </c>
      <c r="J1151" t="s">
        <v>5696</v>
      </c>
      <c r="K1151" t="s">
        <v>6174</v>
      </c>
      <c r="L1151" t="s">
        <v>6712</v>
      </c>
      <c r="M1151" t="s">
        <v>6736</v>
      </c>
      <c r="O1151" t="s">
        <v>6752</v>
      </c>
      <c r="P1151" t="s">
        <v>5697</v>
      </c>
      <c r="R1151" t="s">
        <v>6793</v>
      </c>
      <c r="S1151" t="s">
        <v>6801</v>
      </c>
      <c r="T1151" t="s">
        <v>6816</v>
      </c>
      <c r="U1151">
        <v>1350</v>
      </c>
      <c r="V1151" t="s">
        <v>6837</v>
      </c>
      <c r="W1151" t="s">
        <v>6840</v>
      </c>
      <c r="Y1151" t="s">
        <v>7959</v>
      </c>
      <c r="AA1151" t="s">
        <v>9997</v>
      </c>
      <c r="AB1151">
        <v>2</v>
      </c>
      <c r="AD1151" t="s">
        <v>5741</v>
      </c>
      <c r="AE1151">
        <v>5</v>
      </c>
      <c r="AF1151">
        <v>3</v>
      </c>
      <c r="AG1151">
        <v>2</v>
      </c>
      <c r="AH1151">
        <v>0</v>
      </c>
      <c r="AL1151">
        <v>0</v>
      </c>
      <c r="AR1151">
        <v>8.300000000000001</v>
      </c>
      <c r="AS1151" t="s">
        <v>6825</v>
      </c>
      <c r="AT1151" t="s">
        <v>11184</v>
      </c>
      <c r="AU1151" t="s">
        <v>11228</v>
      </c>
      <c r="AV1151" t="s">
        <v>11231</v>
      </c>
      <c r="AW1151" t="s">
        <v>11131</v>
      </c>
    </row>
    <row r="1152" spans="1:49">
      <c r="A1152" s="1">
        <f>HYPERLINK("https://lsnyc.legalserver.org/matter/dynamic-profile/view/1904467","19-1904467")</f>
        <v>0</v>
      </c>
      <c r="B1152" t="s">
        <v>109</v>
      </c>
      <c r="C1152" t="s">
        <v>1098</v>
      </c>
      <c r="D1152" t="s">
        <v>1893</v>
      </c>
      <c r="E1152" t="s">
        <v>4143</v>
      </c>
      <c r="F1152" t="s">
        <v>5392</v>
      </c>
      <c r="G1152" t="s">
        <v>5635</v>
      </c>
      <c r="H1152">
        <v>10462</v>
      </c>
      <c r="I1152" t="s">
        <v>5695</v>
      </c>
      <c r="J1152" t="s">
        <v>5696</v>
      </c>
      <c r="K1152" t="s">
        <v>6175</v>
      </c>
      <c r="L1152" t="s">
        <v>6712</v>
      </c>
      <c r="M1152" t="s">
        <v>6736</v>
      </c>
      <c r="O1152" t="s">
        <v>6763</v>
      </c>
      <c r="P1152" t="s">
        <v>5697</v>
      </c>
      <c r="R1152" t="s">
        <v>6793</v>
      </c>
      <c r="T1152" t="s">
        <v>6825</v>
      </c>
      <c r="U1152">
        <v>0</v>
      </c>
      <c r="V1152" t="s">
        <v>6833</v>
      </c>
      <c r="W1152" t="s">
        <v>6839</v>
      </c>
      <c r="Y1152" t="s">
        <v>7960</v>
      </c>
      <c r="Z1152" t="s">
        <v>9001</v>
      </c>
      <c r="AA1152" t="s">
        <v>9998</v>
      </c>
      <c r="AB1152">
        <v>0</v>
      </c>
      <c r="AC1152" t="s">
        <v>10929</v>
      </c>
      <c r="AD1152" t="s">
        <v>10944</v>
      </c>
      <c r="AE1152">
        <v>8</v>
      </c>
      <c r="AF1152">
        <v>2</v>
      </c>
      <c r="AG1152">
        <v>0</v>
      </c>
      <c r="AH1152">
        <v>0</v>
      </c>
      <c r="AK1152" t="s">
        <v>10966</v>
      </c>
      <c r="AL1152">
        <v>0</v>
      </c>
      <c r="AR1152">
        <v>2</v>
      </c>
      <c r="AS1152" t="s">
        <v>6820</v>
      </c>
      <c r="AT1152" t="s">
        <v>11222</v>
      </c>
      <c r="AU1152" t="s">
        <v>11229</v>
      </c>
      <c r="AV1152" t="s">
        <v>11231</v>
      </c>
      <c r="AW1152" t="s">
        <v>6825</v>
      </c>
    </row>
    <row r="1153" spans="1:49">
      <c r="A1153" s="1">
        <f>HYPERLINK("https://lsnyc.legalserver.org/matter/dynamic-profile/view/1896133","19-1896133")</f>
        <v>0</v>
      </c>
      <c r="B1153" t="s">
        <v>63</v>
      </c>
      <c r="C1153" t="s">
        <v>1099</v>
      </c>
      <c r="D1153" t="s">
        <v>2456</v>
      </c>
      <c r="E1153" t="s">
        <v>4144</v>
      </c>
      <c r="F1153" t="s">
        <v>5110</v>
      </c>
      <c r="G1153" t="s">
        <v>5649</v>
      </c>
      <c r="H1153">
        <v>11385</v>
      </c>
      <c r="I1153" t="s">
        <v>5695</v>
      </c>
      <c r="J1153" t="s">
        <v>5695</v>
      </c>
      <c r="K1153" t="s">
        <v>6176</v>
      </c>
      <c r="L1153" t="s">
        <v>6712</v>
      </c>
      <c r="M1153" t="s">
        <v>6736</v>
      </c>
      <c r="O1153" t="s">
        <v>6752</v>
      </c>
      <c r="P1153" t="s">
        <v>5697</v>
      </c>
      <c r="R1153" t="s">
        <v>6793</v>
      </c>
      <c r="S1153" t="s">
        <v>6801</v>
      </c>
      <c r="U1153">
        <v>1200</v>
      </c>
      <c r="V1153" t="s">
        <v>6837</v>
      </c>
      <c r="W1153" t="s">
        <v>6839</v>
      </c>
      <c r="Y1153" t="s">
        <v>7961</v>
      </c>
      <c r="AA1153" t="s">
        <v>9999</v>
      </c>
      <c r="AB1153">
        <v>5</v>
      </c>
      <c r="AC1153" t="s">
        <v>10930</v>
      </c>
      <c r="AD1153" t="s">
        <v>5741</v>
      </c>
      <c r="AE1153">
        <v>26</v>
      </c>
      <c r="AF1153">
        <v>2</v>
      </c>
      <c r="AG1153">
        <v>0</v>
      </c>
      <c r="AH1153">
        <v>149.62</v>
      </c>
      <c r="AK1153" t="s">
        <v>10966</v>
      </c>
      <c r="AL1153">
        <v>25300</v>
      </c>
      <c r="AR1153">
        <v>26.6</v>
      </c>
      <c r="AS1153" t="s">
        <v>6827</v>
      </c>
      <c r="AT1153" t="s">
        <v>11182</v>
      </c>
      <c r="AU1153" t="s">
        <v>11228</v>
      </c>
      <c r="AV1153" t="s">
        <v>11231</v>
      </c>
      <c r="AW1153" t="s">
        <v>11167</v>
      </c>
    </row>
    <row r="1154" spans="1:49">
      <c r="A1154" s="1">
        <f>HYPERLINK("https://lsnyc.legalserver.org/matter/dynamic-profile/view/1903502","19-1903502")</f>
        <v>0</v>
      </c>
      <c r="B1154" t="s">
        <v>142</v>
      </c>
      <c r="C1154" t="s">
        <v>491</v>
      </c>
      <c r="D1154" t="s">
        <v>1676</v>
      </c>
      <c r="E1154" t="s">
        <v>4145</v>
      </c>
      <c r="F1154" t="s">
        <v>5203</v>
      </c>
      <c r="G1154" t="s">
        <v>5635</v>
      </c>
      <c r="H1154">
        <v>10453</v>
      </c>
      <c r="I1154" t="s">
        <v>5696</v>
      </c>
      <c r="J1154" t="s">
        <v>5696</v>
      </c>
      <c r="K1154" t="s">
        <v>6177</v>
      </c>
      <c r="L1154" t="s">
        <v>6712</v>
      </c>
      <c r="M1154" t="s">
        <v>6736</v>
      </c>
      <c r="O1154" t="s">
        <v>6745</v>
      </c>
      <c r="P1154" t="s">
        <v>5697</v>
      </c>
      <c r="R1154" t="s">
        <v>6793</v>
      </c>
      <c r="U1154">
        <v>825</v>
      </c>
      <c r="V1154" t="s">
        <v>6833</v>
      </c>
      <c r="W1154" t="s">
        <v>6841</v>
      </c>
      <c r="Y1154" t="s">
        <v>7962</v>
      </c>
      <c r="AA1154" t="s">
        <v>10000</v>
      </c>
      <c r="AB1154">
        <v>25</v>
      </c>
      <c r="AC1154" t="s">
        <v>10929</v>
      </c>
      <c r="AD1154" t="s">
        <v>5741</v>
      </c>
      <c r="AE1154">
        <v>19</v>
      </c>
      <c r="AF1154">
        <v>1</v>
      </c>
      <c r="AG1154">
        <v>0</v>
      </c>
      <c r="AH1154">
        <v>249.8</v>
      </c>
      <c r="AK1154" t="s">
        <v>10966</v>
      </c>
      <c r="AL1154">
        <v>31200</v>
      </c>
      <c r="AR1154">
        <v>12.76</v>
      </c>
      <c r="AS1154" t="s">
        <v>6821</v>
      </c>
      <c r="AT1154" t="s">
        <v>11195</v>
      </c>
      <c r="AV1154" t="s">
        <v>11231</v>
      </c>
      <c r="AW1154" t="s">
        <v>11147</v>
      </c>
    </row>
    <row r="1155" spans="1:49">
      <c r="A1155" s="1">
        <f>HYPERLINK("https://lsnyc.legalserver.org/matter/dynamic-profile/view/1899934","19-1899934")</f>
        <v>0</v>
      </c>
      <c r="B1155" t="s">
        <v>108</v>
      </c>
      <c r="C1155" t="s">
        <v>1100</v>
      </c>
      <c r="D1155" t="s">
        <v>2457</v>
      </c>
      <c r="E1155" t="s">
        <v>4146</v>
      </c>
      <c r="F1155" t="s">
        <v>5183</v>
      </c>
      <c r="G1155" t="s">
        <v>5635</v>
      </c>
      <c r="H1155">
        <v>10467</v>
      </c>
      <c r="I1155" t="s">
        <v>5695</v>
      </c>
      <c r="J1155" t="s">
        <v>5696</v>
      </c>
      <c r="K1155" t="s">
        <v>6178</v>
      </c>
      <c r="L1155" t="s">
        <v>6712</v>
      </c>
      <c r="M1155" t="s">
        <v>6736</v>
      </c>
      <c r="O1155" t="s">
        <v>6763</v>
      </c>
      <c r="P1155" t="s">
        <v>5697</v>
      </c>
      <c r="R1155" t="s">
        <v>6793</v>
      </c>
      <c r="S1155" t="s">
        <v>6803</v>
      </c>
      <c r="U1155">
        <v>1</v>
      </c>
      <c r="V1155" t="s">
        <v>6833</v>
      </c>
      <c r="W1155" t="s">
        <v>6843</v>
      </c>
      <c r="Y1155" t="s">
        <v>7963</v>
      </c>
      <c r="Z1155" t="s">
        <v>8929</v>
      </c>
      <c r="AA1155" t="s">
        <v>10001</v>
      </c>
      <c r="AB1155">
        <v>135</v>
      </c>
      <c r="AC1155" t="s">
        <v>10929</v>
      </c>
      <c r="AD1155" t="s">
        <v>10944</v>
      </c>
      <c r="AE1155">
        <v>9</v>
      </c>
      <c r="AF1155">
        <v>3</v>
      </c>
      <c r="AG1155">
        <v>1</v>
      </c>
      <c r="AH1155">
        <v>43.01</v>
      </c>
      <c r="AK1155" t="s">
        <v>10966</v>
      </c>
      <c r="AL1155">
        <v>11076</v>
      </c>
      <c r="AR1155">
        <v>2.4</v>
      </c>
      <c r="AS1155" t="s">
        <v>6811</v>
      </c>
      <c r="AT1155" t="s">
        <v>108</v>
      </c>
      <c r="AU1155" t="s">
        <v>11229</v>
      </c>
      <c r="AV1155" t="s">
        <v>11231</v>
      </c>
      <c r="AW1155" t="s">
        <v>11132</v>
      </c>
    </row>
    <row r="1156" spans="1:49">
      <c r="A1156" s="1">
        <f>HYPERLINK("https://lsnyc.legalserver.org/matter/dynamic-profile/view/1898969","19-1898969")</f>
        <v>0</v>
      </c>
      <c r="B1156" t="s">
        <v>196</v>
      </c>
      <c r="C1156" t="s">
        <v>901</v>
      </c>
      <c r="D1156" t="s">
        <v>2458</v>
      </c>
      <c r="E1156" t="s">
        <v>4147</v>
      </c>
      <c r="F1156">
        <v>3</v>
      </c>
      <c r="G1156" t="s">
        <v>5635</v>
      </c>
      <c r="H1156">
        <v>10456</v>
      </c>
      <c r="I1156" t="s">
        <v>5695</v>
      </c>
      <c r="J1156" t="s">
        <v>5696</v>
      </c>
      <c r="K1156" t="s">
        <v>6179</v>
      </c>
      <c r="L1156" t="s">
        <v>6712</v>
      </c>
      <c r="M1156" t="s">
        <v>6736</v>
      </c>
      <c r="O1156" t="s">
        <v>6764</v>
      </c>
      <c r="R1156" t="s">
        <v>6793</v>
      </c>
      <c r="U1156">
        <v>693</v>
      </c>
      <c r="V1156" t="s">
        <v>6833</v>
      </c>
      <c r="W1156" t="s">
        <v>6839</v>
      </c>
      <c r="Y1156" t="s">
        <v>7964</v>
      </c>
      <c r="AA1156" t="s">
        <v>10002</v>
      </c>
      <c r="AB1156">
        <v>0</v>
      </c>
      <c r="AC1156" t="s">
        <v>10930</v>
      </c>
      <c r="AE1156">
        <v>7</v>
      </c>
      <c r="AF1156">
        <v>1</v>
      </c>
      <c r="AG1156">
        <v>0</v>
      </c>
      <c r="AH1156">
        <v>178.8</v>
      </c>
      <c r="AK1156" t="s">
        <v>10966</v>
      </c>
      <c r="AL1156">
        <v>22332</v>
      </c>
      <c r="AR1156">
        <v>0</v>
      </c>
      <c r="AT1156" t="s">
        <v>11217</v>
      </c>
      <c r="AU1156" t="s">
        <v>11228</v>
      </c>
      <c r="AV1156" t="s">
        <v>11231</v>
      </c>
      <c r="AW1156" t="s">
        <v>11156</v>
      </c>
    </row>
    <row r="1157" spans="1:49">
      <c r="A1157" s="1">
        <f>HYPERLINK("https://lsnyc.legalserver.org/matter/dynamic-profile/view/1904134","19-1904134")</f>
        <v>0</v>
      </c>
      <c r="B1157" t="s">
        <v>251</v>
      </c>
      <c r="C1157" t="s">
        <v>491</v>
      </c>
      <c r="D1157" t="s">
        <v>2459</v>
      </c>
      <c r="E1157" t="s">
        <v>4148</v>
      </c>
      <c r="F1157" t="s">
        <v>5093</v>
      </c>
      <c r="G1157" t="s">
        <v>5674</v>
      </c>
      <c r="H1157">
        <v>11373</v>
      </c>
      <c r="I1157" t="s">
        <v>5696</v>
      </c>
      <c r="J1157" t="s">
        <v>5696</v>
      </c>
      <c r="K1157" t="s">
        <v>6180</v>
      </c>
      <c r="L1157" t="s">
        <v>6712</v>
      </c>
      <c r="M1157" t="s">
        <v>6736</v>
      </c>
      <c r="O1157" t="s">
        <v>6752</v>
      </c>
      <c r="R1157" t="s">
        <v>6793</v>
      </c>
      <c r="U1157">
        <v>1350</v>
      </c>
      <c r="V1157" t="s">
        <v>6837</v>
      </c>
      <c r="W1157" t="s">
        <v>6839</v>
      </c>
      <c r="Y1157" t="s">
        <v>7965</v>
      </c>
      <c r="AA1157" t="s">
        <v>10003</v>
      </c>
      <c r="AB1157">
        <v>0</v>
      </c>
      <c r="AC1157" t="s">
        <v>8953</v>
      </c>
      <c r="AD1157" t="s">
        <v>5741</v>
      </c>
      <c r="AE1157">
        <v>10</v>
      </c>
      <c r="AF1157">
        <v>2</v>
      </c>
      <c r="AG1157">
        <v>2</v>
      </c>
      <c r="AH1157">
        <v>97.09</v>
      </c>
      <c r="AK1157" t="s">
        <v>10966</v>
      </c>
      <c r="AL1157">
        <v>25000</v>
      </c>
      <c r="AR1157">
        <v>16.75</v>
      </c>
      <c r="AS1157" t="s">
        <v>6828</v>
      </c>
      <c r="AT1157" t="s">
        <v>11184</v>
      </c>
      <c r="AV1157" t="s">
        <v>11231</v>
      </c>
      <c r="AW1157" t="s">
        <v>6818</v>
      </c>
    </row>
    <row r="1158" spans="1:49">
      <c r="A1158" s="1">
        <f>HYPERLINK("https://lsnyc.legalserver.org/matter/dynamic-profile/view/1904305","19-1904305")</f>
        <v>0</v>
      </c>
      <c r="B1158" t="s">
        <v>273</v>
      </c>
      <c r="C1158" t="s">
        <v>893</v>
      </c>
      <c r="D1158" t="s">
        <v>2460</v>
      </c>
      <c r="E1158" t="s">
        <v>4149</v>
      </c>
      <c r="F1158" t="s">
        <v>5459</v>
      </c>
      <c r="G1158" t="s">
        <v>5635</v>
      </c>
      <c r="H1158">
        <v>10456</v>
      </c>
      <c r="I1158" t="s">
        <v>5695</v>
      </c>
      <c r="J1158" t="s">
        <v>5696</v>
      </c>
      <c r="K1158" t="s">
        <v>6181</v>
      </c>
      <c r="L1158" t="s">
        <v>6712</v>
      </c>
      <c r="M1158" t="s">
        <v>6736</v>
      </c>
      <c r="O1158" t="s">
        <v>6747</v>
      </c>
      <c r="P1158" t="s">
        <v>5697</v>
      </c>
      <c r="R1158" t="s">
        <v>6793</v>
      </c>
      <c r="T1158" t="s">
        <v>6813</v>
      </c>
      <c r="U1158">
        <v>1263.13</v>
      </c>
      <c r="V1158" t="s">
        <v>6833</v>
      </c>
      <c r="W1158" t="s">
        <v>6843</v>
      </c>
      <c r="Y1158" t="s">
        <v>7966</v>
      </c>
      <c r="AA1158" t="s">
        <v>10004</v>
      </c>
      <c r="AB1158">
        <v>71</v>
      </c>
      <c r="AC1158" t="s">
        <v>10929</v>
      </c>
      <c r="AE1158">
        <v>27</v>
      </c>
      <c r="AF1158">
        <v>1</v>
      </c>
      <c r="AG1158">
        <v>4</v>
      </c>
      <c r="AH1158">
        <v>135.9</v>
      </c>
      <c r="AK1158" t="s">
        <v>10966</v>
      </c>
      <c r="AL1158">
        <v>41000</v>
      </c>
      <c r="AR1158">
        <v>2.8</v>
      </c>
      <c r="AS1158" t="s">
        <v>6812</v>
      </c>
      <c r="AT1158" t="s">
        <v>11187</v>
      </c>
      <c r="AU1158" t="s">
        <v>11228</v>
      </c>
      <c r="AV1158" t="s">
        <v>11231</v>
      </c>
      <c r="AW1158" t="s">
        <v>6813</v>
      </c>
    </row>
    <row r="1159" spans="1:49">
      <c r="A1159" s="1">
        <f>HYPERLINK("https://lsnyc.legalserver.org/matter/dynamic-profile/view/1906177","19-1906177")</f>
        <v>0</v>
      </c>
      <c r="B1159" t="s">
        <v>98</v>
      </c>
      <c r="C1159" t="s">
        <v>491</v>
      </c>
      <c r="D1159" t="s">
        <v>1863</v>
      </c>
      <c r="E1159" t="s">
        <v>4150</v>
      </c>
      <c r="F1159" t="s">
        <v>5142</v>
      </c>
      <c r="G1159" t="s">
        <v>5638</v>
      </c>
      <c r="H1159">
        <v>10026</v>
      </c>
      <c r="I1159" t="s">
        <v>5695</v>
      </c>
      <c r="J1159" t="s">
        <v>5696</v>
      </c>
      <c r="K1159" t="s">
        <v>6182</v>
      </c>
      <c r="L1159" t="s">
        <v>6712</v>
      </c>
      <c r="M1159" t="s">
        <v>6736</v>
      </c>
      <c r="O1159" t="s">
        <v>6749</v>
      </c>
      <c r="P1159" t="s">
        <v>5697</v>
      </c>
      <c r="R1159" t="s">
        <v>6793</v>
      </c>
      <c r="T1159" t="s">
        <v>6821</v>
      </c>
      <c r="U1159">
        <v>0</v>
      </c>
      <c r="V1159" t="s">
        <v>6836</v>
      </c>
      <c r="W1159" t="s">
        <v>6843</v>
      </c>
      <c r="Y1159" t="s">
        <v>7396</v>
      </c>
      <c r="AA1159" t="s">
        <v>10005</v>
      </c>
      <c r="AB1159">
        <v>54</v>
      </c>
      <c r="AC1159" t="s">
        <v>10929</v>
      </c>
      <c r="AE1159">
        <v>30</v>
      </c>
      <c r="AF1159">
        <v>1</v>
      </c>
      <c r="AG1159">
        <v>0</v>
      </c>
      <c r="AH1159">
        <v>73.69</v>
      </c>
      <c r="AK1159" t="s">
        <v>10966</v>
      </c>
      <c r="AL1159">
        <v>9204</v>
      </c>
      <c r="AR1159">
        <v>3</v>
      </c>
      <c r="AS1159" t="s">
        <v>6821</v>
      </c>
      <c r="AT1159" t="s">
        <v>11218</v>
      </c>
      <c r="AU1159" t="s">
        <v>11228</v>
      </c>
      <c r="AV1159" t="s">
        <v>11231</v>
      </c>
      <c r="AW1159" t="s">
        <v>6821</v>
      </c>
    </row>
    <row r="1160" spans="1:49">
      <c r="A1160" s="1">
        <f>HYPERLINK("https://lsnyc.legalserver.org/matter/dynamic-profile/view/1906279","19-1906279")</f>
        <v>0</v>
      </c>
      <c r="B1160" t="s">
        <v>249</v>
      </c>
      <c r="C1160" t="s">
        <v>423</v>
      </c>
      <c r="D1160" t="s">
        <v>1760</v>
      </c>
      <c r="E1160" t="s">
        <v>4151</v>
      </c>
      <c r="F1160" t="s">
        <v>5154</v>
      </c>
      <c r="G1160" t="s">
        <v>5638</v>
      </c>
      <c r="H1160">
        <v>10026</v>
      </c>
      <c r="I1160" t="s">
        <v>5695</v>
      </c>
      <c r="J1160" t="s">
        <v>5696</v>
      </c>
      <c r="K1160" t="s">
        <v>6183</v>
      </c>
      <c r="L1160" t="s">
        <v>6712</v>
      </c>
      <c r="M1160" t="s">
        <v>6736</v>
      </c>
      <c r="O1160" t="s">
        <v>6749</v>
      </c>
      <c r="P1160" t="s">
        <v>5697</v>
      </c>
      <c r="R1160" t="s">
        <v>6793</v>
      </c>
      <c r="S1160" t="s">
        <v>6801</v>
      </c>
      <c r="U1160">
        <v>0</v>
      </c>
      <c r="V1160" t="s">
        <v>6836</v>
      </c>
      <c r="W1160" t="s">
        <v>6839</v>
      </c>
      <c r="Y1160" t="s">
        <v>7967</v>
      </c>
      <c r="AA1160" t="s">
        <v>10006</v>
      </c>
      <c r="AB1160">
        <v>0</v>
      </c>
      <c r="AC1160" t="s">
        <v>8953</v>
      </c>
      <c r="AD1160" t="s">
        <v>5741</v>
      </c>
      <c r="AE1160">
        <v>4</v>
      </c>
      <c r="AF1160">
        <v>2</v>
      </c>
      <c r="AG1160">
        <v>1</v>
      </c>
      <c r="AH1160">
        <v>39.01</v>
      </c>
      <c r="AK1160" t="s">
        <v>10966</v>
      </c>
      <c r="AL1160">
        <v>8320</v>
      </c>
      <c r="AR1160">
        <v>1.25</v>
      </c>
      <c r="AS1160" t="s">
        <v>6827</v>
      </c>
      <c r="AT1160" t="s">
        <v>305</v>
      </c>
      <c r="AU1160" t="s">
        <v>11228</v>
      </c>
      <c r="AV1160" t="s">
        <v>11231</v>
      </c>
      <c r="AW1160" t="s">
        <v>6827</v>
      </c>
    </row>
    <row r="1161" spans="1:49">
      <c r="A1161" s="1">
        <f>HYPERLINK("https://lsnyc.legalserver.org/matter/dynamic-profile/view/1900960","19-1900960")</f>
        <v>0</v>
      </c>
      <c r="B1161" t="s">
        <v>78</v>
      </c>
      <c r="C1161" t="s">
        <v>1101</v>
      </c>
      <c r="D1161" t="s">
        <v>2363</v>
      </c>
      <c r="E1161" t="s">
        <v>4152</v>
      </c>
      <c r="F1161" t="s">
        <v>5316</v>
      </c>
      <c r="G1161" t="s">
        <v>5638</v>
      </c>
      <c r="H1161">
        <v>10026</v>
      </c>
      <c r="I1161" t="s">
        <v>5695</v>
      </c>
      <c r="J1161" t="s">
        <v>5696</v>
      </c>
      <c r="K1161" t="s">
        <v>6184</v>
      </c>
      <c r="L1161" t="s">
        <v>6712</v>
      </c>
      <c r="M1161" t="s">
        <v>6736</v>
      </c>
      <c r="O1161" t="s">
        <v>6749</v>
      </c>
      <c r="P1161" t="s">
        <v>5697</v>
      </c>
      <c r="R1161" t="s">
        <v>6793</v>
      </c>
      <c r="U1161">
        <v>464.75</v>
      </c>
      <c r="V1161" t="s">
        <v>6836</v>
      </c>
      <c r="W1161" t="s">
        <v>6839</v>
      </c>
      <c r="Y1161" t="s">
        <v>7968</v>
      </c>
      <c r="AA1161" t="s">
        <v>10007</v>
      </c>
      <c r="AB1161">
        <v>0</v>
      </c>
      <c r="AC1161" t="s">
        <v>8953</v>
      </c>
      <c r="AD1161" t="s">
        <v>5741</v>
      </c>
      <c r="AE1161">
        <v>30</v>
      </c>
      <c r="AF1161">
        <v>4</v>
      </c>
      <c r="AG1161">
        <v>0</v>
      </c>
      <c r="AH1161">
        <v>30.29</v>
      </c>
      <c r="AK1161" t="s">
        <v>10967</v>
      </c>
      <c r="AL1161">
        <v>7800</v>
      </c>
      <c r="AR1161">
        <v>16.7</v>
      </c>
      <c r="AS1161" t="s">
        <v>6827</v>
      </c>
      <c r="AT1161" t="s">
        <v>305</v>
      </c>
      <c r="AV1161" t="s">
        <v>11231</v>
      </c>
      <c r="AW1161" t="s">
        <v>11136</v>
      </c>
    </row>
    <row r="1162" spans="1:49">
      <c r="A1162" s="1">
        <f>HYPERLINK("https://lsnyc.legalserver.org/matter/dynamic-profile/view/1906348","19-1906348")</f>
        <v>0</v>
      </c>
      <c r="B1162" t="s">
        <v>274</v>
      </c>
      <c r="C1162" t="s">
        <v>356</v>
      </c>
      <c r="D1162" t="s">
        <v>1646</v>
      </c>
      <c r="E1162" t="s">
        <v>4153</v>
      </c>
      <c r="F1162" t="s">
        <v>5273</v>
      </c>
      <c r="G1162" t="s">
        <v>5635</v>
      </c>
      <c r="H1162">
        <v>10468</v>
      </c>
      <c r="I1162" t="s">
        <v>5695</v>
      </c>
      <c r="J1162" t="s">
        <v>5696</v>
      </c>
      <c r="K1162" t="s">
        <v>6185</v>
      </c>
      <c r="L1162" t="s">
        <v>6712</v>
      </c>
      <c r="M1162" t="s">
        <v>6736</v>
      </c>
      <c r="O1162" t="s">
        <v>6763</v>
      </c>
      <c r="P1162" t="s">
        <v>5697</v>
      </c>
      <c r="R1162" t="s">
        <v>6793</v>
      </c>
      <c r="U1162">
        <v>675</v>
      </c>
      <c r="V1162" t="s">
        <v>6833</v>
      </c>
      <c r="W1162" t="s">
        <v>6839</v>
      </c>
      <c r="Y1162" t="s">
        <v>7969</v>
      </c>
      <c r="AA1162" t="s">
        <v>10008</v>
      </c>
      <c r="AB1162">
        <v>2</v>
      </c>
      <c r="AC1162" t="s">
        <v>10930</v>
      </c>
      <c r="AD1162" t="s">
        <v>10949</v>
      </c>
      <c r="AE1162">
        <v>10</v>
      </c>
      <c r="AF1162">
        <v>1</v>
      </c>
      <c r="AG1162">
        <v>0</v>
      </c>
      <c r="AH1162">
        <v>17.58</v>
      </c>
      <c r="AK1162" t="s">
        <v>10966</v>
      </c>
      <c r="AL1162">
        <v>2196</v>
      </c>
      <c r="AR1162">
        <v>0</v>
      </c>
      <c r="AT1162" t="s">
        <v>11196</v>
      </c>
      <c r="AV1162" t="s">
        <v>11231</v>
      </c>
      <c r="AW1162" t="s">
        <v>6827</v>
      </c>
    </row>
    <row r="1163" spans="1:49">
      <c r="A1163" s="1">
        <f>HYPERLINK("https://lsnyc.legalserver.org/matter/dynamic-profile/view/1902519","19-1902519")</f>
        <v>0</v>
      </c>
      <c r="B1163" t="s">
        <v>189</v>
      </c>
      <c r="C1163" t="s">
        <v>865</v>
      </c>
      <c r="D1163" t="s">
        <v>2461</v>
      </c>
      <c r="E1163" t="s">
        <v>4154</v>
      </c>
      <c r="G1163" t="s">
        <v>5644</v>
      </c>
      <c r="H1163">
        <v>11434</v>
      </c>
      <c r="I1163" t="s">
        <v>5696</v>
      </c>
      <c r="J1163" t="s">
        <v>5696</v>
      </c>
      <c r="K1163" t="s">
        <v>6186</v>
      </c>
      <c r="L1163" t="s">
        <v>6712</v>
      </c>
      <c r="M1163" t="s">
        <v>6736</v>
      </c>
      <c r="O1163" t="s">
        <v>6758</v>
      </c>
      <c r="R1163" t="s">
        <v>6793</v>
      </c>
      <c r="T1163" t="s">
        <v>6810</v>
      </c>
      <c r="U1163">
        <v>0</v>
      </c>
      <c r="V1163" t="s">
        <v>6837</v>
      </c>
      <c r="Y1163" t="s">
        <v>7970</v>
      </c>
      <c r="AA1163" t="s">
        <v>10009</v>
      </c>
      <c r="AB1163">
        <v>2</v>
      </c>
      <c r="AE1163">
        <v>11</v>
      </c>
      <c r="AF1163">
        <v>3</v>
      </c>
      <c r="AG1163">
        <v>0</v>
      </c>
      <c r="AH1163">
        <v>298.17</v>
      </c>
      <c r="AK1163" t="s">
        <v>10966</v>
      </c>
      <c r="AL1163">
        <v>63600</v>
      </c>
      <c r="AR1163">
        <v>4.1</v>
      </c>
      <c r="AS1163" t="s">
        <v>6819</v>
      </c>
      <c r="AT1163" t="s">
        <v>11188</v>
      </c>
      <c r="AV1163" t="s">
        <v>11231</v>
      </c>
      <c r="AW1163" t="s">
        <v>11116</v>
      </c>
    </row>
    <row r="1164" spans="1:49">
      <c r="A1164" s="1">
        <f>HYPERLINK("https://lsnyc.legalserver.org/matter/dynamic-profile/view/1900388","19-1900388")</f>
        <v>0</v>
      </c>
      <c r="B1164" t="s">
        <v>256</v>
      </c>
      <c r="C1164" t="s">
        <v>709</v>
      </c>
      <c r="D1164" t="s">
        <v>1812</v>
      </c>
      <c r="E1164" t="s">
        <v>4155</v>
      </c>
      <c r="F1164" t="s">
        <v>5460</v>
      </c>
      <c r="G1164" t="s">
        <v>5674</v>
      </c>
      <c r="H1164">
        <v>11373</v>
      </c>
      <c r="I1164" t="s">
        <v>5696</v>
      </c>
      <c r="J1164" t="s">
        <v>5696</v>
      </c>
      <c r="K1164" t="s">
        <v>6187</v>
      </c>
      <c r="L1164" t="s">
        <v>6712</v>
      </c>
      <c r="M1164" t="s">
        <v>6736</v>
      </c>
      <c r="O1164" t="s">
        <v>6748</v>
      </c>
      <c r="R1164" t="s">
        <v>6793</v>
      </c>
      <c r="U1164">
        <v>1262.03</v>
      </c>
      <c r="V1164" t="s">
        <v>6837</v>
      </c>
      <c r="Y1164" t="s">
        <v>7971</v>
      </c>
      <c r="AA1164" t="s">
        <v>10010</v>
      </c>
      <c r="AB1164">
        <v>139</v>
      </c>
      <c r="AE1164">
        <v>12</v>
      </c>
      <c r="AF1164">
        <v>2</v>
      </c>
      <c r="AG1164">
        <v>4</v>
      </c>
      <c r="AH1164">
        <v>131.15</v>
      </c>
      <c r="AK1164" t="s">
        <v>10966</v>
      </c>
      <c r="AL1164">
        <v>45364.8</v>
      </c>
      <c r="AR1164">
        <v>25.45</v>
      </c>
      <c r="AS1164" t="s">
        <v>6822</v>
      </c>
      <c r="AT1164" t="s">
        <v>11181</v>
      </c>
      <c r="AV1164" t="s">
        <v>11231</v>
      </c>
      <c r="AW1164" t="s">
        <v>11160</v>
      </c>
    </row>
    <row r="1165" spans="1:49">
      <c r="A1165" s="1">
        <f>HYPERLINK("https://lsnyc.legalserver.org/matter/dynamic-profile/view/1904151","19-1904151")</f>
        <v>0</v>
      </c>
      <c r="B1165" t="s">
        <v>232</v>
      </c>
      <c r="C1165" t="s">
        <v>1029</v>
      </c>
      <c r="D1165" t="s">
        <v>2462</v>
      </c>
      <c r="E1165" t="s">
        <v>4156</v>
      </c>
      <c r="F1165" t="s">
        <v>5248</v>
      </c>
      <c r="G1165" t="s">
        <v>5650</v>
      </c>
      <c r="H1165">
        <v>11365</v>
      </c>
      <c r="I1165" t="s">
        <v>5695</v>
      </c>
      <c r="J1165" t="s">
        <v>5696</v>
      </c>
      <c r="K1165" t="s">
        <v>6188</v>
      </c>
      <c r="L1165" t="s">
        <v>6712</v>
      </c>
      <c r="M1165" t="s">
        <v>6736</v>
      </c>
      <c r="O1165" t="s">
        <v>6757</v>
      </c>
      <c r="P1165" t="s">
        <v>5697</v>
      </c>
      <c r="R1165" t="s">
        <v>6794</v>
      </c>
      <c r="S1165" t="s">
        <v>6801</v>
      </c>
      <c r="T1165" t="s">
        <v>6818</v>
      </c>
      <c r="U1165">
        <v>532</v>
      </c>
      <c r="V1165" t="s">
        <v>6837</v>
      </c>
      <c r="W1165" t="s">
        <v>6843</v>
      </c>
      <c r="Y1165" t="s">
        <v>7772</v>
      </c>
      <c r="AA1165" t="s">
        <v>10011</v>
      </c>
      <c r="AB1165">
        <v>701</v>
      </c>
      <c r="AC1165" t="s">
        <v>10931</v>
      </c>
      <c r="AE1165">
        <v>13</v>
      </c>
      <c r="AF1165">
        <v>1</v>
      </c>
      <c r="AG1165">
        <v>2</v>
      </c>
      <c r="AH1165">
        <v>36.4</v>
      </c>
      <c r="AK1165" t="s">
        <v>10966</v>
      </c>
      <c r="AL1165">
        <v>7764</v>
      </c>
      <c r="AR1165">
        <v>19.4</v>
      </c>
      <c r="AS1165" t="s">
        <v>6820</v>
      </c>
      <c r="AT1165" t="s">
        <v>232</v>
      </c>
      <c r="AV1165" t="s">
        <v>11231</v>
      </c>
      <c r="AW1165" t="s">
        <v>6818</v>
      </c>
    </row>
    <row r="1166" spans="1:49">
      <c r="A1166" s="1">
        <f>HYPERLINK("https://lsnyc.legalserver.org/matter/dynamic-profile/view/1902402","19-1902402")</f>
        <v>0</v>
      </c>
      <c r="B1166" t="s">
        <v>217</v>
      </c>
      <c r="C1166" t="s">
        <v>1102</v>
      </c>
      <c r="D1166" t="s">
        <v>2463</v>
      </c>
      <c r="E1166" t="s">
        <v>4157</v>
      </c>
      <c r="F1166" t="s">
        <v>5461</v>
      </c>
      <c r="G1166" t="s">
        <v>5644</v>
      </c>
      <c r="H1166">
        <v>11433</v>
      </c>
      <c r="I1166" t="s">
        <v>5696</v>
      </c>
      <c r="J1166" t="s">
        <v>5696</v>
      </c>
      <c r="K1166" t="s">
        <v>6189</v>
      </c>
      <c r="L1166" t="s">
        <v>6712</v>
      </c>
      <c r="M1166" t="s">
        <v>6736</v>
      </c>
      <c r="O1166" t="s">
        <v>6752</v>
      </c>
      <c r="P1166" t="s">
        <v>5697</v>
      </c>
      <c r="R1166" t="s">
        <v>6793</v>
      </c>
      <c r="U1166">
        <v>800</v>
      </c>
      <c r="V1166" t="s">
        <v>6837</v>
      </c>
      <c r="W1166" t="s">
        <v>6839</v>
      </c>
      <c r="Y1166" t="s">
        <v>7972</v>
      </c>
      <c r="Z1166" t="s">
        <v>5741</v>
      </c>
      <c r="AA1166" t="s">
        <v>10012</v>
      </c>
      <c r="AB1166">
        <v>0</v>
      </c>
      <c r="AC1166" t="s">
        <v>10930</v>
      </c>
      <c r="AD1166" t="s">
        <v>5741</v>
      </c>
      <c r="AE1166">
        <v>1</v>
      </c>
      <c r="AF1166">
        <v>1</v>
      </c>
      <c r="AG1166">
        <v>0</v>
      </c>
      <c r="AH1166">
        <v>96.08</v>
      </c>
      <c r="AK1166" t="s">
        <v>10967</v>
      </c>
      <c r="AL1166">
        <v>12000</v>
      </c>
      <c r="AR1166">
        <v>8.039999999999999</v>
      </c>
      <c r="AS1166" t="s">
        <v>6814</v>
      </c>
      <c r="AT1166" t="s">
        <v>11184</v>
      </c>
      <c r="AU1166" t="s">
        <v>11228</v>
      </c>
      <c r="AV1166" t="s">
        <v>11231</v>
      </c>
      <c r="AW1166" t="s">
        <v>11140</v>
      </c>
    </row>
    <row r="1167" spans="1:49">
      <c r="A1167" s="1">
        <f>HYPERLINK("https://lsnyc.legalserver.org/matter/dynamic-profile/view/1906269","19-1906269")</f>
        <v>0</v>
      </c>
      <c r="B1167" t="s">
        <v>55</v>
      </c>
      <c r="C1167" t="s">
        <v>335</v>
      </c>
      <c r="D1167" t="s">
        <v>2464</v>
      </c>
      <c r="E1167" t="s">
        <v>4158</v>
      </c>
      <c r="F1167" t="s">
        <v>5316</v>
      </c>
      <c r="G1167" t="s">
        <v>5638</v>
      </c>
      <c r="H1167">
        <v>10031</v>
      </c>
      <c r="I1167" t="s">
        <v>5695</v>
      </c>
      <c r="J1167" t="s">
        <v>5696</v>
      </c>
      <c r="K1167" t="s">
        <v>6190</v>
      </c>
      <c r="L1167" t="s">
        <v>6712</v>
      </c>
      <c r="M1167" t="s">
        <v>6736</v>
      </c>
      <c r="O1167" t="s">
        <v>6749</v>
      </c>
      <c r="P1167" t="s">
        <v>5697</v>
      </c>
      <c r="R1167" t="s">
        <v>6793</v>
      </c>
      <c r="S1167" t="s">
        <v>6801</v>
      </c>
      <c r="T1167" t="s">
        <v>6827</v>
      </c>
      <c r="U1167">
        <v>556.3200000000001</v>
      </c>
      <c r="V1167" t="s">
        <v>6836</v>
      </c>
      <c r="W1167" t="s">
        <v>6839</v>
      </c>
      <c r="Y1167" t="s">
        <v>7973</v>
      </c>
      <c r="Z1167" t="s">
        <v>9002</v>
      </c>
      <c r="AA1167" t="s">
        <v>10013</v>
      </c>
      <c r="AB1167">
        <v>0</v>
      </c>
      <c r="AC1167" t="s">
        <v>10929</v>
      </c>
      <c r="AD1167" t="s">
        <v>5741</v>
      </c>
      <c r="AE1167">
        <v>30</v>
      </c>
      <c r="AF1167">
        <v>2</v>
      </c>
      <c r="AG1167">
        <v>0</v>
      </c>
      <c r="AH1167">
        <v>52</v>
      </c>
      <c r="AK1167" t="s">
        <v>10967</v>
      </c>
      <c r="AL1167">
        <v>8793</v>
      </c>
      <c r="AR1167">
        <v>0</v>
      </c>
      <c r="AT1167" t="s">
        <v>305</v>
      </c>
      <c r="AU1167" t="s">
        <v>11228</v>
      </c>
      <c r="AV1167" t="s">
        <v>11231</v>
      </c>
      <c r="AW1167" t="s">
        <v>6827</v>
      </c>
    </row>
    <row r="1168" spans="1:49">
      <c r="A1168" s="1">
        <f>HYPERLINK("https://lsnyc.legalserver.org/matter/dynamic-profile/view/1904674","19-1904674")</f>
        <v>0</v>
      </c>
      <c r="B1168" t="s">
        <v>243</v>
      </c>
      <c r="C1168" t="s">
        <v>1103</v>
      </c>
      <c r="D1168" t="s">
        <v>1821</v>
      </c>
      <c r="E1168" t="s">
        <v>4159</v>
      </c>
      <c r="G1168" t="s">
        <v>5644</v>
      </c>
      <c r="H1168">
        <v>11434</v>
      </c>
      <c r="I1168" t="s">
        <v>5695</v>
      </c>
      <c r="J1168" t="s">
        <v>5696</v>
      </c>
      <c r="K1168" t="s">
        <v>6191</v>
      </c>
      <c r="L1168" t="s">
        <v>6712</v>
      </c>
      <c r="M1168" t="s">
        <v>6736</v>
      </c>
      <c r="O1168" t="s">
        <v>6752</v>
      </c>
      <c r="P1168" t="s">
        <v>5697</v>
      </c>
      <c r="R1168" t="s">
        <v>6793</v>
      </c>
      <c r="T1168" t="s">
        <v>6809</v>
      </c>
      <c r="U1168">
        <v>0</v>
      </c>
      <c r="V1168" t="s">
        <v>6837</v>
      </c>
      <c r="W1168" t="s">
        <v>6843</v>
      </c>
      <c r="Y1168" t="s">
        <v>7974</v>
      </c>
      <c r="AA1168" t="s">
        <v>10014</v>
      </c>
      <c r="AB1168">
        <v>0</v>
      </c>
      <c r="AD1168" t="s">
        <v>5741</v>
      </c>
      <c r="AE1168">
        <v>29</v>
      </c>
      <c r="AF1168">
        <v>8</v>
      </c>
      <c r="AG1168">
        <v>1</v>
      </c>
      <c r="AH1168">
        <v>200.63</v>
      </c>
      <c r="AI1168" t="s">
        <v>6820</v>
      </c>
      <c r="AJ1168" t="s">
        <v>10963</v>
      </c>
      <c r="AK1168" t="s">
        <v>10966</v>
      </c>
      <c r="AL1168">
        <v>96000</v>
      </c>
      <c r="AR1168">
        <v>3.1</v>
      </c>
      <c r="AS1168" t="s">
        <v>6814</v>
      </c>
      <c r="AT1168" t="s">
        <v>11182</v>
      </c>
      <c r="AU1168" t="s">
        <v>11228</v>
      </c>
      <c r="AV1168" t="s">
        <v>11231</v>
      </c>
      <c r="AW1168" t="s">
        <v>6809</v>
      </c>
    </row>
    <row r="1169" spans="1:49">
      <c r="A1169" s="1">
        <f>HYPERLINK("https://lsnyc.legalserver.org/matter/dynamic-profile/view/1897277","19-1897277")</f>
        <v>0</v>
      </c>
      <c r="B1169" t="s">
        <v>217</v>
      </c>
      <c r="C1169" t="s">
        <v>664</v>
      </c>
      <c r="D1169" t="s">
        <v>2465</v>
      </c>
      <c r="E1169" t="s">
        <v>4160</v>
      </c>
      <c r="F1169" t="s">
        <v>5281</v>
      </c>
      <c r="G1169" t="s">
        <v>5644</v>
      </c>
      <c r="H1169">
        <v>11434</v>
      </c>
      <c r="I1169" t="s">
        <v>5695</v>
      </c>
      <c r="J1169" t="s">
        <v>5695</v>
      </c>
      <c r="K1169" t="s">
        <v>6192</v>
      </c>
      <c r="L1169" t="s">
        <v>6712</v>
      </c>
      <c r="M1169" t="s">
        <v>6736</v>
      </c>
      <c r="O1169" t="s">
        <v>6752</v>
      </c>
      <c r="P1169" t="s">
        <v>5697</v>
      </c>
      <c r="R1169" t="s">
        <v>6793</v>
      </c>
      <c r="S1169" t="s">
        <v>6801</v>
      </c>
      <c r="U1169">
        <v>1268</v>
      </c>
      <c r="V1169" t="s">
        <v>6837</v>
      </c>
      <c r="W1169" t="s">
        <v>6839</v>
      </c>
      <c r="Y1169" t="s">
        <v>7975</v>
      </c>
      <c r="AA1169" t="s">
        <v>10015</v>
      </c>
      <c r="AB1169">
        <v>85</v>
      </c>
      <c r="AC1169" t="s">
        <v>10929</v>
      </c>
      <c r="AD1169" t="s">
        <v>10946</v>
      </c>
      <c r="AE1169">
        <v>1</v>
      </c>
      <c r="AF1169">
        <v>1</v>
      </c>
      <c r="AG1169">
        <v>1</v>
      </c>
      <c r="AH1169">
        <v>0</v>
      </c>
      <c r="AK1169" t="s">
        <v>10966</v>
      </c>
      <c r="AL1169">
        <v>0</v>
      </c>
      <c r="AR1169">
        <v>19.8</v>
      </c>
      <c r="AS1169" t="s">
        <v>6810</v>
      </c>
      <c r="AT1169" t="s">
        <v>217</v>
      </c>
      <c r="AV1169" t="s">
        <v>11231</v>
      </c>
      <c r="AW1169" t="s">
        <v>11145</v>
      </c>
    </row>
    <row r="1170" spans="1:49">
      <c r="A1170" s="1">
        <f>HYPERLINK("https://lsnyc.legalserver.org/matter/dynamic-profile/view/1905857","19-1905857")</f>
        <v>0</v>
      </c>
      <c r="B1170" t="s">
        <v>259</v>
      </c>
      <c r="C1170" t="s">
        <v>971</v>
      </c>
      <c r="D1170" t="s">
        <v>2466</v>
      </c>
      <c r="E1170" t="s">
        <v>4161</v>
      </c>
      <c r="F1170">
        <v>3</v>
      </c>
      <c r="G1170" t="s">
        <v>5635</v>
      </c>
      <c r="H1170">
        <v>10467</v>
      </c>
      <c r="I1170" t="s">
        <v>5695</v>
      </c>
      <c r="J1170" t="s">
        <v>5696</v>
      </c>
      <c r="K1170" t="s">
        <v>6193</v>
      </c>
      <c r="L1170" t="s">
        <v>6712</v>
      </c>
      <c r="M1170" t="s">
        <v>6736</v>
      </c>
      <c r="O1170" t="s">
        <v>6763</v>
      </c>
      <c r="P1170" t="s">
        <v>5697</v>
      </c>
      <c r="R1170" t="s">
        <v>6793</v>
      </c>
      <c r="S1170" t="s">
        <v>6802</v>
      </c>
      <c r="U1170">
        <v>1650</v>
      </c>
      <c r="V1170" t="s">
        <v>6833</v>
      </c>
      <c r="Y1170" t="s">
        <v>7976</v>
      </c>
      <c r="AA1170" t="s">
        <v>10016</v>
      </c>
      <c r="AB1170">
        <v>3</v>
      </c>
      <c r="AD1170" t="s">
        <v>10944</v>
      </c>
      <c r="AE1170">
        <v>7</v>
      </c>
      <c r="AF1170">
        <v>2</v>
      </c>
      <c r="AG1170">
        <v>0</v>
      </c>
      <c r="AH1170">
        <v>0</v>
      </c>
      <c r="AK1170" t="s">
        <v>10966</v>
      </c>
      <c r="AL1170">
        <v>0</v>
      </c>
      <c r="AR1170">
        <v>0.75</v>
      </c>
      <c r="AS1170" t="s">
        <v>6820</v>
      </c>
      <c r="AT1170" t="s">
        <v>288</v>
      </c>
      <c r="AU1170" t="s">
        <v>11228</v>
      </c>
      <c r="AV1170" t="s">
        <v>11231</v>
      </c>
      <c r="AW1170" t="s">
        <v>6824</v>
      </c>
    </row>
    <row r="1171" spans="1:49">
      <c r="A1171" s="1">
        <f>HYPERLINK("https://lsnyc.legalserver.org/matter/dynamic-profile/view/1904963","19-1904963")</f>
        <v>0</v>
      </c>
      <c r="B1171" t="s">
        <v>80</v>
      </c>
      <c r="C1171" t="s">
        <v>343</v>
      </c>
      <c r="D1171" t="s">
        <v>2113</v>
      </c>
      <c r="E1171" t="s">
        <v>4162</v>
      </c>
      <c r="F1171" t="s">
        <v>5278</v>
      </c>
      <c r="G1171" t="s">
        <v>5672</v>
      </c>
      <c r="H1171">
        <v>11411</v>
      </c>
      <c r="I1171" t="s">
        <v>5695</v>
      </c>
      <c r="J1171" t="s">
        <v>5696</v>
      </c>
      <c r="K1171" t="s">
        <v>6194</v>
      </c>
      <c r="L1171" t="s">
        <v>6712</v>
      </c>
      <c r="M1171" t="s">
        <v>6736</v>
      </c>
      <c r="O1171" t="s">
        <v>6745</v>
      </c>
      <c r="P1171" t="s">
        <v>5697</v>
      </c>
      <c r="R1171" t="s">
        <v>6793</v>
      </c>
      <c r="S1171" t="s">
        <v>6801</v>
      </c>
      <c r="T1171" t="s">
        <v>6826</v>
      </c>
      <c r="U1171">
        <v>1122</v>
      </c>
      <c r="V1171" t="s">
        <v>6837</v>
      </c>
      <c r="W1171" t="s">
        <v>6840</v>
      </c>
      <c r="Y1171" t="s">
        <v>7977</v>
      </c>
      <c r="AA1171" t="s">
        <v>10017</v>
      </c>
      <c r="AB1171">
        <v>2</v>
      </c>
      <c r="AC1171" t="s">
        <v>10930</v>
      </c>
      <c r="AD1171" t="s">
        <v>10944</v>
      </c>
      <c r="AE1171">
        <v>10</v>
      </c>
      <c r="AF1171">
        <v>2</v>
      </c>
      <c r="AG1171">
        <v>1</v>
      </c>
      <c r="AH1171">
        <v>33.76</v>
      </c>
      <c r="AK1171" t="s">
        <v>10966</v>
      </c>
      <c r="AL1171">
        <v>7200</v>
      </c>
      <c r="AR1171">
        <v>5.3</v>
      </c>
      <c r="AS1171" t="s">
        <v>6821</v>
      </c>
      <c r="AT1171" t="s">
        <v>11182</v>
      </c>
      <c r="AU1171" t="s">
        <v>11228</v>
      </c>
      <c r="AV1171" t="s">
        <v>11231</v>
      </c>
      <c r="AW1171" t="s">
        <v>6812</v>
      </c>
    </row>
    <row r="1172" spans="1:49">
      <c r="A1172" s="1">
        <f>HYPERLINK("https://lsnyc.legalserver.org/matter/dynamic-profile/view/1904952","19-1904952")</f>
        <v>0</v>
      </c>
      <c r="B1172" t="s">
        <v>185</v>
      </c>
      <c r="C1172" t="s">
        <v>876</v>
      </c>
      <c r="D1172" t="s">
        <v>2467</v>
      </c>
      <c r="E1172" t="s">
        <v>4163</v>
      </c>
      <c r="F1172" t="s">
        <v>5462</v>
      </c>
      <c r="G1172" t="s">
        <v>5635</v>
      </c>
      <c r="H1172">
        <v>10467</v>
      </c>
      <c r="I1172" t="s">
        <v>5695</v>
      </c>
      <c r="J1172" t="s">
        <v>5696</v>
      </c>
      <c r="K1172" t="s">
        <v>6195</v>
      </c>
      <c r="L1172" t="s">
        <v>6712</v>
      </c>
      <c r="M1172" t="s">
        <v>6736</v>
      </c>
      <c r="O1172" t="s">
        <v>6763</v>
      </c>
      <c r="P1172" t="s">
        <v>5697</v>
      </c>
      <c r="R1172" t="s">
        <v>6793</v>
      </c>
      <c r="U1172">
        <v>0</v>
      </c>
      <c r="V1172" t="s">
        <v>6833</v>
      </c>
      <c r="Y1172" t="s">
        <v>7978</v>
      </c>
      <c r="AA1172" t="s">
        <v>10018</v>
      </c>
      <c r="AB1172">
        <v>83</v>
      </c>
      <c r="AE1172">
        <v>0</v>
      </c>
      <c r="AF1172">
        <v>2</v>
      </c>
      <c r="AG1172">
        <v>1</v>
      </c>
      <c r="AH1172">
        <v>23.77</v>
      </c>
      <c r="AK1172" t="s">
        <v>10967</v>
      </c>
      <c r="AL1172">
        <v>5070</v>
      </c>
      <c r="AR1172">
        <v>0</v>
      </c>
      <c r="AT1172" t="s">
        <v>288</v>
      </c>
      <c r="AU1172" t="s">
        <v>11228</v>
      </c>
      <c r="AV1172" t="s">
        <v>11231</v>
      </c>
      <c r="AW1172" t="s">
        <v>6812</v>
      </c>
    </row>
    <row r="1173" spans="1:49">
      <c r="A1173" s="1">
        <f>HYPERLINK("https://lsnyc.legalserver.org/matter/dynamic-profile/view/1901281","19-1901281")</f>
        <v>0</v>
      </c>
      <c r="B1173" t="s">
        <v>184</v>
      </c>
      <c r="C1173" t="s">
        <v>335</v>
      </c>
      <c r="D1173" t="s">
        <v>1993</v>
      </c>
      <c r="E1173" t="s">
        <v>4164</v>
      </c>
      <c r="F1173">
        <v>516</v>
      </c>
      <c r="G1173" t="s">
        <v>5646</v>
      </c>
      <c r="H1173">
        <v>11355</v>
      </c>
      <c r="I1173" t="s">
        <v>5695</v>
      </c>
      <c r="J1173" t="s">
        <v>5696</v>
      </c>
      <c r="K1173" t="s">
        <v>6196</v>
      </c>
      <c r="L1173" t="s">
        <v>6712</v>
      </c>
      <c r="M1173" t="s">
        <v>6736</v>
      </c>
      <c r="O1173" t="s">
        <v>6745</v>
      </c>
      <c r="P1173" t="s">
        <v>5697</v>
      </c>
      <c r="R1173" t="s">
        <v>6793</v>
      </c>
      <c r="S1173" t="s">
        <v>6801</v>
      </c>
      <c r="U1173">
        <v>1378.85</v>
      </c>
      <c r="V1173" t="s">
        <v>6837</v>
      </c>
      <c r="W1173" t="s">
        <v>6840</v>
      </c>
      <c r="Y1173" t="s">
        <v>7463</v>
      </c>
      <c r="AA1173" t="s">
        <v>10019</v>
      </c>
      <c r="AB1173">
        <v>50</v>
      </c>
      <c r="AC1173" t="s">
        <v>10933</v>
      </c>
      <c r="AD1173" t="s">
        <v>5741</v>
      </c>
      <c r="AE1173">
        <v>11</v>
      </c>
      <c r="AF1173">
        <v>4</v>
      </c>
      <c r="AG1173">
        <v>0</v>
      </c>
      <c r="AH1173">
        <v>132.04</v>
      </c>
      <c r="AK1173" t="s">
        <v>10966</v>
      </c>
      <c r="AL1173">
        <v>34000</v>
      </c>
      <c r="AR1173">
        <v>1.1</v>
      </c>
      <c r="AS1173" t="s">
        <v>6810</v>
      </c>
      <c r="AT1173" t="s">
        <v>186</v>
      </c>
      <c r="AU1173" t="s">
        <v>11228</v>
      </c>
      <c r="AV1173" t="s">
        <v>11231</v>
      </c>
      <c r="AW1173" t="s">
        <v>11162</v>
      </c>
    </row>
    <row r="1174" spans="1:49">
      <c r="A1174" s="1">
        <f>HYPERLINK("https://lsnyc.legalserver.org/matter/dynamic-profile/view/1905936","19-1905936")</f>
        <v>0</v>
      </c>
      <c r="B1174" t="s">
        <v>129</v>
      </c>
      <c r="C1174" t="s">
        <v>927</v>
      </c>
      <c r="D1174" t="s">
        <v>2204</v>
      </c>
      <c r="E1174" t="s">
        <v>4165</v>
      </c>
      <c r="F1174" t="s">
        <v>5283</v>
      </c>
      <c r="G1174" t="s">
        <v>5637</v>
      </c>
      <c r="H1174">
        <v>11225</v>
      </c>
      <c r="I1174" t="s">
        <v>5695</v>
      </c>
      <c r="J1174" t="s">
        <v>5696</v>
      </c>
      <c r="K1174" t="s">
        <v>6197</v>
      </c>
      <c r="L1174" t="s">
        <v>6712</v>
      </c>
      <c r="M1174" t="s">
        <v>6736</v>
      </c>
      <c r="O1174" t="s">
        <v>6755</v>
      </c>
      <c r="R1174" t="s">
        <v>6793</v>
      </c>
      <c r="U1174">
        <v>315</v>
      </c>
      <c r="V1174" t="s">
        <v>6835</v>
      </c>
      <c r="W1174" t="s">
        <v>6840</v>
      </c>
      <c r="Y1174" t="s">
        <v>7979</v>
      </c>
      <c r="AA1174" t="s">
        <v>10020</v>
      </c>
      <c r="AB1174">
        <v>0</v>
      </c>
      <c r="AE1174">
        <v>-1</v>
      </c>
      <c r="AF1174">
        <v>1</v>
      </c>
      <c r="AG1174">
        <v>0</v>
      </c>
      <c r="AH1174">
        <v>23.63</v>
      </c>
      <c r="AK1174" t="s">
        <v>10966</v>
      </c>
      <c r="AL1174">
        <v>2952</v>
      </c>
      <c r="AR1174">
        <v>0.5</v>
      </c>
      <c r="AS1174" t="s">
        <v>6820</v>
      </c>
      <c r="AT1174" t="s">
        <v>11190</v>
      </c>
      <c r="AU1174" t="s">
        <v>11228</v>
      </c>
      <c r="AV1174" t="s">
        <v>11231</v>
      </c>
      <c r="AW1174" t="s">
        <v>6826</v>
      </c>
    </row>
    <row r="1175" spans="1:49">
      <c r="A1175" s="1">
        <f>HYPERLINK("https://lsnyc.legalserver.org/matter/dynamic-profile/view/1904889","19-1904889")</f>
        <v>0</v>
      </c>
      <c r="B1175" t="s">
        <v>79</v>
      </c>
      <c r="C1175" t="s">
        <v>458</v>
      </c>
      <c r="D1175" t="s">
        <v>2468</v>
      </c>
      <c r="E1175" t="s">
        <v>4166</v>
      </c>
      <c r="F1175" t="s">
        <v>5463</v>
      </c>
      <c r="G1175" t="s">
        <v>5647</v>
      </c>
      <c r="H1175">
        <v>11691</v>
      </c>
      <c r="I1175" t="s">
        <v>5695</v>
      </c>
      <c r="J1175" t="s">
        <v>5696</v>
      </c>
      <c r="K1175" t="s">
        <v>6198</v>
      </c>
      <c r="L1175" t="s">
        <v>6712</v>
      </c>
      <c r="M1175" t="s">
        <v>6736</v>
      </c>
      <c r="O1175" t="s">
        <v>6745</v>
      </c>
      <c r="P1175" t="s">
        <v>5697</v>
      </c>
      <c r="R1175" t="s">
        <v>6793</v>
      </c>
      <c r="S1175" t="s">
        <v>6804</v>
      </c>
      <c r="T1175" t="s">
        <v>6812</v>
      </c>
      <c r="U1175">
        <v>592</v>
      </c>
      <c r="V1175" t="s">
        <v>6837</v>
      </c>
      <c r="W1175" t="s">
        <v>6843</v>
      </c>
      <c r="Y1175" t="s">
        <v>7980</v>
      </c>
      <c r="AA1175" t="s">
        <v>10021</v>
      </c>
      <c r="AB1175">
        <v>462</v>
      </c>
      <c r="AC1175" t="s">
        <v>10935</v>
      </c>
      <c r="AD1175" t="s">
        <v>5741</v>
      </c>
      <c r="AE1175">
        <v>10</v>
      </c>
      <c r="AF1175">
        <v>1</v>
      </c>
      <c r="AG1175">
        <v>0</v>
      </c>
      <c r="AH1175">
        <v>33.63</v>
      </c>
      <c r="AK1175" t="s">
        <v>10966</v>
      </c>
      <c r="AL1175">
        <v>4200</v>
      </c>
      <c r="AR1175">
        <v>0.35</v>
      </c>
      <c r="AS1175" t="s">
        <v>6814</v>
      </c>
      <c r="AT1175" t="s">
        <v>79</v>
      </c>
      <c r="AU1175" t="s">
        <v>11228</v>
      </c>
      <c r="AV1175" t="s">
        <v>11231</v>
      </c>
      <c r="AW1175" t="s">
        <v>6812</v>
      </c>
    </row>
    <row r="1176" spans="1:49">
      <c r="A1176" s="1">
        <f>HYPERLINK("https://lsnyc.legalserver.org/matter/dynamic-profile/view/1903622","19-1903622")</f>
        <v>0</v>
      </c>
      <c r="B1176" t="s">
        <v>251</v>
      </c>
      <c r="C1176" t="s">
        <v>445</v>
      </c>
      <c r="D1176" t="s">
        <v>2469</v>
      </c>
      <c r="E1176" t="s">
        <v>4167</v>
      </c>
      <c r="F1176" t="s">
        <v>5098</v>
      </c>
      <c r="G1176" t="s">
        <v>5644</v>
      </c>
      <c r="H1176">
        <v>11433</v>
      </c>
      <c r="I1176" t="s">
        <v>5695</v>
      </c>
      <c r="J1176" t="s">
        <v>5696</v>
      </c>
      <c r="K1176" t="s">
        <v>6199</v>
      </c>
      <c r="L1176" t="s">
        <v>6712</v>
      </c>
      <c r="M1176" t="s">
        <v>6736</v>
      </c>
      <c r="O1176" t="s">
        <v>6752</v>
      </c>
      <c r="P1176" t="s">
        <v>5695</v>
      </c>
      <c r="R1176" t="s">
        <v>6793</v>
      </c>
      <c r="S1176" t="s">
        <v>6804</v>
      </c>
      <c r="T1176" t="s">
        <v>6818</v>
      </c>
      <c r="U1176">
        <v>500</v>
      </c>
      <c r="V1176" t="s">
        <v>6837</v>
      </c>
      <c r="W1176" t="s">
        <v>6839</v>
      </c>
      <c r="Y1176" t="s">
        <v>7981</v>
      </c>
      <c r="Z1176" t="s">
        <v>5741</v>
      </c>
      <c r="AA1176" t="s">
        <v>10022</v>
      </c>
      <c r="AB1176">
        <v>3</v>
      </c>
      <c r="AC1176" t="s">
        <v>10930</v>
      </c>
      <c r="AD1176" t="s">
        <v>5741</v>
      </c>
      <c r="AE1176">
        <v>3</v>
      </c>
      <c r="AF1176">
        <v>1</v>
      </c>
      <c r="AG1176">
        <v>0</v>
      </c>
      <c r="AH1176">
        <v>0</v>
      </c>
      <c r="AK1176" t="s">
        <v>10966</v>
      </c>
      <c r="AL1176">
        <v>0</v>
      </c>
      <c r="AR1176">
        <v>9.5</v>
      </c>
      <c r="AS1176" t="s">
        <v>6815</v>
      </c>
      <c r="AT1176" t="s">
        <v>11184</v>
      </c>
      <c r="AU1176" t="s">
        <v>11228</v>
      </c>
      <c r="AV1176" t="s">
        <v>11231</v>
      </c>
      <c r="AW1176" t="s">
        <v>11144</v>
      </c>
    </row>
    <row r="1177" spans="1:49">
      <c r="A1177" s="1">
        <f>HYPERLINK("https://lsnyc.legalserver.org/matter/dynamic-profile/view/1902930","19-1902930")</f>
        <v>0</v>
      </c>
      <c r="B1177" t="s">
        <v>184</v>
      </c>
      <c r="C1177" t="s">
        <v>857</v>
      </c>
      <c r="D1177" t="s">
        <v>2470</v>
      </c>
      <c r="E1177" t="s">
        <v>4168</v>
      </c>
      <c r="F1177" t="s">
        <v>5273</v>
      </c>
      <c r="G1177" t="s">
        <v>5645</v>
      </c>
      <c r="H1177">
        <v>11106</v>
      </c>
      <c r="I1177" t="s">
        <v>5695</v>
      </c>
      <c r="J1177" t="s">
        <v>5696</v>
      </c>
      <c r="K1177" t="s">
        <v>6200</v>
      </c>
      <c r="L1177" t="s">
        <v>6712</v>
      </c>
      <c r="M1177" t="s">
        <v>6736</v>
      </c>
      <c r="O1177" t="s">
        <v>6745</v>
      </c>
      <c r="P1177" t="s">
        <v>5697</v>
      </c>
      <c r="R1177" t="s">
        <v>6793</v>
      </c>
      <c r="S1177" t="s">
        <v>6802</v>
      </c>
      <c r="T1177" t="s">
        <v>6829</v>
      </c>
      <c r="U1177">
        <v>1015</v>
      </c>
      <c r="V1177" t="s">
        <v>6837</v>
      </c>
      <c r="W1177" t="s">
        <v>6840</v>
      </c>
      <c r="Y1177" t="s">
        <v>7982</v>
      </c>
      <c r="Z1177" t="s">
        <v>8917</v>
      </c>
      <c r="AA1177" t="s">
        <v>10023</v>
      </c>
      <c r="AB1177">
        <v>31</v>
      </c>
      <c r="AC1177" t="s">
        <v>10936</v>
      </c>
      <c r="AD1177" t="s">
        <v>5741</v>
      </c>
      <c r="AE1177">
        <v>53</v>
      </c>
      <c r="AF1177">
        <v>1</v>
      </c>
      <c r="AG1177">
        <v>0</v>
      </c>
      <c r="AH1177">
        <v>128.1</v>
      </c>
      <c r="AK1177" t="s">
        <v>10966</v>
      </c>
      <c r="AL1177">
        <v>16000</v>
      </c>
      <c r="AR1177">
        <v>3.85</v>
      </c>
      <c r="AS1177" t="s">
        <v>6829</v>
      </c>
      <c r="AT1177" t="s">
        <v>11184</v>
      </c>
      <c r="AU1177" t="s">
        <v>11228</v>
      </c>
      <c r="AV1177" t="s">
        <v>11231</v>
      </c>
      <c r="AW1177" t="s">
        <v>11131</v>
      </c>
    </row>
    <row r="1178" spans="1:49">
      <c r="A1178" s="1">
        <f>HYPERLINK("https://lsnyc.legalserver.org/matter/dynamic-profile/view/1905357","19-1905357")</f>
        <v>0</v>
      </c>
      <c r="B1178" t="s">
        <v>232</v>
      </c>
      <c r="C1178" t="s">
        <v>847</v>
      </c>
      <c r="D1178" t="s">
        <v>2471</v>
      </c>
      <c r="E1178" t="s">
        <v>4169</v>
      </c>
      <c r="F1178" t="s">
        <v>5105</v>
      </c>
      <c r="G1178" t="s">
        <v>5643</v>
      </c>
      <c r="H1178">
        <v>11372</v>
      </c>
      <c r="I1178" t="s">
        <v>5695</v>
      </c>
      <c r="J1178" t="s">
        <v>5696</v>
      </c>
      <c r="K1178" t="s">
        <v>6201</v>
      </c>
      <c r="L1178" t="s">
        <v>6712</v>
      </c>
      <c r="M1178" t="s">
        <v>6736</v>
      </c>
      <c r="O1178" t="s">
        <v>6745</v>
      </c>
      <c r="P1178" t="s">
        <v>5695</v>
      </c>
      <c r="R1178" t="s">
        <v>6793</v>
      </c>
      <c r="U1178">
        <v>890.4</v>
      </c>
      <c r="V1178" t="s">
        <v>6837</v>
      </c>
      <c r="W1178" t="s">
        <v>6840</v>
      </c>
      <c r="Y1178" t="s">
        <v>7983</v>
      </c>
      <c r="AA1178" t="s">
        <v>10024</v>
      </c>
      <c r="AB1178">
        <v>6</v>
      </c>
      <c r="AC1178" t="s">
        <v>10929</v>
      </c>
      <c r="AD1178" t="s">
        <v>10945</v>
      </c>
      <c r="AE1178">
        <v>33</v>
      </c>
      <c r="AF1178">
        <v>1</v>
      </c>
      <c r="AG1178">
        <v>0</v>
      </c>
      <c r="AH1178">
        <v>140.91</v>
      </c>
      <c r="AK1178" t="s">
        <v>10966</v>
      </c>
      <c r="AL1178">
        <v>17600</v>
      </c>
      <c r="AR1178">
        <v>1.85</v>
      </c>
      <c r="AS1178" t="s">
        <v>6826</v>
      </c>
      <c r="AT1178" t="s">
        <v>11184</v>
      </c>
      <c r="AU1178" t="s">
        <v>11228</v>
      </c>
      <c r="AV1178" t="s">
        <v>11231</v>
      </c>
      <c r="AW1178" t="s">
        <v>6828</v>
      </c>
    </row>
    <row r="1179" spans="1:49">
      <c r="A1179" s="1">
        <f>HYPERLINK("https://lsnyc.legalserver.org/matter/dynamic-profile/view/1896178","19-1896178")</f>
        <v>0</v>
      </c>
      <c r="B1179" t="s">
        <v>101</v>
      </c>
      <c r="C1179" t="s">
        <v>1104</v>
      </c>
      <c r="D1179" t="s">
        <v>2472</v>
      </c>
      <c r="E1179" t="s">
        <v>4170</v>
      </c>
      <c r="F1179" t="s">
        <v>5094</v>
      </c>
      <c r="G1179" t="s">
        <v>5636</v>
      </c>
      <c r="H1179">
        <v>10304</v>
      </c>
      <c r="I1179" t="s">
        <v>5695</v>
      </c>
      <c r="J1179" t="s">
        <v>5696</v>
      </c>
      <c r="K1179" t="s">
        <v>6202</v>
      </c>
      <c r="L1179" t="s">
        <v>6712</v>
      </c>
      <c r="M1179" t="s">
        <v>6736</v>
      </c>
      <c r="O1179" t="s">
        <v>6745</v>
      </c>
      <c r="P1179" t="s">
        <v>5697</v>
      </c>
      <c r="R1179" t="s">
        <v>6793</v>
      </c>
      <c r="S1179" t="s">
        <v>6801</v>
      </c>
      <c r="U1179">
        <v>225</v>
      </c>
      <c r="V1179" t="s">
        <v>6834</v>
      </c>
      <c r="W1179" t="s">
        <v>6849</v>
      </c>
      <c r="Y1179" t="s">
        <v>7984</v>
      </c>
      <c r="AA1179" t="s">
        <v>10025</v>
      </c>
      <c r="AB1179">
        <v>132</v>
      </c>
      <c r="AC1179" t="s">
        <v>10934</v>
      </c>
      <c r="AD1179" t="s">
        <v>5741</v>
      </c>
      <c r="AE1179">
        <v>0</v>
      </c>
      <c r="AF1179">
        <v>1</v>
      </c>
      <c r="AG1179">
        <v>1</v>
      </c>
      <c r="AH1179">
        <v>138.38</v>
      </c>
      <c r="AK1179" t="s">
        <v>10966</v>
      </c>
      <c r="AL1179">
        <v>23400</v>
      </c>
      <c r="AR1179">
        <v>28.6</v>
      </c>
      <c r="AS1179" t="s">
        <v>6828</v>
      </c>
      <c r="AT1179" t="s">
        <v>11177</v>
      </c>
      <c r="AV1179" t="s">
        <v>11231</v>
      </c>
      <c r="AW1179" t="s">
        <v>11145</v>
      </c>
    </row>
    <row r="1180" spans="1:49">
      <c r="A1180" s="1">
        <f>HYPERLINK("https://lsnyc.legalserver.org/matter/dynamic-profile/view/1903766","19-1903766")</f>
        <v>0</v>
      </c>
      <c r="B1180" t="s">
        <v>66</v>
      </c>
      <c r="C1180" t="s">
        <v>482</v>
      </c>
      <c r="D1180" t="s">
        <v>441</v>
      </c>
      <c r="E1180" t="s">
        <v>4171</v>
      </c>
      <c r="F1180" t="s">
        <v>5180</v>
      </c>
      <c r="G1180" t="s">
        <v>5635</v>
      </c>
      <c r="H1180">
        <v>10453</v>
      </c>
      <c r="I1180" t="s">
        <v>5695</v>
      </c>
      <c r="J1180" t="s">
        <v>5696</v>
      </c>
      <c r="K1180" t="s">
        <v>6203</v>
      </c>
      <c r="L1180" t="s">
        <v>6712</v>
      </c>
      <c r="M1180" t="s">
        <v>6736</v>
      </c>
      <c r="O1180" t="s">
        <v>6747</v>
      </c>
      <c r="P1180" t="s">
        <v>5697</v>
      </c>
      <c r="R1180" t="s">
        <v>6793</v>
      </c>
      <c r="S1180" t="s">
        <v>6804</v>
      </c>
      <c r="T1180" t="s">
        <v>6811</v>
      </c>
      <c r="U1180">
        <v>1213</v>
      </c>
      <c r="V1180" t="s">
        <v>6833</v>
      </c>
      <c r="W1180" t="s">
        <v>6839</v>
      </c>
      <c r="Y1180" t="s">
        <v>7985</v>
      </c>
      <c r="AA1180" t="s">
        <v>10026</v>
      </c>
      <c r="AB1180">
        <v>30</v>
      </c>
      <c r="AC1180" t="s">
        <v>10929</v>
      </c>
      <c r="AD1180" t="s">
        <v>10947</v>
      </c>
      <c r="AE1180">
        <v>3</v>
      </c>
      <c r="AF1180">
        <v>1</v>
      </c>
      <c r="AG1180">
        <v>0</v>
      </c>
      <c r="AH1180">
        <v>82.43000000000001</v>
      </c>
      <c r="AK1180" t="s">
        <v>10966</v>
      </c>
      <c r="AL1180">
        <v>10296</v>
      </c>
      <c r="AR1180">
        <v>3.4</v>
      </c>
      <c r="AS1180" t="s">
        <v>6819</v>
      </c>
      <c r="AT1180" t="s">
        <v>11179</v>
      </c>
      <c r="AU1180" t="s">
        <v>11228</v>
      </c>
      <c r="AV1180" t="s">
        <v>11231</v>
      </c>
      <c r="AW1180" t="s">
        <v>6811</v>
      </c>
    </row>
    <row r="1181" spans="1:49">
      <c r="A1181" s="1">
        <f>HYPERLINK("https://lsnyc.legalserver.org/matter/dynamic-profile/view/1900593","19-1900593")</f>
        <v>0</v>
      </c>
      <c r="B1181" t="s">
        <v>129</v>
      </c>
      <c r="C1181" t="s">
        <v>1105</v>
      </c>
      <c r="D1181" t="s">
        <v>2473</v>
      </c>
      <c r="E1181" t="s">
        <v>4172</v>
      </c>
      <c r="F1181">
        <v>3</v>
      </c>
      <c r="G1181" t="s">
        <v>5637</v>
      </c>
      <c r="H1181">
        <v>11236</v>
      </c>
      <c r="I1181" t="s">
        <v>5696</v>
      </c>
      <c r="J1181" t="s">
        <v>5696</v>
      </c>
      <c r="K1181" t="s">
        <v>6204</v>
      </c>
      <c r="L1181" t="s">
        <v>6712</v>
      </c>
      <c r="M1181" t="s">
        <v>6736</v>
      </c>
      <c r="O1181" t="s">
        <v>6746</v>
      </c>
      <c r="P1181" t="s">
        <v>5697</v>
      </c>
      <c r="R1181" t="s">
        <v>6793</v>
      </c>
      <c r="S1181" t="s">
        <v>6801</v>
      </c>
      <c r="U1181">
        <v>1956</v>
      </c>
      <c r="V1181" t="s">
        <v>6835</v>
      </c>
      <c r="W1181" t="s">
        <v>6840</v>
      </c>
      <c r="Y1181" t="s">
        <v>7986</v>
      </c>
      <c r="AA1181" t="s">
        <v>10027</v>
      </c>
      <c r="AB1181">
        <v>2</v>
      </c>
      <c r="AC1181" t="s">
        <v>10930</v>
      </c>
      <c r="AD1181" t="s">
        <v>10950</v>
      </c>
      <c r="AE1181">
        <v>3</v>
      </c>
      <c r="AF1181">
        <v>1</v>
      </c>
      <c r="AG1181">
        <v>3</v>
      </c>
      <c r="AH1181">
        <v>25.24</v>
      </c>
      <c r="AK1181" t="s">
        <v>10966</v>
      </c>
      <c r="AL1181">
        <v>6500</v>
      </c>
      <c r="AR1181">
        <v>4.2</v>
      </c>
      <c r="AS1181" t="s">
        <v>6827</v>
      </c>
      <c r="AT1181" t="s">
        <v>11183</v>
      </c>
      <c r="AV1181" t="s">
        <v>11231</v>
      </c>
      <c r="AW1181" t="s">
        <v>6895</v>
      </c>
    </row>
    <row r="1182" spans="1:49">
      <c r="A1182" s="1">
        <f>HYPERLINK("https://lsnyc.legalserver.org/matter/dynamic-profile/view/1901961","19-1901961")</f>
        <v>0</v>
      </c>
      <c r="B1182" t="s">
        <v>108</v>
      </c>
      <c r="C1182" t="s">
        <v>677</v>
      </c>
      <c r="D1182" t="s">
        <v>1995</v>
      </c>
      <c r="E1182" t="s">
        <v>3517</v>
      </c>
      <c r="G1182" t="s">
        <v>5635</v>
      </c>
      <c r="H1182">
        <v>10462</v>
      </c>
      <c r="I1182" t="s">
        <v>5695</v>
      </c>
      <c r="J1182" t="s">
        <v>5696</v>
      </c>
      <c r="K1182" t="s">
        <v>6205</v>
      </c>
      <c r="L1182" t="s">
        <v>6712</v>
      </c>
      <c r="M1182" t="s">
        <v>6736</v>
      </c>
      <c r="O1182" t="s">
        <v>6763</v>
      </c>
      <c r="P1182" t="s">
        <v>5697</v>
      </c>
      <c r="R1182" t="s">
        <v>6793</v>
      </c>
      <c r="S1182" t="s">
        <v>6806</v>
      </c>
      <c r="U1182">
        <v>1467</v>
      </c>
      <c r="V1182" t="s">
        <v>6833</v>
      </c>
      <c r="W1182" t="s">
        <v>6839</v>
      </c>
      <c r="Y1182" t="s">
        <v>7309</v>
      </c>
      <c r="AA1182" t="s">
        <v>9423</v>
      </c>
      <c r="AB1182">
        <v>2659</v>
      </c>
      <c r="AC1182" t="s">
        <v>10936</v>
      </c>
      <c r="AD1182" t="s">
        <v>10945</v>
      </c>
      <c r="AE1182">
        <v>54</v>
      </c>
      <c r="AF1182">
        <v>1</v>
      </c>
      <c r="AG1182">
        <v>0</v>
      </c>
      <c r="AH1182">
        <v>136.43</v>
      </c>
      <c r="AK1182" t="s">
        <v>10966</v>
      </c>
      <c r="AL1182">
        <v>17040</v>
      </c>
      <c r="AM1182" t="s">
        <v>11061</v>
      </c>
      <c r="AR1182">
        <v>16.7</v>
      </c>
      <c r="AS1182" t="s">
        <v>6823</v>
      </c>
      <c r="AT1182" t="s">
        <v>108</v>
      </c>
      <c r="AU1182" t="s">
        <v>11228</v>
      </c>
      <c r="AV1182" t="s">
        <v>11231</v>
      </c>
      <c r="AW1182" t="s">
        <v>11233</v>
      </c>
    </row>
    <row r="1183" spans="1:49">
      <c r="A1183" s="1">
        <f>HYPERLINK("https://lsnyc.legalserver.org/matter/dynamic-profile/view/1899053","19-1899053")</f>
        <v>0</v>
      </c>
      <c r="B1183" t="s">
        <v>218</v>
      </c>
      <c r="C1183" t="s">
        <v>491</v>
      </c>
      <c r="D1183" t="s">
        <v>1549</v>
      </c>
      <c r="E1183" t="s">
        <v>4173</v>
      </c>
      <c r="F1183" t="s">
        <v>5148</v>
      </c>
      <c r="G1183" t="s">
        <v>5635</v>
      </c>
      <c r="H1183">
        <v>10468</v>
      </c>
      <c r="I1183" t="s">
        <v>5695</v>
      </c>
      <c r="J1183" t="s">
        <v>5696</v>
      </c>
      <c r="K1183" t="s">
        <v>6206</v>
      </c>
      <c r="L1183" t="s">
        <v>6712</v>
      </c>
      <c r="M1183" t="s">
        <v>6736</v>
      </c>
      <c r="O1183" t="s">
        <v>6786</v>
      </c>
      <c r="P1183" t="s">
        <v>5697</v>
      </c>
      <c r="R1183" t="s">
        <v>6793</v>
      </c>
      <c r="S1183" t="s">
        <v>6801</v>
      </c>
      <c r="U1183">
        <v>288</v>
      </c>
      <c r="V1183" t="s">
        <v>6833</v>
      </c>
      <c r="W1183" t="s">
        <v>6838</v>
      </c>
      <c r="Y1183" t="s">
        <v>7987</v>
      </c>
      <c r="AA1183" t="s">
        <v>10028</v>
      </c>
      <c r="AB1183">
        <v>48</v>
      </c>
      <c r="AC1183" t="s">
        <v>10934</v>
      </c>
      <c r="AD1183" t="s">
        <v>10944</v>
      </c>
      <c r="AE1183">
        <v>30</v>
      </c>
      <c r="AF1183">
        <v>1</v>
      </c>
      <c r="AG1183">
        <v>0</v>
      </c>
      <c r="AH1183">
        <v>160.45</v>
      </c>
      <c r="AK1183" t="s">
        <v>10966</v>
      </c>
      <c r="AL1183">
        <v>20040</v>
      </c>
      <c r="AR1183">
        <v>8.5</v>
      </c>
      <c r="AS1183" t="s">
        <v>6810</v>
      </c>
      <c r="AT1183" t="s">
        <v>11217</v>
      </c>
      <c r="AU1183" t="s">
        <v>11228</v>
      </c>
      <c r="AV1183" t="s">
        <v>11231</v>
      </c>
      <c r="AW1183" t="s">
        <v>11134</v>
      </c>
    </row>
    <row r="1184" spans="1:49">
      <c r="A1184" s="1">
        <f>HYPERLINK("https://lsnyc.legalserver.org/matter/dynamic-profile/view/1904535","19-1904535")</f>
        <v>0</v>
      </c>
      <c r="B1184" t="s">
        <v>187</v>
      </c>
      <c r="C1184" t="s">
        <v>1106</v>
      </c>
      <c r="D1184" t="s">
        <v>2474</v>
      </c>
      <c r="E1184" t="s">
        <v>4174</v>
      </c>
      <c r="F1184">
        <v>2</v>
      </c>
      <c r="G1184" t="s">
        <v>5635</v>
      </c>
      <c r="H1184">
        <v>10457</v>
      </c>
      <c r="I1184" t="s">
        <v>5695</v>
      </c>
      <c r="J1184" t="s">
        <v>5696</v>
      </c>
      <c r="K1184" t="s">
        <v>6207</v>
      </c>
      <c r="L1184" t="s">
        <v>6712</v>
      </c>
      <c r="M1184" t="s">
        <v>6736</v>
      </c>
      <c r="O1184" t="s">
        <v>6763</v>
      </c>
      <c r="P1184" t="s">
        <v>5697</v>
      </c>
      <c r="R1184" t="s">
        <v>6793</v>
      </c>
      <c r="U1184">
        <v>2200</v>
      </c>
      <c r="V1184" t="s">
        <v>6833</v>
      </c>
      <c r="W1184" t="s">
        <v>6839</v>
      </c>
      <c r="Y1184" t="s">
        <v>7988</v>
      </c>
      <c r="AA1184" t="s">
        <v>10029</v>
      </c>
      <c r="AB1184">
        <v>0</v>
      </c>
      <c r="AC1184" t="s">
        <v>8953</v>
      </c>
      <c r="AD1184" t="s">
        <v>10946</v>
      </c>
      <c r="AE1184">
        <v>2</v>
      </c>
      <c r="AF1184">
        <v>1</v>
      </c>
      <c r="AG1184">
        <v>2</v>
      </c>
      <c r="AH1184">
        <v>39.38</v>
      </c>
      <c r="AL1184">
        <v>8400</v>
      </c>
      <c r="AR1184">
        <v>3.7</v>
      </c>
      <c r="AS1184" t="s">
        <v>6822</v>
      </c>
      <c r="AT1184" t="s">
        <v>11176</v>
      </c>
      <c r="AU1184" t="s">
        <v>11228</v>
      </c>
      <c r="AV1184" t="s">
        <v>11231</v>
      </c>
      <c r="AW1184" t="s">
        <v>6810</v>
      </c>
    </row>
    <row r="1185" spans="1:49">
      <c r="A1185" s="1">
        <f>HYPERLINK("https://lsnyc.legalserver.org/matter/dynamic-profile/view/1904103","19-1904103")</f>
        <v>0</v>
      </c>
      <c r="B1185" t="s">
        <v>274</v>
      </c>
      <c r="C1185" t="s">
        <v>1107</v>
      </c>
      <c r="D1185" t="s">
        <v>2475</v>
      </c>
      <c r="E1185" t="s">
        <v>4175</v>
      </c>
      <c r="F1185">
        <v>2</v>
      </c>
      <c r="G1185" t="s">
        <v>5635</v>
      </c>
      <c r="H1185">
        <v>10467</v>
      </c>
      <c r="I1185" t="s">
        <v>5695</v>
      </c>
      <c r="J1185" t="s">
        <v>5696</v>
      </c>
      <c r="K1185" t="s">
        <v>6208</v>
      </c>
      <c r="L1185" t="s">
        <v>6712</v>
      </c>
      <c r="M1185" t="s">
        <v>6736</v>
      </c>
      <c r="O1185" t="s">
        <v>6763</v>
      </c>
      <c r="P1185" t="s">
        <v>5697</v>
      </c>
      <c r="R1185" t="s">
        <v>6793</v>
      </c>
      <c r="T1185" t="s">
        <v>6825</v>
      </c>
      <c r="U1185">
        <v>975</v>
      </c>
      <c r="V1185" t="s">
        <v>6833</v>
      </c>
      <c r="Y1185" t="s">
        <v>7989</v>
      </c>
      <c r="Z1185" t="s">
        <v>9003</v>
      </c>
      <c r="AA1185" t="s">
        <v>10030</v>
      </c>
      <c r="AB1185">
        <v>1</v>
      </c>
      <c r="AC1185" t="s">
        <v>10929</v>
      </c>
      <c r="AD1185" t="s">
        <v>5741</v>
      </c>
      <c r="AE1185">
        <v>16</v>
      </c>
      <c r="AF1185">
        <v>1</v>
      </c>
      <c r="AG1185">
        <v>0</v>
      </c>
      <c r="AH1185">
        <v>15.85</v>
      </c>
      <c r="AK1185" t="s">
        <v>10966</v>
      </c>
      <c r="AL1185">
        <v>1980</v>
      </c>
      <c r="AR1185">
        <v>4</v>
      </c>
      <c r="AS1185" t="s">
        <v>6812</v>
      </c>
      <c r="AT1185" t="s">
        <v>219</v>
      </c>
      <c r="AU1185" t="s">
        <v>11229</v>
      </c>
      <c r="AV1185" t="s">
        <v>11231</v>
      </c>
      <c r="AW1185" t="s">
        <v>6825</v>
      </c>
    </row>
    <row r="1186" spans="1:49">
      <c r="A1186" s="1">
        <f>HYPERLINK("https://lsnyc.legalserver.org/matter/dynamic-profile/view/1903600","19-1903600")</f>
        <v>0</v>
      </c>
      <c r="B1186" t="s">
        <v>191</v>
      </c>
      <c r="C1186" t="s">
        <v>1108</v>
      </c>
      <c r="D1186" t="s">
        <v>2476</v>
      </c>
      <c r="E1186" t="s">
        <v>4176</v>
      </c>
      <c r="F1186" t="s">
        <v>5464</v>
      </c>
      <c r="G1186" t="s">
        <v>5674</v>
      </c>
      <c r="H1186">
        <v>11373</v>
      </c>
      <c r="I1186" t="s">
        <v>5695</v>
      </c>
      <c r="J1186" t="s">
        <v>5696</v>
      </c>
      <c r="K1186" t="s">
        <v>6209</v>
      </c>
      <c r="L1186" t="s">
        <v>6712</v>
      </c>
      <c r="M1186" t="s">
        <v>6736</v>
      </c>
      <c r="O1186" t="s">
        <v>6752</v>
      </c>
      <c r="P1186" t="s">
        <v>5695</v>
      </c>
      <c r="R1186" t="s">
        <v>6793</v>
      </c>
      <c r="U1186">
        <v>2044</v>
      </c>
      <c r="V1186" t="s">
        <v>6837</v>
      </c>
      <c r="W1186" t="s">
        <v>6839</v>
      </c>
      <c r="Y1186" t="s">
        <v>7990</v>
      </c>
      <c r="AA1186" t="s">
        <v>10031</v>
      </c>
      <c r="AB1186">
        <v>50</v>
      </c>
      <c r="AC1186" t="s">
        <v>10929</v>
      </c>
      <c r="AE1186">
        <v>6</v>
      </c>
      <c r="AF1186">
        <v>2</v>
      </c>
      <c r="AG1186">
        <v>0</v>
      </c>
      <c r="AH1186">
        <v>127.74</v>
      </c>
      <c r="AK1186" t="s">
        <v>10967</v>
      </c>
      <c r="AL1186">
        <v>21600</v>
      </c>
      <c r="AR1186">
        <v>4.95</v>
      </c>
      <c r="AS1186" t="s">
        <v>6827</v>
      </c>
      <c r="AT1186" t="s">
        <v>11184</v>
      </c>
      <c r="AU1186" t="s">
        <v>11228</v>
      </c>
      <c r="AV1186" t="s">
        <v>11231</v>
      </c>
      <c r="AW1186" t="s">
        <v>11147</v>
      </c>
    </row>
    <row r="1187" spans="1:49">
      <c r="A1187" s="1">
        <f>HYPERLINK("https://lsnyc.legalserver.org/matter/dynamic-profile/view/1906331","19-1906331")</f>
        <v>0</v>
      </c>
      <c r="B1187" t="s">
        <v>274</v>
      </c>
      <c r="C1187" t="s">
        <v>585</v>
      </c>
      <c r="D1187" t="s">
        <v>2477</v>
      </c>
      <c r="E1187" t="s">
        <v>4177</v>
      </c>
      <c r="F1187" t="s">
        <v>5099</v>
      </c>
      <c r="G1187" t="s">
        <v>5635</v>
      </c>
      <c r="H1187">
        <v>10462</v>
      </c>
      <c r="I1187" t="s">
        <v>5695</v>
      </c>
      <c r="J1187" t="s">
        <v>5696</v>
      </c>
      <c r="K1187" t="s">
        <v>6210</v>
      </c>
      <c r="L1187" t="s">
        <v>6712</v>
      </c>
      <c r="M1187" t="s">
        <v>6736</v>
      </c>
      <c r="O1187" t="s">
        <v>6753</v>
      </c>
      <c r="P1187" t="s">
        <v>5697</v>
      </c>
      <c r="R1187" t="s">
        <v>6793</v>
      </c>
      <c r="U1187">
        <v>1196.54</v>
      </c>
      <c r="V1187" t="s">
        <v>6833</v>
      </c>
      <c r="W1187" t="s">
        <v>6839</v>
      </c>
      <c r="Y1187" t="s">
        <v>7991</v>
      </c>
      <c r="AA1187" t="s">
        <v>10032</v>
      </c>
      <c r="AB1187">
        <v>3857</v>
      </c>
      <c r="AC1187" t="s">
        <v>10930</v>
      </c>
      <c r="AD1187" t="s">
        <v>5741</v>
      </c>
      <c r="AE1187">
        <v>12</v>
      </c>
      <c r="AF1187">
        <v>1</v>
      </c>
      <c r="AG1187">
        <v>0</v>
      </c>
      <c r="AH1187">
        <v>201.67</v>
      </c>
      <c r="AK1187" t="s">
        <v>10966</v>
      </c>
      <c r="AL1187">
        <v>25188</v>
      </c>
      <c r="AR1187">
        <v>0</v>
      </c>
      <c r="AT1187" t="s">
        <v>11196</v>
      </c>
      <c r="AV1187" t="s">
        <v>11231</v>
      </c>
      <c r="AW1187" t="s">
        <v>6827</v>
      </c>
    </row>
    <row r="1188" spans="1:49">
      <c r="A1188" s="1">
        <f>HYPERLINK("https://lsnyc.legalserver.org/matter/dynamic-profile/view/1905523","19-1905523")</f>
        <v>0</v>
      </c>
      <c r="B1188" t="s">
        <v>193</v>
      </c>
      <c r="C1188" t="s">
        <v>367</v>
      </c>
      <c r="D1188" t="s">
        <v>2478</v>
      </c>
      <c r="E1188" t="s">
        <v>3275</v>
      </c>
      <c r="F1188" t="s">
        <v>5100</v>
      </c>
      <c r="G1188" t="s">
        <v>5635</v>
      </c>
      <c r="H1188">
        <v>10457</v>
      </c>
      <c r="I1188" t="s">
        <v>5696</v>
      </c>
      <c r="J1188" t="s">
        <v>5696</v>
      </c>
      <c r="K1188" t="s">
        <v>6211</v>
      </c>
      <c r="L1188" t="s">
        <v>6712</v>
      </c>
      <c r="M1188" t="s">
        <v>6736</v>
      </c>
      <c r="O1188" t="s">
        <v>6763</v>
      </c>
      <c r="P1188" t="s">
        <v>5697</v>
      </c>
      <c r="R1188" t="s">
        <v>6793</v>
      </c>
      <c r="U1188">
        <v>514.45</v>
      </c>
      <c r="V1188" t="s">
        <v>6833</v>
      </c>
      <c r="W1188" t="s">
        <v>6854</v>
      </c>
      <c r="Y1188" t="s">
        <v>7992</v>
      </c>
      <c r="AA1188" t="s">
        <v>10033</v>
      </c>
      <c r="AB1188">
        <v>0</v>
      </c>
      <c r="AC1188" t="s">
        <v>10929</v>
      </c>
      <c r="AE1188">
        <v>41</v>
      </c>
      <c r="AF1188">
        <v>5</v>
      </c>
      <c r="AG1188">
        <v>1</v>
      </c>
      <c r="AH1188">
        <v>10.23</v>
      </c>
      <c r="AK1188" t="s">
        <v>10966</v>
      </c>
      <c r="AL1188">
        <v>3540</v>
      </c>
      <c r="AR1188">
        <v>1.5</v>
      </c>
      <c r="AS1188" t="s">
        <v>6819</v>
      </c>
      <c r="AT1188" t="s">
        <v>11200</v>
      </c>
      <c r="AV1188" t="s">
        <v>11231</v>
      </c>
      <c r="AW1188" t="s">
        <v>6819</v>
      </c>
    </row>
    <row r="1189" spans="1:49">
      <c r="A1189" s="1">
        <f>HYPERLINK("https://lsnyc.legalserver.org/matter/dynamic-profile/view/1903503","19-1903503")</f>
        <v>0</v>
      </c>
      <c r="B1189" t="s">
        <v>60</v>
      </c>
      <c r="C1189" t="s">
        <v>1109</v>
      </c>
      <c r="D1189" t="s">
        <v>2479</v>
      </c>
      <c r="E1189" t="s">
        <v>4178</v>
      </c>
      <c r="F1189" t="s">
        <v>5243</v>
      </c>
      <c r="G1189" t="s">
        <v>5636</v>
      </c>
      <c r="H1189">
        <v>10314</v>
      </c>
      <c r="I1189" t="s">
        <v>5695</v>
      </c>
      <c r="J1189" t="s">
        <v>5696</v>
      </c>
      <c r="K1189" t="s">
        <v>6212</v>
      </c>
      <c r="L1189" t="s">
        <v>6712</v>
      </c>
      <c r="M1189" t="s">
        <v>6736</v>
      </c>
      <c r="O1189" t="s">
        <v>6762</v>
      </c>
      <c r="P1189" t="s">
        <v>5697</v>
      </c>
      <c r="R1189" t="s">
        <v>6793</v>
      </c>
      <c r="S1189" t="s">
        <v>6801</v>
      </c>
      <c r="T1189" t="s">
        <v>6807</v>
      </c>
      <c r="U1189">
        <v>1375</v>
      </c>
      <c r="V1189" t="s">
        <v>6834</v>
      </c>
      <c r="W1189" t="s">
        <v>6842</v>
      </c>
      <c r="Y1189" t="s">
        <v>7993</v>
      </c>
      <c r="AA1189" t="s">
        <v>10034</v>
      </c>
      <c r="AB1189">
        <v>2</v>
      </c>
      <c r="AC1189" t="s">
        <v>10930</v>
      </c>
      <c r="AD1189" t="s">
        <v>5741</v>
      </c>
      <c r="AE1189">
        <v>2</v>
      </c>
      <c r="AF1189">
        <v>2</v>
      </c>
      <c r="AG1189">
        <v>1</v>
      </c>
      <c r="AH1189">
        <v>189.57</v>
      </c>
      <c r="AK1189" t="s">
        <v>10966</v>
      </c>
      <c r="AL1189">
        <v>40435.2</v>
      </c>
      <c r="AR1189">
        <v>2.7</v>
      </c>
      <c r="AS1189" t="s">
        <v>6808</v>
      </c>
      <c r="AT1189" t="s">
        <v>11177</v>
      </c>
      <c r="AV1189" t="s">
        <v>11231</v>
      </c>
      <c r="AW1189" t="s">
        <v>6807</v>
      </c>
    </row>
    <row r="1190" spans="1:49">
      <c r="A1190" s="1">
        <f>HYPERLINK("https://lsnyc.legalserver.org/matter/dynamic-profile/view/1903792","19-1903792")</f>
        <v>0</v>
      </c>
      <c r="B1190" t="s">
        <v>248</v>
      </c>
      <c r="C1190" t="s">
        <v>328</v>
      </c>
      <c r="D1190" t="s">
        <v>1873</v>
      </c>
      <c r="E1190" t="s">
        <v>4179</v>
      </c>
      <c r="F1190" t="s">
        <v>5169</v>
      </c>
      <c r="G1190" t="s">
        <v>5657</v>
      </c>
      <c r="H1190">
        <v>11412</v>
      </c>
      <c r="I1190" t="s">
        <v>5697</v>
      </c>
      <c r="J1190" t="s">
        <v>5696</v>
      </c>
      <c r="K1190" t="s">
        <v>6213</v>
      </c>
      <c r="L1190" t="s">
        <v>6712</v>
      </c>
      <c r="M1190" t="s">
        <v>6736</v>
      </c>
      <c r="O1190" t="s">
        <v>6788</v>
      </c>
      <c r="P1190" t="s">
        <v>5697</v>
      </c>
      <c r="R1190" t="s">
        <v>6793</v>
      </c>
      <c r="S1190" t="s">
        <v>6801</v>
      </c>
      <c r="T1190" t="s">
        <v>6811</v>
      </c>
      <c r="U1190">
        <v>1000</v>
      </c>
      <c r="V1190" t="s">
        <v>6837</v>
      </c>
      <c r="Y1190" t="s">
        <v>7994</v>
      </c>
      <c r="AA1190" t="s">
        <v>10035</v>
      </c>
      <c r="AB1190">
        <v>0</v>
      </c>
      <c r="AC1190" t="s">
        <v>10932</v>
      </c>
      <c r="AE1190">
        <v>2</v>
      </c>
      <c r="AF1190">
        <v>1</v>
      </c>
      <c r="AG1190">
        <v>0</v>
      </c>
      <c r="AH1190">
        <v>72.06</v>
      </c>
      <c r="AK1190" t="s">
        <v>10966</v>
      </c>
      <c r="AL1190">
        <v>9000</v>
      </c>
      <c r="AR1190">
        <v>10.75</v>
      </c>
      <c r="AS1190" t="s">
        <v>6826</v>
      </c>
      <c r="AT1190" t="s">
        <v>248</v>
      </c>
      <c r="AV1190" t="s">
        <v>11231</v>
      </c>
      <c r="AW1190" t="s">
        <v>6811</v>
      </c>
    </row>
    <row r="1191" spans="1:49">
      <c r="A1191" s="1">
        <f>HYPERLINK("https://lsnyc.legalserver.org/matter/dynamic-profile/view/1905584","19-1905584")</f>
        <v>0</v>
      </c>
      <c r="B1191" t="s">
        <v>80</v>
      </c>
      <c r="C1191" t="s">
        <v>367</v>
      </c>
      <c r="D1191" t="s">
        <v>1658</v>
      </c>
      <c r="E1191" t="s">
        <v>4180</v>
      </c>
      <c r="F1191" t="s">
        <v>5109</v>
      </c>
      <c r="G1191" t="s">
        <v>5650</v>
      </c>
      <c r="H1191">
        <v>11365</v>
      </c>
      <c r="I1191" t="s">
        <v>5695</v>
      </c>
      <c r="J1191" t="s">
        <v>5696</v>
      </c>
      <c r="K1191" t="s">
        <v>6214</v>
      </c>
      <c r="L1191" t="s">
        <v>6712</v>
      </c>
      <c r="M1191" t="s">
        <v>6736</v>
      </c>
      <c r="O1191" t="s">
        <v>6757</v>
      </c>
      <c r="P1191" t="s">
        <v>5697</v>
      </c>
      <c r="R1191" t="s">
        <v>6793</v>
      </c>
      <c r="S1191" t="s">
        <v>6803</v>
      </c>
      <c r="T1191" t="s">
        <v>6823</v>
      </c>
      <c r="U1191">
        <v>1350</v>
      </c>
      <c r="V1191" t="s">
        <v>6837</v>
      </c>
      <c r="W1191" t="s">
        <v>6846</v>
      </c>
      <c r="Y1191" t="s">
        <v>7995</v>
      </c>
      <c r="Z1191" t="s">
        <v>5741</v>
      </c>
      <c r="AA1191" t="s">
        <v>10036</v>
      </c>
      <c r="AB1191">
        <v>5</v>
      </c>
      <c r="AC1191" t="s">
        <v>10930</v>
      </c>
      <c r="AD1191" t="s">
        <v>5741</v>
      </c>
      <c r="AE1191">
        <v>9</v>
      </c>
      <c r="AF1191">
        <v>1</v>
      </c>
      <c r="AG1191">
        <v>0</v>
      </c>
      <c r="AH1191">
        <v>163.33</v>
      </c>
      <c r="AI1191" t="s">
        <v>10955</v>
      </c>
      <c r="AK1191" t="s">
        <v>10966</v>
      </c>
      <c r="AL1191">
        <v>20400</v>
      </c>
      <c r="AR1191">
        <v>13.3</v>
      </c>
      <c r="AS1191" t="s">
        <v>6827</v>
      </c>
      <c r="AT1191" t="s">
        <v>80</v>
      </c>
      <c r="AU1191" t="s">
        <v>11228</v>
      </c>
      <c r="AV1191" t="s">
        <v>11231</v>
      </c>
      <c r="AW1191" t="s">
        <v>6819</v>
      </c>
    </row>
    <row r="1192" spans="1:49">
      <c r="A1192" s="1">
        <f>HYPERLINK("https://lsnyc.legalserver.org/matter/dynamic-profile/view/1898014","19-1898014")</f>
        <v>0</v>
      </c>
      <c r="B1192" t="s">
        <v>60</v>
      </c>
      <c r="C1192" t="s">
        <v>453</v>
      </c>
      <c r="D1192" t="s">
        <v>1934</v>
      </c>
      <c r="E1192" t="s">
        <v>4181</v>
      </c>
      <c r="F1192" t="s">
        <v>5243</v>
      </c>
      <c r="G1192" t="s">
        <v>5636</v>
      </c>
      <c r="H1192">
        <v>10306</v>
      </c>
      <c r="I1192" t="s">
        <v>5695</v>
      </c>
      <c r="J1192" t="s">
        <v>5696</v>
      </c>
      <c r="K1192" t="s">
        <v>6215</v>
      </c>
      <c r="L1192" t="s">
        <v>6712</v>
      </c>
      <c r="M1192" t="s">
        <v>6736</v>
      </c>
      <c r="O1192" t="s">
        <v>6745</v>
      </c>
      <c r="P1192" t="s">
        <v>5697</v>
      </c>
      <c r="R1192" t="s">
        <v>6793</v>
      </c>
      <c r="S1192" t="s">
        <v>6801</v>
      </c>
      <c r="U1192">
        <v>1350</v>
      </c>
      <c r="V1192" t="s">
        <v>6834</v>
      </c>
      <c r="W1192" t="s">
        <v>6839</v>
      </c>
      <c r="Y1192" t="s">
        <v>7996</v>
      </c>
      <c r="AA1192" t="s">
        <v>10037</v>
      </c>
      <c r="AB1192">
        <v>0</v>
      </c>
      <c r="AC1192" t="s">
        <v>10930</v>
      </c>
      <c r="AD1192" t="s">
        <v>5741</v>
      </c>
      <c r="AE1192">
        <v>5</v>
      </c>
      <c r="AF1192">
        <v>2</v>
      </c>
      <c r="AG1192">
        <v>0</v>
      </c>
      <c r="AH1192">
        <v>202.96</v>
      </c>
      <c r="AI1192" t="s">
        <v>10956</v>
      </c>
      <c r="AJ1192" t="s">
        <v>10963</v>
      </c>
      <c r="AK1192" t="s">
        <v>10966</v>
      </c>
      <c r="AL1192">
        <v>34320</v>
      </c>
      <c r="AR1192">
        <v>3.1</v>
      </c>
      <c r="AS1192" t="s">
        <v>11127</v>
      </c>
      <c r="AT1192" t="s">
        <v>11177</v>
      </c>
      <c r="AU1192" t="s">
        <v>11228</v>
      </c>
      <c r="AV1192" t="s">
        <v>11231</v>
      </c>
      <c r="AW1192" t="s">
        <v>11134</v>
      </c>
    </row>
    <row r="1193" spans="1:49">
      <c r="A1193" s="1">
        <f>HYPERLINK("https://lsnyc.legalserver.org/matter/dynamic-profile/view/1896083","19-1896083")</f>
        <v>0</v>
      </c>
      <c r="B1193" t="s">
        <v>184</v>
      </c>
      <c r="C1193" t="s">
        <v>1110</v>
      </c>
      <c r="D1193" t="s">
        <v>2480</v>
      </c>
      <c r="E1193" t="s">
        <v>4182</v>
      </c>
      <c r="F1193" t="s">
        <v>5124</v>
      </c>
      <c r="G1193" t="s">
        <v>5646</v>
      </c>
      <c r="H1193">
        <v>11354</v>
      </c>
      <c r="I1193" t="s">
        <v>5695</v>
      </c>
      <c r="J1193" t="s">
        <v>5696</v>
      </c>
      <c r="K1193" t="s">
        <v>6216</v>
      </c>
      <c r="L1193" t="s">
        <v>6712</v>
      </c>
      <c r="M1193" t="s">
        <v>6736</v>
      </c>
      <c r="O1193" t="s">
        <v>6745</v>
      </c>
      <c r="P1193" t="s">
        <v>5697</v>
      </c>
      <c r="R1193" t="s">
        <v>6793</v>
      </c>
      <c r="S1193" t="s">
        <v>6806</v>
      </c>
      <c r="T1193" t="s">
        <v>6829</v>
      </c>
      <c r="U1193">
        <v>774</v>
      </c>
      <c r="V1193" t="s">
        <v>6837</v>
      </c>
      <c r="W1193" t="s">
        <v>6840</v>
      </c>
      <c r="Y1193" t="s">
        <v>7997</v>
      </c>
      <c r="Z1193" t="s">
        <v>8917</v>
      </c>
      <c r="AA1193" t="s">
        <v>10038</v>
      </c>
      <c r="AB1193">
        <v>6</v>
      </c>
      <c r="AC1193" t="s">
        <v>10929</v>
      </c>
      <c r="AD1193" t="s">
        <v>5741</v>
      </c>
      <c r="AE1193">
        <v>39</v>
      </c>
      <c r="AF1193">
        <v>2</v>
      </c>
      <c r="AG1193">
        <v>0</v>
      </c>
      <c r="AH1193">
        <v>276.76</v>
      </c>
      <c r="AK1193" t="s">
        <v>10966</v>
      </c>
      <c r="AL1193">
        <v>46800</v>
      </c>
      <c r="AR1193">
        <v>7.3</v>
      </c>
      <c r="AS1193" t="s">
        <v>11171</v>
      </c>
      <c r="AT1193" t="s">
        <v>11186</v>
      </c>
      <c r="AU1193" t="s">
        <v>11228</v>
      </c>
      <c r="AV1193" t="s">
        <v>11231</v>
      </c>
      <c r="AW1193" t="s">
        <v>10962</v>
      </c>
    </row>
    <row r="1194" spans="1:49">
      <c r="A1194" s="1">
        <f>HYPERLINK("https://lsnyc.legalserver.org/matter/dynamic-profile/view/1903412","19-1903412")</f>
        <v>0</v>
      </c>
      <c r="B1194" t="s">
        <v>184</v>
      </c>
      <c r="C1194" t="s">
        <v>882</v>
      </c>
      <c r="D1194" t="s">
        <v>1836</v>
      </c>
      <c r="E1194" t="s">
        <v>4183</v>
      </c>
      <c r="F1194" t="s">
        <v>5203</v>
      </c>
      <c r="G1194" t="s">
        <v>5653</v>
      </c>
      <c r="H1194">
        <v>11374</v>
      </c>
      <c r="I1194" t="s">
        <v>5695</v>
      </c>
      <c r="J1194" t="s">
        <v>5696</v>
      </c>
      <c r="K1194" t="s">
        <v>6217</v>
      </c>
      <c r="L1194" t="s">
        <v>6712</v>
      </c>
      <c r="M1194" t="s">
        <v>6736</v>
      </c>
      <c r="O1194" t="s">
        <v>6745</v>
      </c>
      <c r="P1194" t="s">
        <v>5697</v>
      </c>
      <c r="R1194" t="s">
        <v>6793</v>
      </c>
      <c r="S1194" t="s">
        <v>6801</v>
      </c>
      <c r="T1194" t="s">
        <v>6829</v>
      </c>
      <c r="U1194">
        <v>1900</v>
      </c>
      <c r="V1194" t="s">
        <v>6837</v>
      </c>
      <c r="W1194" t="s">
        <v>6840</v>
      </c>
      <c r="Y1194" t="s">
        <v>7998</v>
      </c>
      <c r="AA1194" t="s">
        <v>10039</v>
      </c>
      <c r="AB1194">
        <v>54</v>
      </c>
      <c r="AC1194" t="s">
        <v>10929</v>
      </c>
      <c r="AD1194" t="s">
        <v>5741</v>
      </c>
      <c r="AE1194">
        <v>4</v>
      </c>
      <c r="AF1194">
        <v>2</v>
      </c>
      <c r="AG1194">
        <v>1</v>
      </c>
      <c r="AH1194">
        <v>51.57</v>
      </c>
      <c r="AK1194" t="s">
        <v>10966</v>
      </c>
      <c r="AL1194">
        <v>11000</v>
      </c>
      <c r="AR1194">
        <v>2.4</v>
      </c>
      <c r="AS1194" t="s">
        <v>6829</v>
      </c>
      <c r="AT1194" t="s">
        <v>11182</v>
      </c>
      <c r="AU1194" t="s">
        <v>11228</v>
      </c>
      <c r="AV1194" t="s">
        <v>11231</v>
      </c>
      <c r="AW1194" t="s">
        <v>11136</v>
      </c>
    </row>
    <row r="1195" spans="1:49">
      <c r="A1195" s="1">
        <f>HYPERLINK("https://lsnyc.legalserver.org/matter/dynamic-profile/view/1904893","19-1904893")</f>
        <v>0</v>
      </c>
      <c r="B1195" t="s">
        <v>204</v>
      </c>
      <c r="C1195" t="s">
        <v>334</v>
      </c>
      <c r="D1195" t="s">
        <v>2481</v>
      </c>
      <c r="E1195" t="s">
        <v>4184</v>
      </c>
      <c r="F1195" t="s">
        <v>5223</v>
      </c>
      <c r="G1195" t="s">
        <v>5658</v>
      </c>
      <c r="H1195">
        <v>11417</v>
      </c>
      <c r="I1195" t="s">
        <v>5696</v>
      </c>
      <c r="J1195" t="s">
        <v>5696</v>
      </c>
      <c r="K1195" t="s">
        <v>6218</v>
      </c>
      <c r="L1195" t="s">
        <v>6712</v>
      </c>
      <c r="M1195" t="s">
        <v>6736</v>
      </c>
      <c r="O1195" t="s">
        <v>6748</v>
      </c>
      <c r="P1195" t="s">
        <v>5697</v>
      </c>
      <c r="R1195" t="s">
        <v>6793</v>
      </c>
      <c r="S1195" t="s">
        <v>6801</v>
      </c>
      <c r="U1195">
        <v>800</v>
      </c>
      <c r="V1195" t="s">
        <v>6837</v>
      </c>
      <c r="W1195" t="s">
        <v>6840</v>
      </c>
      <c r="Y1195" t="s">
        <v>7999</v>
      </c>
      <c r="AA1195" t="s">
        <v>10040</v>
      </c>
      <c r="AB1195">
        <v>2</v>
      </c>
      <c r="AC1195" t="s">
        <v>10930</v>
      </c>
      <c r="AD1195" t="s">
        <v>5741</v>
      </c>
      <c r="AE1195">
        <v>6</v>
      </c>
      <c r="AF1195">
        <v>1</v>
      </c>
      <c r="AG1195">
        <v>2</v>
      </c>
      <c r="AH1195">
        <v>39.38</v>
      </c>
      <c r="AK1195" t="s">
        <v>10966</v>
      </c>
      <c r="AL1195">
        <v>8400</v>
      </c>
      <c r="AR1195">
        <v>1.5</v>
      </c>
      <c r="AS1195" t="s">
        <v>6814</v>
      </c>
      <c r="AT1195" t="s">
        <v>11186</v>
      </c>
      <c r="AV1195" t="s">
        <v>11231</v>
      </c>
      <c r="AW1195" t="s">
        <v>6812</v>
      </c>
    </row>
    <row r="1196" spans="1:49">
      <c r="A1196" s="1">
        <f>HYPERLINK("https://lsnyc.legalserver.org/matter/dynamic-profile/view/1902312","19-1902312")</f>
        <v>0</v>
      </c>
      <c r="B1196" t="s">
        <v>184</v>
      </c>
      <c r="C1196" t="s">
        <v>465</v>
      </c>
      <c r="D1196" t="s">
        <v>2482</v>
      </c>
      <c r="E1196" t="s">
        <v>4185</v>
      </c>
      <c r="F1196" t="s">
        <v>5368</v>
      </c>
      <c r="G1196" t="s">
        <v>5663</v>
      </c>
      <c r="H1196">
        <v>11361</v>
      </c>
      <c r="I1196" t="s">
        <v>5695</v>
      </c>
      <c r="J1196" t="s">
        <v>5696</v>
      </c>
      <c r="K1196" t="s">
        <v>6219</v>
      </c>
      <c r="L1196" t="s">
        <v>6712</v>
      </c>
      <c r="M1196" t="s">
        <v>6736</v>
      </c>
      <c r="O1196" t="s">
        <v>6745</v>
      </c>
      <c r="P1196" t="s">
        <v>5697</v>
      </c>
      <c r="R1196" t="s">
        <v>6793</v>
      </c>
      <c r="S1196" t="s">
        <v>6801</v>
      </c>
      <c r="T1196" t="s">
        <v>6829</v>
      </c>
      <c r="U1196">
        <v>2150</v>
      </c>
      <c r="V1196" t="s">
        <v>6837</v>
      </c>
      <c r="W1196" t="s">
        <v>6840</v>
      </c>
      <c r="Y1196" t="s">
        <v>8000</v>
      </c>
      <c r="AA1196" t="s">
        <v>10041</v>
      </c>
      <c r="AB1196">
        <v>26</v>
      </c>
      <c r="AC1196" t="s">
        <v>8953</v>
      </c>
      <c r="AD1196" t="s">
        <v>5741</v>
      </c>
      <c r="AE1196">
        <v>8</v>
      </c>
      <c r="AF1196">
        <v>1</v>
      </c>
      <c r="AG1196">
        <v>1</v>
      </c>
      <c r="AH1196">
        <v>165.58</v>
      </c>
      <c r="AK1196" t="s">
        <v>10966</v>
      </c>
      <c r="AL1196">
        <v>28000</v>
      </c>
      <c r="AR1196">
        <v>1.7</v>
      </c>
      <c r="AS1196" t="s">
        <v>6829</v>
      </c>
      <c r="AT1196" t="s">
        <v>11182</v>
      </c>
      <c r="AU1196" t="s">
        <v>11228</v>
      </c>
      <c r="AV1196" t="s">
        <v>11231</v>
      </c>
      <c r="AW1196" t="s">
        <v>11140</v>
      </c>
    </row>
    <row r="1197" spans="1:49">
      <c r="A1197" s="1">
        <f>HYPERLINK("https://lsnyc.legalserver.org/matter/dynamic-profile/view/1901622","19-1901622")</f>
        <v>0</v>
      </c>
      <c r="B1197" t="s">
        <v>191</v>
      </c>
      <c r="C1197" t="s">
        <v>1111</v>
      </c>
      <c r="D1197" t="s">
        <v>2483</v>
      </c>
      <c r="E1197" t="s">
        <v>4186</v>
      </c>
      <c r="F1197" t="s">
        <v>5100</v>
      </c>
      <c r="G1197" t="s">
        <v>5674</v>
      </c>
      <c r="H1197">
        <v>11373</v>
      </c>
      <c r="I1197" t="s">
        <v>5695</v>
      </c>
      <c r="J1197" t="s">
        <v>5696</v>
      </c>
      <c r="K1197" t="s">
        <v>6220</v>
      </c>
      <c r="L1197" t="s">
        <v>6712</v>
      </c>
      <c r="M1197" t="s">
        <v>6736</v>
      </c>
      <c r="O1197" t="s">
        <v>6752</v>
      </c>
      <c r="P1197" t="s">
        <v>5697</v>
      </c>
      <c r="R1197" t="s">
        <v>6793</v>
      </c>
      <c r="U1197">
        <v>1750</v>
      </c>
      <c r="V1197" t="s">
        <v>6837</v>
      </c>
      <c r="W1197" t="s">
        <v>6840</v>
      </c>
      <c r="Y1197" t="s">
        <v>8001</v>
      </c>
      <c r="Z1197" t="s">
        <v>9004</v>
      </c>
      <c r="AA1197" t="s">
        <v>10042</v>
      </c>
      <c r="AB1197">
        <v>19</v>
      </c>
      <c r="AC1197" t="s">
        <v>10936</v>
      </c>
      <c r="AD1197" t="s">
        <v>5741</v>
      </c>
      <c r="AE1197">
        <v>1</v>
      </c>
      <c r="AF1197">
        <v>1</v>
      </c>
      <c r="AG1197">
        <v>2</v>
      </c>
      <c r="AH1197">
        <v>22.5</v>
      </c>
      <c r="AK1197" t="s">
        <v>10983</v>
      </c>
      <c r="AL1197">
        <v>4800</v>
      </c>
      <c r="AR1197">
        <v>13.4</v>
      </c>
      <c r="AS1197" t="s">
        <v>6820</v>
      </c>
      <c r="AT1197" t="s">
        <v>11184</v>
      </c>
      <c r="AU1197" t="s">
        <v>11229</v>
      </c>
      <c r="AV1197" t="s">
        <v>11231</v>
      </c>
      <c r="AW1197" t="s">
        <v>11124</v>
      </c>
    </row>
    <row r="1198" spans="1:49">
      <c r="A1198" s="1">
        <f>HYPERLINK("https://lsnyc.legalserver.org/matter/dynamic-profile/view/1898754","19-1898754")</f>
        <v>0</v>
      </c>
      <c r="B1198" t="s">
        <v>206</v>
      </c>
      <c r="C1198" t="s">
        <v>1112</v>
      </c>
      <c r="D1198" t="s">
        <v>2484</v>
      </c>
      <c r="E1198" t="s">
        <v>4187</v>
      </c>
      <c r="F1198" t="s">
        <v>5124</v>
      </c>
      <c r="G1198" t="s">
        <v>5638</v>
      </c>
      <c r="H1198">
        <v>10037</v>
      </c>
      <c r="I1198" t="s">
        <v>5697</v>
      </c>
      <c r="J1198" t="s">
        <v>5696</v>
      </c>
      <c r="K1198" t="s">
        <v>6221</v>
      </c>
      <c r="L1198" t="s">
        <v>6712</v>
      </c>
      <c r="M1198" t="s">
        <v>6736</v>
      </c>
      <c r="O1198" t="s">
        <v>6759</v>
      </c>
      <c r="P1198" t="s">
        <v>5697</v>
      </c>
      <c r="R1198" t="s">
        <v>6793</v>
      </c>
      <c r="S1198" t="s">
        <v>6801</v>
      </c>
      <c r="U1198">
        <v>1925</v>
      </c>
      <c r="V1198" t="s">
        <v>6836</v>
      </c>
      <c r="W1198" t="s">
        <v>6843</v>
      </c>
      <c r="Y1198" t="s">
        <v>8002</v>
      </c>
      <c r="AA1198" t="s">
        <v>10043</v>
      </c>
      <c r="AB1198">
        <v>0</v>
      </c>
      <c r="AC1198" t="s">
        <v>10930</v>
      </c>
      <c r="AD1198" t="s">
        <v>5741</v>
      </c>
      <c r="AE1198">
        <v>8</v>
      </c>
      <c r="AF1198">
        <v>1</v>
      </c>
      <c r="AG1198">
        <v>0</v>
      </c>
      <c r="AH1198">
        <v>0</v>
      </c>
      <c r="AK1198" t="s">
        <v>10966</v>
      </c>
      <c r="AL1198">
        <v>0</v>
      </c>
      <c r="AR1198">
        <v>9.300000000000001</v>
      </c>
      <c r="AS1198" t="s">
        <v>6823</v>
      </c>
      <c r="AT1198" t="s">
        <v>305</v>
      </c>
      <c r="AU1198" t="s">
        <v>5741</v>
      </c>
      <c r="AV1198" t="s">
        <v>11231</v>
      </c>
      <c r="AW1198" t="s">
        <v>11156</v>
      </c>
    </row>
    <row r="1199" spans="1:49">
      <c r="A1199" s="1">
        <f>HYPERLINK("https://lsnyc.legalserver.org/matter/dynamic-profile/view/1905779","19-1905779")</f>
        <v>0</v>
      </c>
      <c r="B1199" t="s">
        <v>79</v>
      </c>
      <c r="C1199" t="s">
        <v>1113</v>
      </c>
      <c r="D1199" t="s">
        <v>2485</v>
      </c>
      <c r="E1199" t="s">
        <v>4188</v>
      </c>
      <c r="F1199" t="s">
        <v>5465</v>
      </c>
      <c r="G1199" t="s">
        <v>5647</v>
      </c>
      <c r="H1199">
        <v>11691</v>
      </c>
      <c r="I1199" t="s">
        <v>5695</v>
      </c>
      <c r="J1199" t="s">
        <v>5696</v>
      </c>
      <c r="K1199" t="s">
        <v>6222</v>
      </c>
      <c r="L1199" t="s">
        <v>6712</v>
      </c>
      <c r="M1199" t="s">
        <v>6736</v>
      </c>
      <c r="O1199" t="s">
        <v>6745</v>
      </c>
      <c r="P1199" t="s">
        <v>5697</v>
      </c>
      <c r="R1199" t="s">
        <v>6793</v>
      </c>
      <c r="S1199" t="s">
        <v>6805</v>
      </c>
      <c r="T1199" t="s">
        <v>6821</v>
      </c>
      <c r="U1199">
        <v>0</v>
      </c>
      <c r="V1199" t="s">
        <v>6837</v>
      </c>
      <c r="W1199" t="s">
        <v>6844</v>
      </c>
      <c r="Y1199" t="s">
        <v>7165</v>
      </c>
      <c r="AA1199" t="s">
        <v>10044</v>
      </c>
      <c r="AB1199">
        <v>0</v>
      </c>
      <c r="AC1199" t="s">
        <v>10935</v>
      </c>
      <c r="AE1199">
        <v>35</v>
      </c>
      <c r="AF1199">
        <v>1</v>
      </c>
      <c r="AG1199">
        <v>0</v>
      </c>
      <c r="AH1199">
        <v>78.78</v>
      </c>
      <c r="AK1199" t="s">
        <v>10966</v>
      </c>
      <c r="AL1199">
        <v>9840</v>
      </c>
      <c r="AR1199">
        <v>2.6</v>
      </c>
      <c r="AS1199" t="s">
        <v>11168</v>
      </c>
      <c r="AT1199" t="s">
        <v>79</v>
      </c>
      <c r="AU1199" t="s">
        <v>11228</v>
      </c>
      <c r="AV1199" t="s">
        <v>11231</v>
      </c>
      <c r="AW1199" t="s">
        <v>6823</v>
      </c>
    </row>
    <row r="1200" spans="1:49">
      <c r="A1200" s="1">
        <f>HYPERLINK("https://lsnyc.legalserver.org/matter/dynamic-profile/view/1901058","19-1901058")</f>
        <v>0</v>
      </c>
      <c r="B1200" t="s">
        <v>63</v>
      </c>
      <c r="C1200" t="s">
        <v>1114</v>
      </c>
      <c r="D1200" t="s">
        <v>1657</v>
      </c>
      <c r="E1200" t="s">
        <v>4189</v>
      </c>
      <c r="F1200" t="s">
        <v>5466</v>
      </c>
      <c r="G1200" t="s">
        <v>5644</v>
      </c>
      <c r="H1200">
        <v>11433</v>
      </c>
      <c r="I1200" t="s">
        <v>5695</v>
      </c>
      <c r="J1200" t="s">
        <v>5696</v>
      </c>
      <c r="K1200" t="s">
        <v>6223</v>
      </c>
      <c r="L1200" t="s">
        <v>6712</v>
      </c>
      <c r="M1200" t="s">
        <v>6736</v>
      </c>
      <c r="O1200" t="s">
        <v>6752</v>
      </c>
      <c r="P1200" t="s">
        <v>5697</v>
      </c>
      <c r="R1200" t="s">
        <v>6793</v>
      </c>
      <c r="S1200" t="s">
        <v>6801</v>
      </c>
      <c r="U1200">
        <v>1000</v>
      </c>
      <c r="V1200" t="s">
        <v>6837</v>
      </c>
      <c r="W1200" t="s">
        <v>6840</v>
      </c>
      <c r="Y1200" t="s">
        <v>8003</v>
      </c>
      <c r="AA1200" t="s">
        <v>10045</v>
      </c>
      <c r="AB1200">
        <v>2</v>
      </c>
      <c r="AC1200" t="s">
        <v>10930</v>
      </c>
      <c r="AD1200" t="s">
        <v>5741</v>
      </c>
      <c r="AE1200">
        <v>9</v>
      </c>
      <c r="AF1200">
        <v>3</v>
      </c>
      <c r="AG1200">
        <v>3</v>
      </c>
      <c r="AH1200">
        <v>153.22</v>
      </c>
      <c r="AK1200" t="s">
        <v>10966</v>
      </c>
      <c r="AL1200">
        <v>53000</v>
      </c>
      <c r="AR1200">
        <v>6</v>
      </c>
      <c r="AS1200" t="s">
        <v>6815</v>
      </c>
      <c r="AT1200" t="s">
        <v>237</v>
      </c>
      <c r="AU1200" t="s">
        <v>11228</v>
      </c>
      <c r="AV1200" t="s">
        <v>11231</v>
      </c>
      <c r="AW1200" t="s">
        <v>11120</v>
      </c>
    </row>
    <row r="1201" spans="1:49">
      <c r="A1201" s="1">
        <f>HYPERLINK("https://lsnyc.legalserver.org/matter/dynamic-profile/view/1904146","19-1904146")</f>
        <v>0</v>
      </c>
      <c r="B1201" t="s">
        <v>63</v>
      </c>
      <c r="C1201" t="s">
        <v>1115</v>
      </c>
      <c r="D1201" t="s">
        <v>2486</v>
      </c>
      <c r="E1201" t="s">
        <v>4190</v>
      </c>
      <c r="F1201" t="s">
        <v>5110</v>
      </c>
      <c r="G1201" t="s">
        <v>5662</v>
      </c>
      <c r="H1201">
        <v>11368</v>
      </c>
      <c r="I1201" t="s">
        <v>5695</v>
      </c>
      <c r="J1201" t="s">
        <v>5696</v>
      </c>
      <c r="K1201" t="s">
        <v>6224</v>
      </c>
      <c r="L1201" t="s">
        <v>6712</v>
      </c>
      <c r="M1201" t="s">
        <v>6736</v>
      </c>
      <c r="O1201" t="s">
        <v>6750</v>
      </c>
      <c r="P1201" t="s">
        <v>5697</v>
      </c>
      <c r="R1201" t="s">
        <v>6793</v>
      </c>
      <c r="S1201" t="s">
        <v>6801</v>
      </c>
      <c r="U1201">
        <v>475</v>
      </c>
      <c r="V1201" t="s">
        <v>6837</v>
      </c>
      <c r="W1201" t="s">
        <v>6843</v>
      </c>
      <c r="Y1201" t="s">
        <v>8004</v>
      </c>
      <c r="AA1201" t="s">
        <v>10046</v>
      </c>
      <c r="AB1201">
        <v>6</v>
      </c>
      <c r="AC1201" t="s">
        <v>10929</v>
      </c>
      <c r="AD1201" t="s">
        <v>5741</v>
      </c>
      <c r="AE1201">
        <v>8</v>
      </c>
      <c r="AF1201">
        <v>1</v>
      </c>
      <c r="AG1201">
        <v>0</v>
      </c>
      <c r="AH1201">
        <v>186.39</v>
      </c>
      <c r="AK1201" t="s">
        <v>10966</v>
      </c>
      <c r="AL1201">
        <v>23280</v>
      </c>
      <c r="AR1201">
        <v>16.05</v>
      </c>
      <c r="AS1201" t="s">
        <v>6824</v>
      </c>
      <c r="AT1201" t="s">
        <v>237</v>
      </c>
      <c r="AU1201" t="s">
        <v>11228</v>
      </c>
      <c r="AV1201" t="s">
        <v>11231</v>
      </c>
      <c r="AW1201" t="s">
        <v>6818</v>
      </c>
    </row>
    <row r="1202" spans="1:49">
      <c r="A1202" s="1">
        <f>HYPERLINK("https://lsnyc.legalserver.org/matter/dynamic-profile/view/1903008","19-1903008")</f>
        <v>0</v>
      </c>
      <c r="B1202" t="s">
        <v>202</v>
      </c>
      <c r="C1202" t="s">
        <v>666</v>
      </c>
      <c r="D1202" t="s">
        <v>1686</v>
      </c>
      <c r="G1202" t="s">
        <v>5635</v>
      </c>
      <c r="H1202">
        <v>10467</v>
      </c>
      <c r="I1202" t="s">
        <v>5695</v>
      </c>
      <c r="J1202" t="s">
        <v>5696</v>
      </c>
      <c r="K1202" t="s">
        <v>6225</v>
      </c>
      <c r="L1202" t="s">
        <v>6712</v>
      </c>
      <c r="M1202" t="s">
        <v>6736</v>
      </c>
      <c r="O1202" t="s">
        <v>6763</v>
      </c>
      <c r="P1202" t="s">
        <v>5697</v>
      </c>
      <c r="R1202" t="s">
        <v>6793</v>
      </c>
      <c r="U1202">
        <v>1775</v>
      </c>
      <c r="V1202" t="s">
        <v>6833</v>
      </c>
      <c r="W1202" t="s">
        <v>6840</v>
      </c>
      <c r="Y1202" t="s">
        <v>8005</v>
      </c>
      <c r="AA1202" t="s">
        <v>10047</v>
      </c>
      <c r="AB1202">
        <v>0</v>
      </c>
      <c r="AC1202" t="s">
        <v>10941</v>
      </c>
      <c r="AD1202" t="s">
        <v>6841</v>
      </c>
      <c r="AE1202">
        <v>2</v>
      </c>
      <c r="AF1202">
        <v>2</v>
      </c>
      <c r="AG1202">
        <v>0</v>
      </c>
      <c r="AH1202">
        <v>49.39</v>
      </c>
      <c r="AK1202" t="s">
        <v>10966</v>
      </c>
      <c r="AL1202">
        <v>8352</v>
      </c>
      <c r="AR1202">
        <v>1.5</v>
      </c>
      <c r="AS1202" t="s">
        <v>10953</v>
      </c>
      <c r="AT1202" t="s">
        <v>219</v>
      </c>
      <c r="AU1202" t="s">
        <v>11228</v>
      </c>
      <c r="AV1202" t="s">
        <v>11231</v>
      </c>
      <c r="AW1202" t="s">
        <v>11133</v>
      </c>
    </row>
    <row r="1203" spans="1:49">
      <c r="A1203" s="1">
        <f>HYPERLINK("https://lsnyc.legalserver.org/matter/dynamic-profile/view/1904127","19-1904127")</f>
        <v>0</v>
      </c>
      <c r="B1203" t="s">
        <v>215</v>
      </c>
      <c r="C1203" t="s">
        <v>1116</v>
      </c>
      <c r="D1203" t="s">
        <v>2487</v>
      </c>
      <c r="E1203" t="s">
        <v>4191</v>
      </c>
      <c r="G1203" t="s">
        <v>5637</v>
      </c>
      <c r="H1203">
        <v>11216</v>
      </c>
      <c r="I1203" t="s">
        <v>5695</v>
      </c>
      <c r="J1203" t="s">
        <v>5696</v>
      </c>
      <c r="K1203" t="s">
        <v>6226</v>
      </c>
      <c r="L1203" t="s">
        <v>6712</v>
      </c>
      <c r="M1203" t="s">
        <v>6736</v>
      </c>
      <c r="O1203" t="s">
        <v>6755</v>
      </c>
      <c r="P1203" t="s">
        <v>5697</v>
      </c>
      <c r="R1203" t="s">
        <v>6793</v>
      </c>
      <c r="U1203">
        <v>1800</v>
      </c>
      <c r="V1203" t="s">
        <v>6835</v>
      </c>
      <c r="W1203" t="s">
        <v>6854</v>
      </c>
      <c r="Y1203" t="s">
        <v>8006</v>
      </c>
      <c r="AA1203" t="s">
        <v>10048</v>
      </c>
      <c r="AB1203">
        <v>0</v>
      </c>
      <c r="AE1203">
        <v>4</v>
      </c>
      <c r="AF1203">
        <v>1</v>
      </c>
      <c r="AG1203">
        <v>0</v>
      </c>
      <c r="AH1203">
        <v>83.27</v>
      </c>
      <c r="AK1203" t="s">
        <v>10966</v>
      </c>
      <c r="AL1203">
        <v>10400</v>
      </c>
      <c r="AR1203">
        <v>1.4</v>
      </c>
      <c r="AS1203" t="s">
        <v>6816</v>
      </c>
      <c r="AT1203" t="s">
        <v>11197</v>
      </c>
      <c r="AU1203" t="s">
        <v>11228</v>
      </c>
      <c r="AV1203" t="s">
        <v>11231</v>
      </c>
      <c r="AW1203" t="s">
        <v>6818</v>
      </c>
    </row>
    <row r="1204" spans="1:49">
      <c r="A1204" s="1">
        <f>HYPERLINK("https://lsnyc.legalserver.org/matter/dynamic-profile/view/1904574","19-1904574")</f>
        <v>0</v>
      </c>
      <c r="B1204" t="s">
        <v>215</v>
      </c>
      <c r="C1204" t="s">
        <v>1117</v>
      </c>
      <c r="D1204" t="s">
        <v>2488</v>
      </c>
      <c r="E1204" t="s">
        <v>4192</v>
      </c>
      <c r="F1204" t="s">
        <v>5098</v>
      </c>
      <c r="G1204" t="s">
        <v>5637</v>
      </c>
      <c r="H1204">
        <v>11216</v>
      </c>
      <c r="I1204" t="s">
        <v>5695</v>
      </c>
      <c r="J1204" t="s">
        <v>5696</v>
      </c>
      <c r="K1204" t="s">
        <v>6227</v>
      </c>
      <c r="L1204" t="s">
        <v>6712</v>
      </c>
      <c r="M1204" t="s">
        <v>6736</v>
      </c>
      <c r="O1204" t="s">
        <v>6755</v>
      </c>
      <c r="R1204" t="s">
        <v>6793</v>
      </c>
      <c r="U1204">
        <v>950</v>
      </c>
      <c r="V1204" t="s">
        <v>6835</v>
      </c>
      <c r="W1204" t="s">
        <v>6854</v>
      </c>
      <c r="Y1204" t="s">
        <v>8007</v>
      </c>
      <c r="AA1204" t="s">
        <v>10049</v>
      </c>
      <c r="AB1204">
        <v>1</v>
      </c>
      <c r="AE1204">
        <v>3</v>
      </c>
      <c r="AF1204">
        <v>1</v>
      </c>
      <c r="AG1204">
        <v>0</v>
      </c>
      <c r="AH1204">
        <v>0</v>
      </c>
      <c r="AK1204" t="s">
        <v>10966</v>
      </c>
      <c r="AL1204">
        <v>0</v>
      </c>
      <c r="AR1204">
        <v>6.4</v>
      </c>
      <c r="AS1204" t="s">
        <v>6824</v>
      </c>
      <c r="AT1204" t="s">
        <v>11190</v>
      </c>
      <c r="AU1204" t="s">
        <v>11228</v>
      </c>
      <c r="AV1204" t="s">
        <v>11231</v>
      </c>
      <c r="AW1204" t="s">
        <v>6810</v>
      </c>
    </row>
    <row r="1205" spans="1:49">
      <c r="A1205" s="1">
        <f>HYPERLINK("https://lsnyc.legalserver.org/matter/dynamic-profile/view/1896156","19-1896156")</f>
        <v>0</v>
      </c>
      <c r="B1205" t="s">
        <v>63</v>
      </c>
      <c r="C1205" t="s">
        <v>1118</v>
      </c>
      <c r="D1205" t="s">
        <v>2489</v>
      </c>
      <c r="E1205" t="s">
        <v>4193</v>
      </c>
      <c r="F1205" t="s">
        <v>5154</v>
      </c>
      <c r="G1205" t="s">
        <v>5644</v>
      </c>
      <c r="H1205">
        <v>11433</v>
      </c>
      <c r="I1205" t="s">
        <v>5695</v>
      </c>
      <c r="J1205" t="s">
        <v>5695</v>
      </c>
      <c r="K1205" t="s">
        <v>6228</v>
      </c>
      <c r="L1205" t="s">
        <v>6712</v>
      </c>
      <c r="M1205" t="s">
        <v>6736</v>
      </c>
      <c r="O1205" t="s">
        <v>6752</v>
      </c>
      <c r="P1205" t="s">
        <v>5697</v>
      </c>
      <c r="R1205" t="s">
        <v>6793</v>
      </c>
      <c r="U1205">
        <v>865</v>
      </c>
      <c r="V1205" t="s">
        <v>6837</v>
      </c>
      <c r="W1205" t="s">
        <v>6839</v>
      </c>
      <c r="Y1205" t="s">
        <v>8008</v>
      </c>
      <c r="AA1205" t="s">
        <v>10050</v>
      </c>
      <c r="AB1205">
        <v>0</v>
      </c>
      <c r="AC1205" t="s">
        <v>10929</v>
      </c>
      <c r="AD1205" t="s">
        <v>5741</v>
      </c>
      <c r="AE1205">
        <v>3</v>
      </c>
      <c r="AF1205">
        <v>1</v>
      </c>
      <c r="AG1205">
        <v>0</v>
      </c>
      <c r="AH1205">
        <v>92.23</v>
      </c>
      <c r="AK1205" t="s">
        <v>10966</v>
      </c>
      <c r="AL1205">
        <v>11520</v>
      </c>
      <c r="AR1205">
        <v>8.25</v>
      </c>
      <c r="AS1205" t="s">
        <v>6827</v>
      </c>
      <c r="AT1205" t="s">
        <v>11182</v>
      </c>
      <c r="AU1205" t="s">
        <v>11228</v>
      </c>
      <c r="AV1205" t="s">
        <v>11231</v>
      </c>
      <c r="AW1205" t="s">
        <v>11167</v>
      </c>
    </row>
    <row r="1206" spans="1:49">
      <c r="A1206" s="1">
        <f>HYPERLINK("https://lsnyc.legalserver.org/matter/dynamic-profile/view/1895230","19-1895230")</f>
        <v>0</v>
      </c>
      <c r="B1206" t="s">
        <v>89</v>
      </c>
      <c r="C1206" t="s">
        <v>972</v>
      </c>
      <c r="D1206" t="s">
        <v>2490</v>
      </c>
      <c r="E1206" t="s">
        <v>4194</v>
      </c>
      <c r="F1206" t="s">
        <v>5283</v>
      </c>
      <c r="G1206" t="s">
        <v>5683</v>
      </c>
      <c r="H1206">
        <v>10312</v>
      </c>
      <c r="I1206" t="s">
        <v>5695</v>
      </c>
      <c r="J1206" t="s">
        <v>5695</v>
      </c>
      <c r="K1206" t="s">
        <v>6229</v>
      </c>
      <c r="L1206" t="s">
        <v>6712</v>
      </c>
      <c r="M1206" t="s">
        <v>6736</v>
      </c>
      <c r="O1206" t="s">
        <v>6751</v>
      </c>
      <c r="P1206" t="s">
        <v>5697</v>
      </c>
      <c r="R1206" t="s">
        <v>6793</v>
      </c>
      <c r="S1206" t="s">
        <v>6801</v>
      </c>
      <c r="U1206">
        <v>1400</v>
      </c>
      <c r="V1206" t="s">
        <v>6834</v>
      </c>
      <c r="W1206" t="s">
        <v>6839</v>
      </c>
      <c r="Y1206" t="s">
        <v>8009</v>
      </c>
      <c r="AA1206" t="s">
        <v>10051</v>
      </c>
      <c r="AB1206">
        <v>2</v>
      </c>
      <c r="AC1206" t="s">
        <v>10930</v>
      </c>
      <c r="AD1206" t="s">
        <v>5741</v>
      </c>
      <c r="AE1206">
        <v>2</v>
      </c>
      <c r="AF1206">
        <v>2</v>
      </c>
      <c r="AG1206">
        <v>0</v>
      </c>
      <c r="AH1206">
        <v>151.51</v>
      </c>
      <c r="AL1206">
        <v>25620</v>
      </c>
      <c r="AR1206">
        <v>13.2</v>
      </c>
      <c r="AS1206" t="s">
        <v>6820</v>
      </c>
      <c r="AT1206" t="s">
        <v>11177</v>
      </c>
      <c r="AV1206" t="s">
        <v>11231</v>
      </c>
      <c r="AW1206" t="s">
        <v>11151</v>
      </c>
    </row>
    <row r="1207" spans="1:49">
      <c r="A1207" s="1">
        <f>HYPERLINK("https://lsnyc.legalserver.org/matter/dynamic-profile/view/1904433","19-1904433")</f>
        <v>0</v>
      </c>
      <c r="B1207" t="s">
        <v>60</v>
      </c>
      <c r="C1207" t="s">
        <v>1034</v>
      </c>
      <c r="D1207" t="s">
        <v>2491</v>
      </c>
      <c r="E1207" t="s">
        <v>4195</v>
      </c>
      <c r="G1207" t="s">
        <v>5636</v>
      </c>
      <c r="H1207">
        <v>10306</v>
      </c>
      <c r="I1207" t="s">
        <v>5695</v>
      </c>
      <c r="J1207" t="s">
        <v>5696</v>
      </c>
      <c r="K1207" t="s">
        <v>6230</v>
      </c>
      <c r="L1207" t="s">
        <v>6712</v>
      </c>
      <c r="M1207" t="s">
        <v>6736</v>
      </c>
      <c r="O1207" t="s">
        <v>6745</v>
      </c>
      <c r="P1207" t="s">
        <v>5697</v>
      </c>
      <c r="R1207" t="s">
        <v>6793</v>
      </c>
      <c r="S1207" t="s">
        <v>6801</v>
      </c>
      <c r="T1207" t="s">
        <v>6812</v>
      </c>
      <c r="U1207">
        <v>0</v>
      </c>
      <c r="V1207" t="s">
        <v>6834</v>
      </c>
      <c r="W1207" t="s">
        <v>6842</v>
      </c>
      <c r="Y1207" t="s">
        <v>8010</v>
      </c>
      <c r="AA1207" t="s">
        <v>10052</v>
      </c>
      <c r="AB1207">
        <v>1</v>
      </c>
      <c r="AC1207" t="s">
        <v>10930</v>
      </c>
      <c r="AE1207">
        <v>15</v>
      </c>
      <c r="AF1207">
        <v>3</v>
      </c>
      <c r="AG1207">
        <v>0</v>
      </c>
      <c r="AH1207">
        <v>148.86</v>
      </c>
      <c r="AK1207" t="s">
        <v>10966</v>
      </c>
      <c r="AL1207">
        <v>31752</v>
      </c>
      <c r="AR1207">
        <v>4.1</v>
      </c>
      <c r="AS1207" t="s">
        <v>6820</v>
      </c>
      <c r="AT1207" t="s">
        <v>264</v>
      </c>
      <c r="AU1207" t="s">
        <v>11228</v>
      </c>
      <c r="AV1207" t="s">
        <v>11231</v>
      </c>
      <c r="AW1207" t="s">
        <v>6815</v>
      </c>
    </row>
    <row r="1208" spans="1:49">
      <c r="A1208" s="1">
        <f>HYPERLINK("https://lsnyc.legalserver.org/matter/dynamic-profile/view/1901035","19-1901035")</f>
        <v>0</v>
      </c>
      <c r="B1208" t="s">
        <v>55</v>
      </c>
      <c r="C1208" t="s">
        <v>420</v>
      </c>
      <c r="D1208" t="s">
        <v>1765</v>
      </c>
      <c r="E1208" t="s">
        <v>4196</v>
      </c>
      <c r="F1208" t="s">
        <v>5467</v>
      </c>
      <c r="G1208" t="s">
        <v>5638</v>
      </c>
      <c r="H1208">
        <v>10031</v>
      </c>
      <c r="I1208" t="s">
        <v>5695</v>
      </c>
      <c r="J1208" t="s">
        <v>5696</v>
      </c>
      <c r="K1208" t="s">
        <v>6231</v>
      </c>
      <c r="L1208" t="s">
        <v>6712</v>
      </c>
      <c r="M1208" t="s">
        <v>6736</v>
      </c>
      <c r="O1208" t="s">
        <v>6749</v>
      </c>
      <c r="P1208" t="s">
        <v>5697</v>
      </c>
      <c r="R1208" t="s">
        <v>6793</v>
      </c>
      <c r="U1208">
        <v>648.83</v>
      </c>
      <c r="V1208" t="s">
        <v>6836</v>
      </c>
      <c r="W1208" t="s">
        <v>6840</v>
      </c>
      <c r="Y1208" t="s">
        <v>8011</v>
      </c>
      <c r="Z1208" t="s">
        <v>9005</v>
      </c>
      <c r="AA1208" t="s">
        <v>10053</v>
      </c>
      <c r="AB1208">
        <v>0</v>
      </c>
      <c r="AC1208" t="s">
        <v>10929</v>
      </c>
      <c r="AD1208" t="s">
        <v>5741</v>
      </c>
      <c r="AE1208">
        <v>14</v>
      </c>
      <c r="AF1208">
        <v>1</v>
      </c>
      <c r="AG1208">
        <v>0</v>
      </c>
      <c r="AH1208">
        <v>81.67</v>
      </c>
      <c r="AK1208" t="s">
        <v>10967</v>
      </c>
      <c r="AL1208">
        <v>10200</v>
      </c>
      <c r="AR1208">
        <v>7.5</v>
      </c>
      <c r="AS1208" t="s">
        <v>6825</v>
      </c>
      <c r="AT1208" t="s">
        <v>305</v>
      </c>
      <c r="AU1208" t="s">
        <v>11229</v>
      </c>
      <c r="AV1208" t="s">
        <v>11231</v>
      </c>
      <c r="AW1208" t="s">
        <v>11120</v>
      </c>
    </row>
    <row r="1209" spans="1:49">
      <c r="A1209" s="1">
        <f>HYPERLINK("https://lsnyc.legalserver.org/matter/dynamic-profile/view/1905514","19-1905514")</f>
        <v>0</v>
      </c>
      <c r="B1209" t="s">
        <v>80</v>
      </c>
      <c r="C1209" t="s">
        <v>1119</v>
      </c>
      <c r="D1209" t="s">
        <v>2492</v>
      </c>
      <c r="E1209" t="s">
        <v>4197</v>
      </c>
      <c r="F1209" t="s">
        <v>5283</v>
      </c>
      <c r="G1209" t="s">
        <v>5660</v>
      </c>
      <c r="H1209">
        <v>11423</v>
      </c>
      <c r="I1209" t="s">
        <v>5695</v>
      </c>
      <c r="J1209" t="s">
        <v>5696</v>
      </c>
      <c r="K1209" t="s">
        <v>6232</v>
      </c>
      <c r="L1209" t="s">
        <v>6712</v>
      </c>
      <c r="M1209" t="s">
        <v>6736</v>
      </c>
      <c r="O1209" t="s">
        <v>6745</v>
      </c>
      <c r="P1209" t="s">
        <v>5697</v>
      </c>
      <c r="R1209" t="s">
        <v>6793</v>
      </c>
      <c r="S1209" t="s">
        <v>6801</v>
      </c>
      <c r="T1209" t="s">
        <v>6821</v>
      </c>
      <c r="U1209">
        <v>1900</v>
      </c>
      <c r="V1209" t="s">
        <v>6837</v>
      </c>
      <c r="W1209" t="s">
        <v>6843</v>
      </c>
      <c r="Y1209" t="s">
        <v>8012</v>
      </c>
      <c r="AA1209" t="s">
        <v>10054</v>
      </c>
      <c r="AB1209">
        <v>2</v>
      </c>
      <c r="AC1209" t="s">
        <v>10930</v>
      </c>
      <c r="AD1209" t="s">
        <v>5741</v>
      </c>
      <c r="AE1209">
        <v>1</v>
      </c>
      <c r="AF1209">
        <v>1</v>
      </c>
      <c r="AG1209">
        <v>1</v>
      </c>
      <c r="AH1209">
        <v>28.39</v>
      </c>
      <c r="AK1209" t="s">
        <v>10981</v>
      </c>
      <c r="AL1209">
        <v>4800</v>
      </c>
      <c r="AR1209">
        <v>4.1</v>
      </c>
      <c r="AS1209" t="s">
        <v>6821</v>
      </c>
      <c r="AT1209" t="s">
        <v>80</v>
      </c>
      <c r="AU1209" t="s">
        <v>11228</v>
      </c>
      <c r="AV1209" t="s">
        <v>11231</v>
      </c>
      <c r="AW1209" t="s">
        <v>6822</v>
      </c>
    </row>
    <row r="1210" spans="1:49">
      <c r="A1210" s="1">
        <f>HYPERLINK("https://lsnyc.legalserver.org/matter/dynamic-profile/view/1903167","19-1903167")</f>
        <v>0</v>
      </c>
      <c r="B1210" t="s">
        <v>124</v>
      </c>
      <c r="C1210" t="s">
        <v>882</v>
      </c>
      <c r="D1210" t="s">
        <v>1717</v>
      </c>
      <c r="E1210" t="s">
        <v>3294</v>
      </c>
      <c r="F1210">
        <v>13</v>
      </c>
      <c r="G1210" t="s">
        <v>5637</v>
      </c>
      <c r="H1210">
        <v>11220</v>
      </c>
      <c r="I1210" t="s">
        <v>5695</v>
      </c>
      <c r="J1210" t="s">
        <v>5696</v>
      </c>
      <c r="K1210" t="s">
        <v>6233</v>
      </c>
      <c r="L1210" t="s">
        <v>6712</v>
      </c>
      <c r="M1210" t="s">
        <v>6736</v>
      </c>
      <c r="O1210" t="s">
        <v>6746</v>
      </c>
      <c r="R1210" t="s">
        <v>6793</v>
      </c>
      <c r="T1210" t="s">
        <v>6811</v>
      </c>
      <c r="U1210">
        <v>168</v>
      </c>
      <c r="V1210" t="s">
        <v>6835</v>
      </c>
      <c r="W1210" t="s">
        <v>6840</v>
      </c>
      <c r="Y1210" t="s">
        <v>8013</v>
      </c>
      <c r="AA1210" t="s">
        <v>10055</v>
      </c>
      <c r="AB1210">
        <v>12</v>
      </c>
      <c r="AD1210" t="s">
        <v>10944</v>
      </c>
      <c r="AE1210">
        <v>0</v>
      </c>
      <c r="AF1210">
        <v>1</v>
      </c>
      <c r="AG1210">
        <v>0</v>
      </c>
      <c r="AH1210">
        <v>82.43000000000001</v>
      </c>
      <c r="AK1210" t="s">
        <v>10966</v>
      </c>
      <c r="AL1210">
        <v>10296</v>
      </c>
      <c r="AR1210">
        <v>5.8</v>
      </c>
      <c r="AS1210" t="s">
        <v>6821</v>
      </c>
      <c r="AT1210" t="s">
        <v>11178</v>
      </c>
      <c r="AU1210" t="s">
        <v>11228</v>
      </c>
      <c r="AV1210" t="s">
        <v>11231</v>
      </c>
      <c r="AW1210" t="s">
        <v>10953</v>
      </c>
    </row>
    <row r="1211" spans="1:49">
      <c r="A1211" s="1">
        <f>HYPERLINK("https://lsnyc.legalserver.org/matter/dynamic-profile/view/1898898","19-1898898")</f>
        <v>0</v>
      </c>
      <c r="B1211" t="s">
        <v>248</v>
      </c>
      <c r="C1211" t="s">
        <v>1120</v>
      </c>
      <c r="D1211" t="s">
        <v>2493</v>
      </c>
      <c r="E1211" t="s">
        <v>4198</v>
      </c>
      <c r="F1211" t="s">
        <v>5109</v>
      </c>
      <c r="G1211" t="s">
        <v>5649</v>
      </c>
      <c r="H1211">
        <v>11385</v>
      </c>
      <c r="I1211" t="s">
        <v>5697</v>
      </c>
      <c r="J1211" t="s">
        <v>5697</v>
      </c>
      <c r="K1211" t="s">
        <v>6234</v>
      </c>
      <c r="L1211" t="s">
        <v>6712</v>
      </c>
      <c r="M1211" t="s">
        <v>6736</v>
      </c>
      <c r="O1211" t="s">
        <v>6752</v>
      </c>
      <c r="P1211" t="s">
        <v>5697</v>
      </c>
      <c r="R1211" t="s">
        <v>6793</v>
      </c>
      <c r="S1211" t="s">
        <v>6801</v>
      </c>
      <c r="U1211">
        <v>944.8200000000001</v>
      </c>
      <c r="V1211" t="s">
        <v>6837</v>
      </c>
      <c r="W1211" t="s">
        <v>6844</v>
      </c>
      <c r="Y1211" t="s">
        <v>8014</v>
      </c>
      <c r="AA1211" t="s">
        <v>10056</v>
      </c>
      <c r="AB1211">
        <v>6</v>
      </c>
      <c r="AC1211" t="s">
        <v>10929</v>
      </c>
      <c r="AE1211">
        <v>11</v>
      </c>
      <c r="AF1211">
        <v>1</v>
      </c>
      <c r="AG1211">
        <v>0</v>
      </c>
      <c r="AH1211">
        <v>166.53</v>
      </c>
      <c r="AK1211" t="s">
        <v>10984</v>
      </c>
      <c r="AL1211">
        <v>20800</v>
      </c>
      <c r="AR1211">
        <v>11.5</v>
      </c>
      <c r="AS1211" t="s">
        <v>6810</v>
      </c>
      <c r="AT1211" t="s">
        <v>248</v>
      </c>
      <c r="AV1211" t="s">
        <v>11231</v>
      </c>
      <c r="AW1211" t="s">
        <v>11161</v>
      </c>
    </row>
    <row r="1212" spans="1:49">
      <c r="A1212" s="1">
        <f>HYPERLINK("https://lsnyc.legalserver.org/matter/dynamic-profile/view/1899530","19-1899530")</f>
        <v>0</v>
      </c>
      <c r="B1212" t="s">
        <v>256</v>
      </c>
      <c r="C1212" t="s">
        <v>1121</v>
      </c>
      <c r="D1212" t="s">
        <v>2494</v>
      </c>
      <c r="E1212" t="s">
        <v>4199</v>
      </c>
      <c r="G1212" t="s">
        <v>5644</v>
      </c>
      <c r="H1212">
        <v>11434</v>
      </c>
      <c r="I1212" t="s">
        <v>5696</v>
      </c>
      <c r="J1212" t="s">
        <v>5696</v>
      </c>
      <c r="K1212" t="s">
        <v>6235</v>
      </c>
      <c r="L1212" t="s">
        <v>6712</v>
      </c>
      <c r="M1212" t="s">
        <v>6736</v>
      </c>
      <c r="O1212" t="s">
        <v>6752</v>
      </c>
      <c r="P1212" t="s">
        <v>5697</v>
      </c>
      <c r="R1212" t="s">
        <v>6793</v>
      </c>
      <c r="S1212" t="s">
        <v>6801</v>
      </c>
      <c r="U1212">
        <v>0</v>
      </c>
      <c r="V1212" t="s">
        <v>6837</v>
      </c>
      <c r="Y1212" t="s">
        <v>8015</v>
      </c>
      <c r="Z1212" t="s">
        <v>9006</v>
      </c>
      <c r="AB1212">
        <v>0</v>
      </c>
      <c r="AE1212">
        <v>0</v>
      </c>
      <c r="AF1212">
        <v>1</v>
      </c>
      <c r="AG1212">
        <v>4</v>
      </c>
      <c r="AH1212">
        <v>20.68</v>
      </c>
      <c r="AL1212">
        <v>6240</v>
      </c>
      <c r="AR1212">
        <v>31.1</v>
      </c>
      <c r="AS1212" t="s">
        <v>6815</v>
      </c>
      <c r="AT1212" t="s">
        <v>59</v>
      </c>
      <c r="AV1212" t="s">
        <v>11231</v>
      </c>
      <c r="AW1212" t="s">
        <v>11158</v>
      </c>
    </row>
    <row r="1213" spans="1:49">
      <c r="A1213" s="1">
        <f>HYPERLINK("https://lsnyc.legalserver.org/matter/dynamic-profile/view/1904898","19-1904898")</f>
        <v>0</v>
      </c>
      <c r="B1213" t="s">
        <v>232</v>
      </c>
      <c r="C1213" t="s">
        <v>1122</v>
      </c>
      <c r="D1213" t="s">
        <v>2488</v>
      </c>
      <c r="E1213" t="s">
        <v>4200</v>
      </c>
      <c r="F1213" t="s">
        <v>5283</v>
      </c>
      <c r="G1213" t="s">
        <v>5657</v>
      </c>
      <c r="H1213">
        <v>11412</v>
      </c>
      <c r="I1213" t="s">
        <v>5695</v>
      </c>
      <c r="J1213" t="s">
        <v>5696</v>
      </c>
      <c r="K1213" t="s">
        <v>6236</v>
      </c>
      <c r="L1213" t="s">
        <v>6712</v>
      </c>
      <c r="M1213" t="s">
        <v>6736</v>
      </c>
      <c r="O1213" t="s">
        <v>6757</v>
      </c>
      <c r="P1213" t="s">
        <v>5697</v>
      </c>
      <c r="R1213" t="s">
        <v>6793</v>
      </c>
      <c r="S1213" t="s">
        <v>6804</v>
      </c>
      <c r="T1213" t="s">
        <v>6812</v>
      </c>
      <c r="U1213">
        <v>1488.5</v>
      </c>
      <c r="V1213" t="s">
        <v>6837</v>
      </c>
      <c r="W1213" t="s">
        <v>6846</v>
      </c>
      <c r="Y1213" t="s">
        <v>8016</v>
      </c>
      <c r="AB1213">
        <v>3</v>
      </c>
      <c r="AC1213" t="s">
        <v>10939</v>
      </c>
      <c r="AD1213" t="s">
        <v>10946</v>
      </c>
      <c r="AE1213">
        <v>2</v>
      </c>
      <c r="AF1213">
        <v>1</v>
      </c>
      <c r="AG1213">
        <v>2</v>
      </c>
      <c r="AH1213">
        <v>43.38</v>
      </c>
      <c r="AK1213" t="s">
        <v>10966</v>
      </c>
      <c r="AL1213">
        <v>9252</v>
      </c>
      <c r="AR1213">
        <v>2.6</v>
      </c>
      <c r="AS1213" t="s">
        <v>6820</v>
      </c>
      <c r="AT1213" t="s">
        <v>232</v>
      </c>
      <c r="AV1213" t="s">
        <v>11231</v>
      </c>
      <c r="AW1213" t="s">
        <v>6812</v>
      </c>
    </row>
    <row r="1214" spans="1:49">
      <c r="A1214" s="1">
        <f>HYPERLINK("https://lsnyc.legalserver.org/matter/dynamic-profile/view/1902956","19-1902956")</f>
        <v>0</v>
      </c>
      <c r="B1214" t="s">
        <v>56</v>
      </c>
      <c r="C1214" t="s">
        <v>1123</v>
      </c>
      <c r="D1214" t="s">
        <v>1251</v>
      </c>
      <c r="E1214" t="s">
        <v>4201</v>
      </c>
      <c r="F1214" t="s">
        <v>5109</v>
      </c>
      <c r="G1214" t="s">
        <v>5637</v>
      </c>
      <c r="H1214">
        <v>11221</v>
      </c>
      <c r="I1214" t="s">
        <v>5695</v>
      </c>
      <c r="J1214" t="s">
        <v>5696</v>
      </c>
      <c r="K1214" t="s">
        <v>6237</v>
      </c>
      <c r="L1214" t="s">
        <v>6712</v>
      </c>
      <c r="M1214" t="s">
        <v>6736</v>
      </c>
      <c r="O1214" t="s">
        <v>6755</v>
      </c>
      <c r="P1214" t="s">
        <v>5697</v>
      </c>
      <c r="R1214" t="s">
        <v>6793</v>
      </c>
      <c r="T1214" t="s">
        <v>6811</v>
      </c>
      <c r="U1214">
        <v>1231</v>
      </c>
      <c r="V1214" t="s">
        <v>6835</v>
      </c>
      <c r="W1214" t="s">
        <v>6854</v>
      </c>
      <c r="Y1214" t="s">
        <v>8017</v>
      </c>
      <c r="AB1214">
        <v>4</v>
      </c>
      <c r="AD1214" t="s">
        <v>10946</v>
      </c>
      <c r="AE1214">
        <v>2</v>
      </c>
      <c r="AF1214">
        <v>1</v>
      </c>
      <c r="AG1214">
        <v>0</v>
      </c>
      <c r="AH1214">
        <v>187.35</v>
      </c>
      <c r="AK1214" t="s">
        <v>10966</v>
      </c>
      <c r="AL1214">
        <v>23400</v>
      </c>
      <c r="AR1214">
        <v>11.9</v>
      </c>
      <c r="AS1214" t="s">
        <v>6812</v>
      </c>
      <c r="AT1214" t="s">
        <v>11197</v>
      </c>
      <c r="AU1214" t="s">
        <v>11228</v>
      </c>
      <c r="AV1214" t="s">
        <v>11231</v>
      </c>
      <c r="AW1214" t="s">
        <v>11138</v>
      </c>
    </row>
    <row r="1215" spans="1:49">
      <c r="A1215" s="1">
        <f>HYPERLINK("https://lsnyc.legalserver.org/matter/dynamic-profile/view/1902599","19-1902599")</f>
        <v>0</v>
      </c>
      <c r="B1215" t="s">
        <v>193</v>
      </c>
      <c r="C1215" t="s">
        <v>1110</v>
      </c>
      <c r="D1215" t="s">
        <v>1650</v>
      </c>
      <c r="E1215" t="s">
        <v>4202</v>
      </c>
      <c r="F1215" t="s">
        <v>5237</v>
      </c>
      <c r="G1215" t="s">
        <v>5635</v>
      </c>
      <c r="H1215">
        <v>10455</v>
      </c>
      <c r="I1215" t="s">
        <v>5695</v>
      </c>
      <c r="J1215" t="s">
        <v>5696</v>
      </c>
      <c r="K1215" t="s">
        <v>6238</v>
      </c>
      <c r="L1215" t="s">
        <v>6712</v>
      </c>
      <c r="M1215" t="s">
        <v>6736</v>
      </c>
      <c r="O1215" t="s">
        <v>6747</v>
      </c>
      <c r="R1215" t="s">
        <v>6793</v>
      </c>
      <c r="S1215" t="s">
        <v>6801</v>
      </c>
      <c r="U1215">
        <v>568</v>
      </c>
      <c r="V1215" t="s">
        <v>6833</v>
      </c>
      <c r="W1215" t="s">
        <v>6849</v>
      </c>
      <c r="Y1215" t="s">
        <v>8018</v>
      </c>
      <c r="AB1215">
        <v>54</v>
      </c>
      <c r="AC1215" t="s">
        <v>10929</v>
      </c>
      <c r="AD1215" t="s">
        <v>5741</v>
      </c>
      <c r="AE1215">
        <v>3</v>
      </c>
      <c r="AF1215">
        <v>3</v>
      </c>
      <c r="AG1215">
        <v>0</v>
      </c>
      <c r="AH1215">
        <v>181.51</v>
      </c>
      <c r="AK1215" t="s">
        <v>10966</v>
      </c>
      <c r="AL1215">
        <v>38717</v>
      </c>
      <c r="AR1215">
        <v>0.5</v>
      </c>
      <c r="AS1215" t="s">
        <v>11116</v>
      </c>
      <c r="AT1215" t="s">
        <v>11179</v>
      </c>
      <c r="AV1215" t="s">
        <v>11231</v>
      </c>
      <c r="AW1215" t="s">
        <v>11116</v>
      </c>
    </row>
    <row r="1216" spans="1:49">
      <c r="A1216" s="1">
        <f>HYPERLINK("https://lsnyc.legalserver.org/matter/dynamic-profile/view/1898959","19-1898959")</f>
        <v>0</v>
      </c>
      <c r="B1216" t="s">
        <v>198</v>
      </c>
      <c r="C1216" t="s">
        <v>1124</v>
      </c>
      <c r="D1216" t="s">
        <v>2495</v>
      </c>
      <c r="E1216" t="s">
        <v>4203</v>
      </c>
      <c r="F1216" t="s">
        <v>5293</v>
      </c>
      <c r="G1216" t="s">
        <v>5635</v>
      </c>
      <c r="H1216">
        <v>10469</v>
      </c>
      <c r="I1216" t="s">
        <v>5696</v>
      </c>
      <c r="J1216" t="s">
        <v>5696</v>
      </c>
      <c r="K1216" t="s">
        <v>6239</v>
      </c>
      <c r="L1216" t="s">
        <v>6712</v>
      </c>
      <c r="M1216" t="s">
        <v>6736</v>
      </c>
      <c r="O1216" t="s">
        <v>6747</v>
      </c>
      <c r="R1216" t="s">
        <v>6793</v>
      </c>
      <c r="U1216">
        <v>3500</v>
      </c>
      <c r="V1216" t="s">
        <v>6833</v>
      </c>
      <c r="W1216" t="s">
        <v>6839</v>
      </c>
      <c r="Y1216" t="s">
        <v>8019</v>
      </c>
      <c r="AB1216">
        <v>0</v>
      </c>
      <c r="AC1216" t="s">
        <v>10930</v>
      </c>
      <c r="AE1216">
        <v>3</v>
      </c>
      <c r="AF1216">
        <v>1</v>
      </c>
      <c r="AG1216">
        <v>4</v>
      </c>
      <c r="AH1216">
        <v>47.81</v>
      </c>
      <c r="AK1216" t="s">
        <v>10966</v>
      </c>
      <c r="AL1216">
        <v>14424</v>
      </c>
      <c r="AM1216" t="s">
        <v>11062</v>
      </c>
      <c r="AR1216">
        <v>0</v>
      </c>
      <c r="AT1216" t="s">
        <v>11217</v>
      </c>
      <c r="AV1216" t="s">
        <v>11231</v>
      </c>
      <c r="AW1216" t="s">
        <v>11156</v>
      </c>
    </row>
    <row r="1217" spans="1:49">
      <c r="A1217" s="1">
        <f>HYPERLINK("https://lsnyc.legalserver.org/matter/dynamic-profile/view/1903794","19-1903794")</f>
        <v>0</v>
      </c>
      <c r="B1217" t="s">
        <v>231</v>
      </c>
      <c r="C1217" t="s">
        <v>389</v>
      </c>
      <c r="D1217" t="s">
        <v>898</v>
      </c>
      <c r="E1217" t="s">
        <v>4204</v>
      </c>
      <c r="F1217" t="s">
        <v>5316</v>
      </c>
      <c r="G1217" t="s">
        <v>5637</v>
      </c>
      <c r="H1217">
        <v>11225</v>
      </c>
      <c r="I1217" t="s">
        <v>5695</v>
      </c>
      <c r="J1217" t="s">
        <v>5696</v>
      </c>
      <c r="K1217" t="s">
        <v>6240</v>
      </c>
      <c r="L1217" t="s">
        <v>6712</v>
      </c>
      <c r="M1217" t="s">
        <v>6736</v>
      </c>
      <c r="O1217" t="s">
        <v>6755</v>
      </c>
      <c r="P1217" t="s">
        <v>5697</v>
      </c>
      <c r="R1217" t="s">
        <v>6793</v>
      </c>
      <c r="U1217">
        <v>1036.29</v>
      </c>
      <c r="V1217" t="s">
        <v>6835</v>
      </c>
      <c r="W1217" t="s">
        <v>6854</v>
      </c>
      <c r="Y1217" t="s">
        <v>7968</v>
      </c>
      <c r="AB1217">
        <v>0</v>
      </c>
      <c r="AE1217">
        <v>4</v>
      </c>
      <c r="AF1217">
        <v>1</v>
      </c>
      <c r="AG1217">
        <v>0</v>
      </c>
      <c r="AH1217">
        <v>96.08</v>
      </c>
      <c r="AK1217" t="s">
        <v>10966</v>
      </c>
      <c r="AL1217">
        <v>12000</v>
      </c>
      <c r="AR1217">
        <v>0.5</v>
      </c>
      <c r="AS1217" t="s">
        <v>6821</v>
      </c>
      <c r="AT1217" t="s">
        <v>11197</v>
      </c>
      <c r="AU1217" t="s">
        <v>11228</v>
      </c>
      <c r="AV1217" t="s">
        <v>11231</v>
      </c>
      <c r="AW1217" t="s">
        <v>6807</v>
      </c>
    </row>
    <row r="1218" spans="1:49">
      <c r="A1218" s="1">
        <f>HYPERLINK("https://lsnyc.legalserver.org/matter/dynamic-profile/view/1899524","19-1899524")</f>
        <v>0</v>
      </c>
      <c r="B1218" t="s">
        <v>183</v>
      </c>
      <c r="C1218" t="s">
        <v>1125</v>
      </c>
      <c r="D1218" t="s">
        <v>356</v>
      </c>
      <c r="E1218" t="s">
        <v>4205</v>
      </c>
      <c r="F1218" t="s">
        <v>5468</v>
      </c>
      <c r="G1218" t="s">
        <v>5635</v>
      </c>
      <c r="H1218">
        <v>10467</v>
      </c>
      <c r="I1218" t="s">
        <v>5696</v>
      </c>
      <c r="J1218" t="s">
        <v>5696</v>
      </c>
      <c r="K1218" t="s">
        <v>6241</v>
      </c>
      <c r="L1218" t="s">
        <v>6712</v>
      </c>
      <c r="M1218" t="s">
        <v>6736</v>
      </c>
      <c r="O1218" t="s">
        <v>6763</v>
      </c>
      <c r="P1218" t="s">
        <v>5697</v>
      </c>
      <c r="R1218" t="s">
        <v>6793</v>
      </c>
      <c r="S1218" t="s">
        <v>6801</v>
      </c>
      <c r="U1218">
        <v>1515</v>
      </c>
      <c r="V1218" t="s">
        <v>6833</v>
      </c>
      <c r="W1218" t="s">
        <v>6840</v>
      </c>
      <c r="Y1218" t="s">
        <v>8020</v>
      </c>
      <c r="AB1218">
        <v>4</v>
      </c>
      <c r="AD1218" t="s">
        <v>10949</v>
      </c>
      <c r="AE1218">
        <v>0</v>
      </c>
      <c r="AF1218">
        <v>1</v>
      </c>
      <c r="AG1218">
        <v>2</v>
      </c>
      <c r="AH1218">
        <v>0</v>
      </c>
      <c r="AK1218" t="s">
        <v>10966</v>
      </c>
      <c r="AL1218">
        <v>0</v>
      </c>
      <c r="AR1218">
        <v>7.15</v>
      </c>
      <c r="AS1218" t="s">
        <v>6811</v>
      </c>
      <c r="AT1218" t="s">
        <v>219</v>
      </c>
      <c r="AV1218" t="s">
        <v>11231</v>
      </c>
      <c r="AW1218" t="s">
        <v>11158</v>
      </c>
    </row>
    <row r="1219" spans="1:49">
      <c r="A1219" s="1">
        <f>HYPERLINK("https://lsnyc.legalserver.org/matter/dynamic-profile/view/1905538","19-1905538")</f>
        <v>0</v>
      </c>
      <c r="B1219" t="s">
        <v>196</v>
      </c>
      <c r="C1219" t="s">
        <v>753</v>
      </c>
      <c r="D1219" t="s">
        <v>1697</v>
      </c>
      <c r="E1219" t="s">
        <v>4206</v>
      </c>
      <c r="F1219" t="s">
        <v>5130</v>
      </c>
      <c r="G1219" t="s">
        <v>5635</v>
      </c>
      <c r="H1219">
        <v>10467</v>
      </c>
      <c r="I1219" t="s">
        <v>5695</v>
      </c>
      <c r="J1219" t="s">
        <v>5696</v>
      </c>
      <c r="K1219" t="s">
        <v>6242</v>
      </c>
      <c r="L1219" t="s">
        <v>6712</v>
      </c>
      <c r="M1219" t="s">
        <v>6736</v>
      </c>
      <c r="O1219" t="s">
        <v>6747</v>
      </c>
      <c r="P1219" t="s">
        <v>5697</v>
      </c>
      <c r="R1219" t="s">
        <v>6793</v>
      </c>
      <c r="U1219">
        <v>0</v>
      </c>
      <c r="V1219" t="s">
        <v>6833</v>
      </c>
      <c r="W1219" t="s">
        <v>6841</v>
      </c>
      <c r="AB1219">
        <v>49</v>
      </c>
      <c r="AD1219" t="s">
        <v>10943</v>
      </c>
      <c r="AE1219">
        <v>0</v>
      </c>
      <c r="AF1219">
        <v>1</v>
      </c>
      <c r="AG1219">
        <v>0</v>
      </c>
      <c r="AH1219">
        <v>74.08</v>
      </c>
      <c r="AK1219" t="s">
        <v>10966</v>
      </c>
      <c r="AL1219">
        <v>9252</v>
      </c>
      <c r="AR1219">
        <v>0.2</v>
      </c>
      <c r="AS1219" t="s">
        <v>6819</v>
      </c>
      <c r="AT1219" t="s">
        <v>11187</v>
      </c>
      <c r="AU1219" t="s">
        <v>11228</v>
      </c>
      <c r="AV1219" t="s">
        <v>11231</v>
      </c>
      <c r="AW1219" t="s">
        <v>6819</v>
      </c>
    </row>
    <row r="1220" spans="1:49">
      <c r="A1220" s="1">
        <f>HYPERLINK("https://lsnyc.legalserver.org/matter/dynamic-profile/view/1903210","19-1903210")</f>
        <v>0</v>
      </c>
      <c r="B1220" t="s">
        <v>255</v>
      </c>
      <c r="C1220" t="s">
        <v>1126</v>
      </c>
      <c r="D1220" t="s">
        <v>2496</v>
      </c>
      <c r="E1220" t="s">
        <v>4207</v>
      </c>
      <c r="F1220" t="s">
        <v>5142</v>
      </c>
      <c r="G1220" t="s">
        <v>5637</v>
      </c>
      <c r="H1220">
        <v>11216</v>
      </c>
      <c r="I1220" t="s">
        <v>5695</v>
      </c>
      <c r="J1220" t="s">
        <v>5696</v>
      </c>
      <c r="K1220" t="s">
        <v>6243</v>
      </c>
      <c r="L1220" t="s">
        <v>6712</v>
      </c>
      <c r="M1220" t="s">
        <v>6736</v>
      </c>
      <c r="O1220" t="s">
        <v>6755</v>
      </c>
      <c r="P1220" t="s">
        <v>5697</v>
      </c>
      <c r="R1220" t="s">
        <v>6793</v>
      </c>
      <c r="S1220" t="s">
        <v>6801</v>
      </c>
      <c r="T1220" t="s">
        <v>6811</v>
      </c>
      <c r="U1220">
        <v>0</v>
      </c>
      <c r="V1220" t="s">
        <v>6835</v>
      </c>
      <c r="W1220" t="s">
        <v>6854</v>
      </c>
      <c r="Y1220" t="s">
        <v>8021</v>
      </c>
      <c r="AB1220">
        <v>0</v>
      </c>
      <c r="AC1220" t="s">
        <v>10929</v>
      </c>
      <c r="AE1220">
        <v>0</v>
      </c>
      <c r="AF1220">
        <v>1</v>
      </c>
      <c r="AG1220">
        <v>0</v>
      </c>
      <c r="AH1220">
        <v>160.13</v>
      </c>
      <c r="AK1220" t="s">
        <v>10966</v>
      </c>
      <c r="AL1220">
        <v>20000</v>
      </c>
      <c r="AR1220">
        <v>0.1</v>
      </c>
      <c r="AS1220" t="s">
        <v>11147</v>
      </c>
      <c r="AT1220" t="s">
        <v>11197</v>
      </c>
      <c r="AU1220" t="s">
        <v>11228</v>
      </c>
      <c r="AV1220" t="s">
        <v>11231</v>
      </c>
      <c r="AW1220" t="s">
        <v>11139</v>
      </c>
    </row>
    <row r="1221" spans="1:49">
      <c r="A1221" s="1">
        <f>HYPERLINK("https://lsnyc.legalserver.org/matter/dynamic-profile/view/1903671","19-1903671")</f>
        <v>0</v>
      </c>
      <c r="B1221" t="s">
        <v>186</v>
      </c>
      <c r="C1221" t="s">
        <v>1127</v>
      </c>
      <c r="D1221" t="s">
        <v>2497</v>
      </c>
      <c r="E1221" t="s">
        <v>4208</v>
      </c>
      <c r="F1221" t="s">
        <v>5469</v>
      </c>
      <c r="G1221" t="s">
        <v>5674</v>
      </c>
      <c r="H1221">
        <v>11373</v>
      </c>
      <c r="I1221" t="s">
        <v>5696</v>
      </c>
      <c r="J1221" t="s">
        <v>5696</v>
      </c>
      <c r="K1221" t="s">
        <v>6244</v>
      </c>
      <c r="L1221" t="s">
        <v>6712</v>
      </c>
      <c r="M1221" t="s">
        <v>6736</v>
      </c>
      <c r="O1221" t="s">
        <v>6752</v>
      </c>
      <c r="R1221" t="s">
        <v>6793</v>
      </c>
      <c r="S1221" t="s">
        <v>6801</v>
      </c>
      <c r="U1221">
        <v>0</v>
      </c>
      <c r="V1221" t="s">
        <v>6837</v>
      </c>
      <c r="W1221" t="s">
        <v>6839</v>
      </c>
      <c r="AB1221">
        <v>0</v>
      </c>
      <c r="AE1221">
        <v>0</v>
      </c>
      <c r="AF1221">
        <v>1</v>
      </c>
      <c r="AG1221">
        <v>0</v>
      </c>
      <c r="AH1221">
        <v>134.51</v>
      </c>
      <c r="AK1221" t="s">
        <v>10966</v>
      </c>
      <c r="AL1221">
        <v>16800</v>
      </c>
      <c r="AR1221">
        <v>0.9</v>
      </c>
      <c r="AS1221" t="s">
        <v>6820</v>
      </c>
      <c r="AT1221" t="s">
        <v>59</v>
      </c>
      <c r="AV1221" t="s">
        <v>11231</v>
      </c>
      <c r="AW1221" t="s">
        <v>11144</v>
      </c>
    </row>
    <row r="1222" spans="1:49">
      <c r="A1222" s="1">
        <f>HYPERLINK("https://lsnyc.legalserver.org/matter/dynamic-profile/view/1904684","19-1904684")</f>
        <v>0</v>
      </c>
      <c r="B1222" t="s">
        <v>111</v>
      </c>
      <c r="C1222" t="s">
        <v>1128</v>
      </c>
      <c r="D1222" t="s">
        <v>1739</v>
      </c>
      <c r="E1222" t="s">
        <v>4209</v>
      </c>
      <c r="F1222" t="s">
        <v>5153</v>
      </c>
      <c r="G1222" t="s">
        <v>5638</v>
      </c>
      <c r="H1222">
        <v>10040</v>
      </c>
      <c r="I1222" t="s">
        <v>5696</v>
      </c>
      <c r="J1222" t="s">
        <v>5696</v>
      </c>
      <c r="K1222" t="s">
        <v>6245</v>
      </c>
      <c r="L1222" t="s">
        <v>6712</v>
      </c>
      <c r="M1222" t="s">
        <v>6736</v>
      </c>
      <c r="O1222" t="s">
        <v>6745</v>
      </c>
      <c r="P1222" t="s">
        <v>5697</v>
      </c>
      <c r="R1222" t="s">
        <v>6793</v>
      </c>
      <c r="S1222" t="s">
        <v>6801</v>
      </c>
      <c r="U1222">
        <v>0</v>
      </c>
      <c r="V1222" t="s">
        <v>6836</v>
      </c>
      <c r="W1222" t="s">
        <v>6842</v>
      </c>
      <c r="Y1222" t="s">
        <v>8022</v>
      </c>
      <c r="AB1222">
        <v>38</v>
      </c>
      <c r="AD1222" t="s">
        <v>5741</v>
      </c>
      <c r="AE1222">
        <v>18</v>
      </c>
      <c r="AF1222">
        <v>2</v>
      </c>
      <c r="AG1222">
        <v>0</v>
      </c>
      <c r="AH1222">
        <v>30.75</v>
      </c>
      <c r="AK1222" t="s">
        <v>10985</v>
      </c>
      <c r="AL1222">
        <v>5200</v>
      </c>
      <c r="AR1222">
        <v>17.2</v>
      </c>
      <c r="AS1222" t="s">
        <v>6827</v>
      </c>
      <c r="AT1222" t="s">
        <v>11201</v>
      </c>
      <c r="AV1222" t="s">
        <v>11231</v>
      </c>
      <c r="AW1222" t="s">
        <v>6809</v>
      </c>
    </row>
    <row r="1223" spans="1:49">
      <c r="A1223" s="1">
        <f>HYPERLINK("https://lsnyc.legalserver.org/matter/dynamic-profile/view/1903054","19-1903054")</f>
        <v>0</v>
      </c>
      <c r="B1223" t="s">
        <v>183</v>
      </c>
      <c r="C1223" t="s">
        <v>1129</v>
      </c>
      <c r="D1223" t="s">
        <v>2498</v>
      </c>
      <c r="E1223" t="s">
        <v>4210</v>
      </c>
      <c r="F1223" t="s">
        <v>5158</v>
      </c>
      <c r="G1223" t="s">
        <v>5635</v>
      </c>
      <c r="H1223">
        <v>10467</v>
      </c>
      <c r="I1223" t="s">
        <v>5695</v>
      </c>
      <c r="J1223" t="s">
        <v>5696</v>
      </c>
      <c r="K1223" t="s">
        <v>6246</v>
      </c>
      <c r="L1223" t="s">
        <v>6712</v>
      </c>
      <c r="M1223" t="s">
        <v>6736</v>
      </c>
      <c r="O1223" t="s">
        <v>6763</v>
      </c>
      <c r="P1223" t="s">
        <v>5697</v>
      </c>
      <c r="R1223" t="s">
        <v>6793</v>
      </c>
      <c r="S1223" t="s">
        <v>6801</v>
      </c>
      <c r="U1223">
        <v>1383.75</v>
      </c>
      <c r="V1223" t="s">
        <v>6833</v>
      </c>
      <c r="W1223" t="s">
        <v>6839</v>
      </c>
      <c r="Y1223" t="s">
        <v>8023</v>
      </c>
      <c r="AB1223">
        <v>0</v>
      </c>
      <c r="AC1223" t="s">
        <v>8953</v>
      </c>
      <c r="AD1223" t="s">
        <v>5741</v>
      </c>
      <c r="AE1223">
        <v>4</v>
      </c>
      <c r="AF1223">
        <v>1</v>
      </c>
      <c r="AG1223">
        <v>1</v>
      </c>
      <c r="AH1223">
        <v>92.25</v>
      </c>
      <c r="AK1223" t="s">
        <v>10967</v>
      </c>
      <c r="AL1223">
        <v>15600</v>
      </c>
      <c r="AR1223">
        <v>2.35</v>
      </c>
      <c r="AS1223" t="s">
        <v>6819</v>
      </c>
      <c r="AT1223" t="s">
        <v>11222</v>
      </c>
      <c r="AU1223" t="s">
        <v>11229</v>
      </c>
      <c r="AV1223" t="s">
        <v>11231</v>
      </c>
      <c r="AW1223" t="s">
        <v>11124</v>
      </c>
    </row>
    <row r="1224" spans="1:49">
      <c r="A1224" s="1">
        <f>HYPERLINK("https://lsnyc.legalserver.org/matter/dynamic-profile/view/1896420","19-1896420")</f>
        <v>0</v>
      </c>
      <c r="B1224" t="s">
        <v>68</v>
      </c>
      <c r="C1224" t="s">
        <v>1130</v>
      </c>
      <c r="D1224" t="s">
        <v>2499</v>
      </c>
      <c r="E1224" t="s">
        <v>4211</v>
      </c>
      <c r="F1224" t="s">
        <v>5470</v>
      </c>
      <c r="G1224" t="s">
        <v>5637</v>
      </c>
      <c r="H1224">
        <v>11210</v>
      </c>
      <c r="I1224" t="s">
        <v>5696</v>
      </c>
      <c r="J1224" t="s">
        <v>5696</v>
      </c>
      <c r="K1224" t="s">
        <v>6247</v>
      </c>
      <c r="L1224" t="s">
        <v>6712</v>
      </c>
      <c r="M1224" t="s">
        <v>6736</v>
      </c>
      <c r="O1224" t="s">
        <v>6754</v>
      </c>
      <c r="P1224" t="s">
        <v>5697</v>
      </c>
      <c r="R1224" t="s">
        <v>6793</v>
      </c>
      <c r="U1224">
        <v>675</v>
      </c>
      <c r="V1224" t="s">
        <v>6835</v>
      </c>
      <c r="Y1224" t="s">
        <v>8024</v>
      </c>
      <c r="AB1224">
        <v>6</v>
      </c>
      <c r="AC1224" t="s">
        <v>8953</v>
      </c>
      <c r="AD1224" t="s">
        <v>5741</v>
      </c>
      <c r="AE1224">
        <v>40</v>
      </c>
      <c r="AF1224">
        <v>2</v>
      </c>
      <c r="AG1224">
        <v>0</v>
      </c>
      <c r="AH1224">
        <v>126.1</v>
      </c>
      <c r="AK1224" t="s">
        <v>10967</v>
      </c>
      <c r="AL1224">
        <v>21324</v>
      </c>
      <c r="AR1224">
        <v>16.25</v>
      </c>
      <c r="AS1224" t="s">
        <v>11147</v>
      </c>
      <c r="AT1224" t="s">
        <v>11189</v>
      </c>
      <c r="AV1224" t="s">
        <v>11231</v>
      </c>
      <c r="AW1224" t="s">
        <v>11164</v>
      </c>
    </row>
    <row r="1225" spans="1:49">
      <c r="A1225" s="1">
        <f>HYPERLINK("https://lsnyc.legalserver.org/matter/dynamic-profile/view/1899850","19-1899850")</f>
        <v>0</v>
      </c>
      <c r="B1225" t="s">
        <v>211</v>
      </c>
      <c r="C1225" t="s">
        <v>1064</v>
      </c>
      <c r="D1225" t="s">
        <v>1864</v>
      </c>
      <c r="E1225" t="s">
        <v>4021</v>
      </c>
      <c r="F1225" t="s">
        <v>5117</v>
      </c>
      <c r="G1225" t="s">
        <v>5635</v>
      </c>
      <c r="H1225">
        <v>10455</v>
      </c>
      <c r="I1225" t="s">
        <v>5695</v>
      </c>
      <c r="J1225" t="s">
        <v>5696</v>
      </c>
      <c r="L1225" t="s">
        <v>6713</v>
      </c>
      <c r="M1225" t="s">
        <v>6736</v>
      </c>
      <c r="O1225" t="s">
        <v>6745</v>
      </c>
      <c r="P1225" t="s">
        <v>5695</v>
      </c>
      <c r="R1225" t="s">
        <v>6793</v>
      </c>
      <c r="U1225">
        <v>1779</v>
      </c>
      <c r="V1225" t="s">
        <v>6833</v>
      </c>
      <c r="W1225" t="s">
        <v>6838</v>
      </c>
      <c r="Y1225" t="s">
        <v>7897</v>
      </c>
      <c r="AA1225" t="s">
        <v>9938</v>
      </c>
      <c r="AB1225">
        <v>99</v>
      </c>
      <c r="AC1225" t="s">
        <v>10929</v>
      </c>
      <c r="AD1225" t="s">
        <v>10949</v>
      </c>
      <c r="AE1225">
        <v>2</v>
      </c>
      <c r="AF1225">
        <v>1</v>
      </c>
      <c r="AG1225">
        <v>4</v>
      </c>
      <c r="AH1225">
        <v>120.65</v>
      </c>
      <c r="AK1225" t="s">
        <v>10966</v>
      </c>
      <c r="AL1225">
        <v>36400</v>
      </c>
      <c r="AR1225">
        <v>0.1</v>
      </c>
      <c r="AS1225" t="s">
        <v>6816</v>
      </c>
      <c r="AT1225" t="s">
        <v>11196</v>
      </c>
      <c r="AV1225" t="s">
        <v>11231</v>
      </c>
      <c r="AW1225" t="s">
        <v>11132</v>
      </c>
    </row>
    <row r="1226" spans="1:49">
      <c r="A1226" s="1">
        <f>HYPERLINK("https://lsnyc.legalserver.org/matter/dynamic-profile/view/1904483","19-1904483")</f>
        <v>0</v>
      </c>
      <c r="B1226" t="s">
        <v>254</v>
      </c>
      <c r="C1226" t="s">
        <v>1131</v>
      </c>
      <c r="D1226" t="s">
        <v>2500</v>
      </c>
      <c r="E1226" t="s">
        <v>3875</v>
      </c>
      <c r="F1226" t="s">
        <v>5162</v>
      </c>
      <c r="G1226" t="s">
        <v>5635</v>
      </c>
      <c r="H1226">
        <v>10470</v>
      </c>
      <c r="I1226" t="s">
        <v>5695</v>
      </c>
      <c r="J1226" t="s">
        <v>5696</v>
      </c>
      <c r="L1226" t="s">
        <v>6713</v>
      </c>
      <c r="M1226" t="s">
        <v>6736</v>
      </c>
      <c r="O1226" t="s">
        <v>6745</v>
      </c>
      <c r="P1226" t="s">
        <v>5695</v>
      </c>
      <c r="R1226" t="s">
        <v>6793</v>
      </c>
      <c r="U1226">
        <v>1107.88</v>
      </c>
      <c r="V1226" t="s">
        <v>6833</v>
      </c>
      <c r="W1226" t="s">
        <v>6838</v>
      </c>
      <c r="Y1226" t="s">
        <v>8025</v>
      </c>
      <c r="AA1226" t="s">
        <v>10057</v>
      </c>
      <c r="AB1226">
        <v>63</v>
      </c>
      <c r="AC1226" t="s">
        <v>8953</v>
      </c>
      <c r="AD1226" t="s">
        <v>10945</v>
      </c>
      <c r="AE1226">
        <v>20</v>
      </c>
      <c r="AF1226">
        <v>1</v>
      </c>
      <c r="AG1226">
        <v>0</v>
      </c>
      <c r="AH1226">
        <v>106.44</v>
      </c>
      <c r="AL1226">
        <v>13294.56</v>
      </c>
      <c r="AR1226">
        <v>0</v>
      </c>
      <c r="AT1226" t="s">
        <v>11176</v>
      </c>
      <c r="AU1226" t="s">
        <v>11228</v>
      </c>
      <c r="AV1226" t="s">
        <v>11231</v>
      </c>
      <c r="AW1226" t="s">
        <v>6810</v>
      </c>
    </row>
    <row r="1227" spans="1:49">
      <c r="A1227" s="1">
        <f>HYPERLINK("https://lsnyc.legalserver.org/matter/dynamic-profile/view/1903749","19-1903749")</f>
        <v>0</v>
      </c>
      <c r="B1227" t="s">
        <v>267</v>
      </c>
      <c r="C1227" t="s">
        <v>482</v>
      </c>
      <c r="D1227" t="s">
        <v>2501</v>
      </c>
      <c r="E1227" t="s">
        <v>4212</v>
      </c>
      <c r="F1227" t="s">
        <v>5101</v>
      </c>
      <c r="G1227" t="s">
        <v>5637</v>
      </c>
      <c r="H1227">
        <v>11220</v>
      </c>
      <c r="I1227" t="s">
        <v>5695</v>
      </c>
      <c r="J1227" t="s">
        <v>5696</v>
      </c>
      <c r="L1227" t="s">
        <v>6713</v>
      </c>
      <c r="M1227" t="s">
        <v>6736</v>
      </c>
      <c r="O1227" t="s">
        <v>6745</v>
      </c>
      <c r="P1227" t="s">
        <v>5695</v>
      </c>
      <c r="R1227" t="s">
        <v>6793</v>
      </c>
      <c r="T1227" t="s">
        <v>6811</v>
      </c>
      <c r="U1227">
        <v>1375</v>
      </c>
      <c r="V1227" t="s">
        <v>6835</v>
      </c>
      <c r="Y1227" t="s">
        <v>8026</v>
      </c>
      <c r="AA1227" t="s">
        <v>10058</v>
      </c>
      <c r="AB1227">
        <v>0</v>
      </c>
      <c r="AE1227">
        <v>16</v>
      </c>
      <c r="AF1227">
        <v>2</v>
      </c>
      <c r="AG1227">
        <v>0</v>
      </c>
      <c r="AH1227">
        <v>99.34999999999999</v>
      </c>
      <c r="AK1227" t="s">
        <v>10966</v>
      </c>
      <c r="AL1227">
        <v>16800</v>
      </c>
      <c r="AR1227">
        <v>0.7</v>
      </c>
      <c r="AS1227" t="s">
        <v>6818</v>
      </c>
      <c r="AT1227" t="s">
        <v>278</v>
      </c>
      <c r="AU1227" t="s">
        <v>11228</v>
      </c>
      <c r="AV1227" t="s">
        <v>11231</v>
      </c>
      <c r="AW1227" t="s">
        <v>6811</v>
      </c>
    </row>
    <row r="1228" spans="1:49">
      <c r="A1228" s="1">
        <f>HYPERLINK("https://lsnyc.legalserver.org/matter/dynamic-profile/view/1905515","19-1905515")</f>
        <v>0</v>
      </c>
      <c r="B1228" t="s">
        <v>64</v>
      </c>
      <c r="C1228" t="s">
        <v>1132</v>
      </c>
      <c r="D1228" t="s">
        <v>1649</v>
      </c>
      <c r="E1228" t="s">
        <v>4213</v>
      </c>
      <c r="F1228" t="s">
        <v>5471</v>
      </c>
      <c r="G1228" t="s">
        <v>5635</v>
      </c>
      <c r="H1228">
        <v>10452</v>
      </c>
      <c r="I1228" t="s">
        <v>5696</v>
      </c>
      <c r="J1228" t="s">
        <v>5696</v>
      </c>
      <c r="K1228" t="s">
        <v>6248</v>
      </c>
      <c r="L1228" t="s">
        <v>6713</v>
      </c>
      <c r="M1228" t="s">
        <v>6736</v>
      </c>
      <c r="O1228" t="s">
        <v>6745</v>
      </c>
      <c r="P1228" t="s">
        <v>5697</v>
      </c>
      <c r="R1228" t="s">
        <v>6793</v>
      </c>
      <c r="U1228">
        <v>1078.15</v>
      </c>
      <c r="V1228" t="s">
        <v>6833</v>
      </c>
      <c r="W1228" t="s">
        <v>6838</v>
      </c>
      <c r="Y1228" t="s">
        <v>8027</v>
      </c>
      <c r="AA1228" t="s">
        <v>10059</v>
      </c>
      <c r="AB1228">
        <v>59</v>
      </c>
      <c r="AC1228" t="s">
        <v>10929</v>
      </c>
      <c r="AE1228">
        <v>30</v>
      </c>
      <c r="AF1228">
        <v>1</v>
      </c>
      <c r="AG1228">
        <v>1</v>
      </c>
      <c r="AH1228">
        <v>71.59999999999999</v>
      </c>
      <c r="AK1228" t="s">
        <v>10966</v>
      </c>
      <c r="AL1228">
        <v>12108</v>
      </c>
      <c r="AR1228">
        <v>2.6</v>
      </c>
      <c r="AS1228" t="s">
        <v>6808</v>
      </c>
      <c r="AT1228" t="s">
        <v>64</v>
      </c>
      <c r="AV1228" t="s">
        <v>11231</v>
      </c>
      <c r="AW1228" t="s">
        <v>6822</v>
      </c>
    </row>
    <row r="1229" spans="1:49">
      <c r="A1229" s="1">
        <f>HYPERLINK("https://lsnyc.legalserver.org/matter/dynamic-profile/view/1904486","19-1904486")</f>
        <v>0</v>
      </c>
      <c r="B1229" t="s">
        <v>254</v>
      </c>
      <c r="C1229" t="s">
        <v>1133</v>
      </c>
      <c r="D1229" t="s">
        <v>2502</v>
      </c>
      <c r="E1229" t="s">
        <v>3875</v>
      </c>
      <c r="F1229" t="s">
        <v>5154</v>
      </c>
      <c r="G1229" t="s">
        <v>5635</v>
      </c>
      <c r="H1229">
        <v>10470</v>
      </c>
      <c r="I1229" t="s">
        <v>5695</v>
      </c>
      <c r="J1229" t="s">
        <v>5696</v>
      </c>
      <c r="L1229" t="s">
        <v>6713</v>
      </c>
      <c r="M1229" t="s">
        <v>6736</v>
      </c>
      <c r="O1229" t="s">
        <v>6745</v>
      </c>
      <c r="P1229" t="s">
        <v>5695</v>
      </c>
      <c r="R1229" t="s">
        <v>6793</v>
      </c>
      <c r="U1229">
        <v>1450</v>
      </c>
      <c r="V1229" t="s">
        <v>6833</v>
      </c>
      <c r="W1229" t="s">
        <v>6838</v>
      </c>
      <c r="Y1229" t="s">
        <v>8028</v>
      </c>
      <c r="AA1229" t="s">
        <v>10060</v>
      </c>
      <c r="AB1229">
        <v>63</v>
      </c>
      <c r="AC1229" t="s">
        <v>10934</v>
      </c>
      <c r="AD1229" t="s">
        <v>10944</v>
      </c>
      <c r="AE1229">
        <v>16</v>
      </c>
      <c r="AF1229">
        <v>1</v>
      </c>
      <c r="AG1229">
        <v>0</v>
      </c>
      <c r="AH1229">
        <v>104.22</v>
      </c>
      <c r="AK1229" t="s">
        <v>10966</v>
      </c>
      <c r="AL1229">
        <v>13017.6</v>
      </c>
      <c r="AR1229">
        <v>0</v>
      </c>
      <c r="AT1229" t="s">
        <v>11176</v>
      </c>
      <c r="AU1229" t="s">
        <v>11228</v>
      </c>
      <c r="AV1229" t="s">
        <v>11231</v>
      </c>
      <c r="AW1229" t="s">
        <v>6810</v>
      </c>
    </row>
    <row r="1230" spans="1:49">
      <c r="A1230" s="1">
        <f>HYPERLINK("https://lsnyc.legalserver.org/matter/dynamic-profile/view/1904489","19-1904489")</f>
        <v>0</v>
      </c>
      <c r="B1230" t="s">
        <v>254</v>
      </c>
      <c r="C1230" t="s">
        <v>1134</v>
      </c>
      <c r="D1230" t="s">
        <v>2503</v>
      </c>
      <c r="E1230" t="s">
        <v>3875</v>
      </c>
      <c r="F1230" t="s">
        <v>5328</v>
      </c>
      <c r="G1230" t="s">
        <v>5635</v>
      </c>
      <c r="H1230">
        <v>10470</v>
      </c>
      <c r="I1230" t="s">
        <v>5695</v>
      </c>
      <c r="J1230" t="s">
        <v>5696</v>
      </c>
      <c r="L1230" t="s">
        <v>6713</v>
      </c>
      <c r="M1230" t="s">
        <v>6736</v>
      </c>
      <c r="O1230" t="s">
        <v>6745</v>
      </c>
      <c r="P1230" t="s">
        <v>5695</v>
      </c>
      <c r="R1230" t="s">
        <v>6793</v>
      </c>
      <c r="U1230">
        <v>806.16</v>
      </c>
      <c r="V1230" t="s">
        <v>6833</v>
      </c>
      <c r="W1230" t="s">
        <v>6838</v>
      </c>
      <c r="Y1230" t="s">
        <v>8029</v>
      </c>
      <c r="AA1230" t="s">
        <v>10061</v>
      </c>
      <c r="AB1230">
        <v>63</v>
      </c>
      <c r="AC1230" t="s">
        <v>10929</v>
      </c>
      <c r="AD1230" t="s">
        <v>5741</v>
      </c>
      <c r="AE1230">
        <v>44</v>
      </c>
      <c r="AF1230">
        <v>2</v>
      </c>
      <c r="AG1230">
        <v>0</v>
      </c>
      <c r="AH1230">
        <v>99.51000000000001</v>
      </c>
      <c r="AK1230" t="s">
        <v>10966</v>
      </c>
      <c r="AL1230">
        <v>16826.4</v>
      </c>
      <c r="AR1230">
        <v>0</v>
      </c>
      <c r="AT1230" t="s">
        <v>11176</v>
      </c>
      <c r="AU1230" t="s">
        <v>11228</v>
      </c>
      <c r="AV1230" t="s">
        <v>11231</v>
      </c>
      <c r="AW1230" t="s">
        <v>6810</v>
      </c>
    </row>
    <row r="1231" spans="1:49">
      <c r="A1231" s="1">
        <f>HYPERLINK("https://lsnyc.legalserver.org/matter/dynamic-profile/view/1902055","19-1902055")</f>
        <v>0</v>
      </c>
      <c r="B1231" t="s">
        <v>108</v>
      </c>
      <c r="C1231" t="s">
        <v>763</v>
      </c>
      <c r="D1231" t="s">
        <v>480</v>
      </c>
      <c r="E1231" t="s">
        <v>4214</v>
      </c>
      <c r="F1231" t="s">
        <v>5301</v>
      </c>
      <c r="G1231" t="s">
        <v>5635</v>
      </c>
      <c r="H1231">
        <v>10472</v>
      </c>
      <c r="I1231" t="s">
        <v>5695</v>
      </c>
      <c r="J1231" t="s">
        <v>5696</v>
      </c>
      <c r="L1231" t="s">
        <v>6713</v>
      </c>
      <c r="M1231" t="s">
        <v>6736</v>
      </c>
      <c r="O1231" t="s">
        <v>6747</v>
      </c>
      <c r="P1231" t="s">
        <v>5697</v>
      </c>
      <c r="R1231" t="s">
        <v>6794</v>
      </c>
      <c r="S1231" t="s">
        <v>6801</v>
      </c>
      <c r="U1231">
        <v>1000</v>
      </c>
      <c r="V1231" t="s">
        <v>6833</v>
      </c>
      <c r="W1231" t="s">
        <v>6852</v>
      </c>
      <c r="Y1231" t="s">
        <v>8030</v>
      </c>
      <c r="AA1231" t="s">
        <v>10062</v>
      </c>
      <c r="AB1231">
        <v>0</v>
      </c>
      <c r="AC1231" t="s">
        <v>10931</v>
      </c>
      <c r="AD1231" t="s">
        <v>5741</v>
      </c>
      <c r="AE1231">
        <v>40</v>
      </c>
      <c r="AF1231">
        <v>1</v>
      </c>
      <c r="AG1231">
        <v>0</v>
      </c>
      <c r="AH1231">
        <v>324.74</v>
      </c>
      <c r="AK1231" t="s">
        <v>10966</v>
      </c>
      <c r="AL1231">
        <v>40560</v>
      </c>
      <c r="AR1231">
        <v>0.5</v>
      </c>
      <c r="AS1231" t="s">
        <v>10953</v>
      </c>
      <c r="AT1231" t="s">
        <v>108</v>
      </c>
      <c r="AU1231" t="s">
        <v>11228</v>
      </c>
      <c r="AV1231" t="s">
        <v>11231</v>
      </c>
      <c r="AW1231" t="s">
        <v>11161</v>
      </c>
    </row>
    <row r="1232" spans="1:49">
      <c r="A1232" s="1">
        <f>HYPERLINK("https://lsnyc.legalserver.org/matter/dynamic-profile/view/1904499","19-1904499")</f>
        <v>0</v>
      </c>
      <c r="B1232" t="s">
        <v>254</v>
      </c>
      <c r="C1232" t="s">
        <v>941</v>
      </c>
      <c r="D1232" t="s">
        <v>1846</v>
      </c>
      <c r="E1232" t="s">
        <v>4215</v>
      </c>
      <c r="F1232" t="s">
        <v>5154</v>
      </c>
      <c r="G1232" t="s">
        <v>5635</v>
      </c>
      <c r="H1232">
        <v>10470</v>
      </c>
      <c r="I1232" t="s">
        <v>5695</v>
      </c>
      <c r="J1232" t="s">
        <v>5696</v>
      </c>
      <c r="L1232" t="s">
        <v>6713</v>
      </c>
      <c r="M1232" t="s">
        <v>6736</v>
      </c>
      <c r="O1232" t="s">
        <v>6745</v>
      </c>
      <c r="P1232" t="s">
        <v>5695</v>
      </c>
      <c r="R1232" t="s">
        <v>6793</v>
      </c>
      <c r="U1232">
        <v>1402.5</v>
      </c>
      <c r="V1232" t="s">
        <v>6833</v>
      </c>
      <c r="W1232" t="s">
        <v>6838</v>
      </c>
      <c r="Y1232" t="s">
        <v>8031</v>
      </c>
      <c r="AA1232" t="s">
        <v>10063</v>
      </c>
      <c r="AB1232">
        <v>63</v>
      </c>
      <c r="AC1232" t="s">
        <v>10929</v>
      </c>
      <c r="AD1232" t="s">
        <v>5741</v>
      </c>
      <c r="AE1232">
        <v>3</v>
      </c>
      <c r="AF1232">
        <v>1</v>
      </c>
      <c r="AG1232">
        <v>0</v>
      </c>
      <c r="AH1232">
        <v>624.5</v>
      </c>
      <c r="AK1232" t="s">
        <v>10966</v>
      </c>
      <c r="AL1232">
        <v>78000</v>
      </c>
      <c r="AR1232">
        <v>0</v>
      </c>
      <c r="AT1232" t="s">
        <v>11176</v>
      </c>
      <c r="AU1232" t="s">
        <v>11228</v>
      </c>
      <c r="AV1232" t="s">
        <v>11231</v>
      </c>
      <c r="AW1232" t="s">
        <v>6810</v>
      </c>
    </row>
    <row r="1233" spans="1:49">
      <c r="A1233" s="1">
        <f>HYPERLINK("https://lsnyc.legalserver.org/matter/dynamic-profile/view/1901015","19-1901015")</f>
        <v>0</v>
      </c>
      <c r="B1233" t="s">
        <v>211</v>
      </c>
      <c r="C1233" t="s">
        <v>926</v>
      </c>
      <c r="D1233" t="s">
        <v>2417</v>
      </c>
      <c r="E1233" t="s">
        <v>4021</v>
      </c>
      <c r="F1233" t="s">
        <v>5445</v>
      </c>
      <c r="G1233" t="s">
        <v>5635</v>
      </c>
      <c r="H1233">
        <v>10455</v>
      </c>
      <c r="I1233" t="s">
        <v>5695</v>
      </c>
      <c r="J1233" t="s">
        <v>5696</v>
      </c>
      <c r="L1233" t="s">
        <v>6713</v>
      </c>
      <c r="M1233" t="s">
        <v>6736</v>
      </c>
      <c r="O1233" t="s">
        <v>6745</v>
      </c>
      <c r="R1233" t="s">
        <v>6793</v>
      </c>
      <c r="U1233">
        <v>1421</v>
      </c>
      <c r="V1233" t="s">
        <v>6833</v>
      </c>
      <c r="Y1233" t="s">
        <v>7901</v>
      </c>
      <c r="AA1233" t="s">
        <v>9942</v>
      </c>
      <c r="AB1233">
        <v>49</v>
      </c>
      <c r="AC1233" t="s">
        <v>10929</v>
      </c>
      <c r="AD1233" t="s">
        <v>5741</v>
      </c>
      <c r="AE1233">
        <v>5</v>
      </c>
      <c r="AF1233">
        <v>2</v>
      </c>
      <c r="AG1233">
        <v>0</v>
      </c>
      <c r="AH1233">
        <v>0</v>
      </c>
      <c r="AK1233" t="s">
        <v>10967</v>
      </c>
      <c r="AL1233">
        <v>0</v>
      </c>
      <c r="AR1233">
        <v>0</v>
      </c>
      <c r="AT1233" t="s">
        <v>93</v>
      </c>
      <c r="AU1233" t="s">
        <v>11228</v>
      </c>
      <c r="AV1233" t="s">
        <v>11231</v>
      </c>
      <c r="AW1233" t="s">
        <v>11120</v>
      </c>
    </row>
    <row r="1234" spans="1:49">
      <c r="A1234" s="1">
        <f>HYPERLINK("https://lsnyc.legalserver.org/matter/dynamic-profile/view/1901139","19-1901139")</f>
        <v>0</v>
      </c>
      <c r="B1234" t="s">
        <v>184</v>
      </c>
      <c r="C1234" t="s">
        <v>1135</v>
      </c>
      <c r="D1234" t="s">
        <v>2315</v>
      </c>
      <c r="E1234" t="s">
        <v>4216</v>
      </c>
      <c r="F1234" t="s">
        <v>5190</v>
      </c>
      <c r="G1234" t="s">
        <v>5646</v>
      </c>
      <c r="H1234">
        <v>11354</v>
      </c>
      <c r="I1234" t="s">
        <v>5696</v>
      </c>
      <c r="J1234" t="s">
        <v>5696</v>
      </c>
      <c r="K1234" t="s">
        <v>6249</v>
      </c>
      <c r="L1234" t="s">
        <v>6713</v>
      </c>
      <c r="M1234" t="s">
        <v>6736</v>
      </c>
      <c r="O1234" t="s">
        <v>6745</v>
      </c>
      <c r="R1234" t="s">
        <v>6793</v>
      </c>
      <c r="S1234" t="s">
        <v>6801</v>
      </c>
      <c r="U1234">
        <v>1664.64</v>
      </c>
      <c r="V1234" t="s">
        <v>6837</v>
      </c>
      <c r="W1234" t="s">
        <v>6838</v>
      </c>
      <c r="Y1234" t="s">
        <v>8032</v>
      </c>
      <c r="Z1234" t="s">
        <v>9007</v>
      </c>
      <c r="AA1234" t="s">
        <v>10064</v>
      </c>
      <c r="AB1234">
        <v>72</v>
      </c>
      <c r="AD1234" t="s">
        <v>5741</v>
      </c>
      <c r="AE1234">
        <v>11</v>
      </c>
      <c r="AF1234">
        <v>3</v>
      </c>
      <c r="AG1234">
        <v>0</v>
      </c>
      <c r="AH1234">
        <v>131.27</v>
      </c>
      <c r="AK1234" t="s">
        <v>10982</v>
      </c>
      <c r="AL1234">
        <v>28000</v>
      </c>
      <c r="AR1234">
        <v>3.4</v>
      </c>
      <c r="AS1234" t="s">
        <v>11174</v>
      </c>
      <c r="AT1234" t="s">
        <v>225</v>
      </c>
      <c r="AV1234" t="s">
        <v>11231</v>
      </c>
      <c r="AW1234" t="s">
        <v>11143</v>
      </c>
    </row>
    <row r="1235" spans="1:49">
      <c r="A1235" s="1">
        <f>HYPERLINK("https://lsnyc.legalserver.org/matter/dynamic-profile/view/1903642","19-1903642")</f>
        <v>0</v>
      </c>
      <c r="B1235" t="s">
        <v>267</v>
      </c>
      <c r="C1235" t="s">
        <v>1136</v>
      </c>
      <c r="D1235" t="s">
        <v>1693</v>
      </c>
      <c r="E1235" t="s">
        <v>4212</v>
      </c>
      <c r="F1235" t="s">
        <v>5105</v>
      </c>
      <c r="G1235" t="s">
        <v>5637</v>
      </c>
      <c r="H1235">
        <v>11220</v>
      </c>
      <c r="I1235" t="s">
        <v>5695</v>
      </c>
      <c r="J1235" t="s">
        <v>5696</v>
      </c>
      <c r="L1235" t="s">
        <v>6713</v>
      </c>
      <c r="M1235" t="s">
        <v>6736</v>
      </c>
      <c r="O1235" t="s">
        <v>6745</v>
      </c>
      <c r="P1235" t="s">
        <v>5695</v>
      </c>
      <c r="R1235" t="s">
        <v>6793</v>
      </c>
      <c r="T1235" t="s">
        <v>6811</v>
      </c>
      <c r="U1235">
        <v>745</v>
      </c>
      <c r="V1235" t="s">
        <v>6835</v>
      </c>
      <c r="Y1235" t="s">
        <v>8029</v>
      </c>
      <c r="AA1235" t="s">
        <v>10065</v>
      </c>
      <c r="AB1235">
        <v>0</v>
      </c>
      <c r="AE1235">
        <v>40</v>
      </c>
      <c r="AF1235">
        <v>3</v>
      </c>
      <c r="AG1235">
        <v>3</v>
      </c>
      <c r="AH1235">
        <v>120.73</v>
      </c>
      <c r="AK1235" t="s">
        <v>10966</v>
      </c>
      <c r="AL1235">
        <v>41760</v>
      </c>
      <c r="AR1235">
        <v>0</v>
      </c>
      <c r="AT1235" t="s">
        <v>278</v>
      </c>
      <c r="AU1235" t="s">
        <v>11228</v>
      </c>
      <c r="AV1235" t="s">
        <v>11231</v>
      </c>
      <c r="AW1235" t="s">
        <v>6811</v>
      </c>
    </row>
    <row r="1236" spans="1:49">
      <c r="A1236" s="1">
        <f>HYPERLINK("https://lsnyc.legalserver.org/matter/dynamic-profile/view/1905630","19-1905630")</f>
        <v>0</v>
      </c>
      <c r="B1236" t="s">
        <v>268</v>
      </c>
      <c r="C1236" t="s">
        <v>1137</v>
      </c>
      <c r="D1236" t="s">
        <v>1757</v>
      </c>
      <c r="E1236" t="s">
        <v>4095</v>
      </c>
      <c r="F1236" t="s">
        <v>5273</v>
      </c>
      <c r="G1236" t="s">
        <v>5637</v>
      </c>
      <c r="H1236">
        <v>11226</v>
      </c>
      <c r="I1236" t="s">
        <v>5695</v>
      </c>
      <c r="J1236" t="s">
        <v>5696</v>
      </c>
      <c r="L1236" t="s">
        <v>6713</v>
      </c>
      <c r="M1236" t="s">
        <v>6736</v>
      </c>
      <c r="O1236" t="s">
        <v>6745</v>
      </c>
      <c r="P1236" t="s">
        <v>5695</v>
      </c>
      <c r="R1236" t="s">
        <v>6793</v>
      </c>
      <c r="T1236" t="s">
        <v>6832</v>
      </c>
      <c r="U1236">
        <v>1165.29</v>
      </c>
      <c r="V1236" t="s">
        <v>6835</v>
      </c>
      <c r="Y1236" t="s">
        <v>8033</v>
      </c>
      <c r="AA1236" t="s">
        <v>10066</v>
      </c>
      <c r="AB1236">
        <v>0</v>
      </c>
      <c r="AE1236">
        <v>19</v>
      </c>
      <c r="AF1236">
        <v>2</v>
      </c>
      <c r="AG1236">
        <v>0</v>
      </c>
      <c r="AH1236">
        <v>177.41</v>
      </c>
      <c r="AK1236" t="s">
        <v>10967</v>
      </c>
      <c r="AL1236">
        <v>30000</v>
      </c>
      <c r="AR1236">
        <v>0.2</v>
      </c>
      <c r="AS1236" t="s">
        <v>6821</v>
      </c>
      <c r="AT1236" t="s">
        <v>278</v>
      </c>
      <c r="AU1236" t="s">
        <v>11228</v>
      </c>
      <c r="AV1236" t="s">
        <v>11231</v>
      </c>
      <c r="AW1236" t="s">
        <v>6819</v>
      </c>
    </row>
    <row r="1237" spans="1:49">
      <c r="A1237" s="1">
        <f>HYPERLINK("https://lsnyc.legalserver.org/matter/dynamic-profile/view/1904484","19-1904484")</f>
        <v>0</v>
      </c>
      <c r="B1237" t="s">
        <v>254</v>
      </c>
      <c r="C1237" t="s">
        <v>1138</v>
      </c>
      <c r="D1237" t="s">
        <v>1887</v>
      </c>
      <c r="E1237" t="s">
        <v>3875</v>
      </c>
      <c r="F1237" t="s">
        <v>5100</v>
      </c>
      <c r="G1237" t="s">
        <v>5635</v>
      </c>
      <c r="H1237">
        <v>10470</v>
      </c>
      <c r="I1237" t="s">
        <v>5697</v>
      </c>
      <c r="J1237" t="s">
        <v>5696</v>
      </c>
      <c r="L1237" t="s">
        <v>6713</v>
      </c>
      <c r="M1237" t="s">
        <v>6736</v>
      </c>
      <c r="O1237" t="s">
        <v>6745</v>
      </c>
      <c r="P1237" t="s">
        <v>5697</v>
      </c>
      <c r="R1237" t="s">
        <v>6793</v>
      </c>
      <c r="U1237">
        <v>966.6</v>
      </c>
      <c r="V1237" t="s">
        <v>6833</v>
      </c>
      <c r="W1237" t="s">
        <v>6838</v>
      </c>
      <c r="Y1237" t="s">
        <v>8034</v>
      </c>
      <c r="AA1237" t="s">
        <v>10067</v>
      </c>
      <c r="AB1237">
        <v>63</v>
      </c>
      <c r="AC1237" t="s">
        <v>10929</v>
      </c>
      <c r="AD1237" t="s">
        <v>5741</v>
      </c>
      <c r="AE1237">
        <v>10</v>
      </c>
      <c r="AF1237">
        <v>2</v>
      </c>
      <c r="AG1237">
        <v>0</v>
      </c>
      <c r="AH1237">
        <v>331.28</v>
      </c>
      <c r="AK1237" t="s">
        <v>10966</v>
      </c>
      <c r="AL1237">
        <v>56020</v>
      </c>
      <c r="AR1237">
        <v>11.5</v>
      </c>
      <c r="AS1237" t="s">
        <v>6819</v>
      </c>
      <c r="AT1237" t="s">
        <v>11176</v>
      </c>
      <c r="AU1237" t="s">
        <v>11228</v>
      </c>
      <c r="AV1237" t="s">
        <v>11231</v>
      </c>
      <c r="AW1237" t="s">
        <v>6810</v>
      </c>
    </row>
    <row r="1238" spans="1:49">
      <c r="A1238" s="1">
        <f>HYPERLINK("https://lsnyc.legalserver.org/matter/dynamic-profile/view/1899040","19-1899040")</f>
        <v>0</v>
      </c>
      <c r="B1238" t="s">
        <v>193</v>
      </c>
      <c r="C1238" t="s">
        <v>625</v>
      </c>
      <c r="D1238" t="s">
        <v>2504</v>
      </c>
      <c r="E1238" t="s">
        <v>4217</v>
      </c>
      <c r="F1238" t="s">
        <v>5139</v>
      </c>
      <c r="G1238" t="s">
        <v>5635</v>
      </c>
      <c r="H1238">
        <v>10451</v>
      </c>
      <c r="I1238" t="s">
        <v>5696</v>
      </c>
      <c r="J1238" t="s">
        <v>5696</v>
      </c>
      <c r="K1238" t="s">
        <v>6250</v>
      </c>
      <c r="L1238" t="s">
        <v>6713</v>
      </c>
      <c r="M1238" t="s">
        <v>6736</v>
      </c>
      <c r="O1238" t="s">
        <v>6770</v>
      </c>
      <c r="R1238" t="s">
        <v>6793</v>
      </c>
      <c r="U1238">
        <v>400</v>
      </c>
      <c r="V1238" t="s">
        <v>6833</v>
      </c>
      <c r="W1238" t="s">
        <v>6843</v>
      </c>
      <c r="Y1238" t="s">
        <v>8035</v>
      </c>
      <c r="Z1238" t="s">
        <v>9008</v>
      </c>
      <c r="AA1238" t="s">
        <v>10068</v>
      </c>
      <c r="AB1238">
        <v>0</v>
      </c>
      <c r="AC1238" t="s">
        <v>10931</v>
      </c>
      <c r="AE1238">
        <v>16</v>
      </c>
      <c r="AF1238">
        <v>3</v>
      </c>
      <c r="AG1238">
        <v>1</v>
      </c>
      <c r="AH1238">
        <v>14.45</v>
      </c>
      <c r="AK1238" t="s">
        <v>10966</v>
      </c>
      <c r="AL1238">
        <v>3720</v>
      </c>
      <c r="AR1238">
        <v>1</v>
      </c>
      <c r="AS1238" t="s">
        <v>6808</v>
      </c>
      <c r="AT1238" t="s">
        <v>11217</v>
      </c>
      <c r="AV1238" t="s">
        <v>11231</v>
      </c>
      <c r="AW1238" t="s">
        <v>11156</v>
      </c>
    </row>
    <row r="1239" spans="1:49">
      <c r="A1239" s="1">
        <f>HYPERLINK("https://lsnyc.legalserver.org/matter/dynamic-profile/view/1904494","19-1904494")</f>
        <v>0</v>
      </c>
      <c r="B1239" t="s">
        <v>254</v>
      </c>
      <c r="C1239" t="s">
        <v>1139</v>
      </c>
      <c r="D1239" t="s">
        <v>2026</v>
      </c>
      <c r="E1239" t="s">
        <v>3875</v>
      </c>
      <c r="F1239" t="s">
        <v>5128</v>
      </c>
      <c r="G1239" t="s">
        <v>5635</v>
      </c>
      <c r="H1239">
        <v>10470</v>
      </c>
      <c r="I1239" t="s">
        <v>5695</v>
      </c>
      <c r="J1239" t="s">
        <v>5696</v>
      </c>
      <c r="L1239" t="s">
        <v>6713</v>
      </c>
      <c r="M1239" t="s">
        <v>6736</v>
      </c>
      <c r="O1239" t="s">
        <v>6745</v>
      </c>
      <c r="P1239" t="s">
        <v>5695</v>
      </c>
      <c r="R1239" t="s">
        <v>6793</v>
      </c>
      <c r="U1239">
        <v>931</v>
      </c>
      <c r="V1239" t="s">
        <v>6833</v>
      </c>
      <c r="W1239" t="s">
        <v>6839</v>
      </c>
      <c r="Y1239" t="s">
        <v>8036</v>
      </c>
      <c r="AA1239" t="s">
        <v>10069</v>
      </c>
      <c r="AB1239">
        <v>63</v>
      </c>
      <c r="AC1239" t="s">
        <v>8953</v>
      </c>
      <c r="AD1239" t="s">
        <v>5741</v>
      </c>
      <c r="AE1239">
        <v>11</v>
      </c>
      <c r="AF1239">
        <v>2</v>
      </c>
      <c r="AG1239">
        <v>0</v>
      </c>
      <c r="AH1239">
        <v>739.21</v>
      </c>
      <c r="AK1239" t="s">
        <v>10966</v>
      </c>
      <c r="AL1239">
        <v>125000</v>
      </c>
      <c r="AR1239">
        <v>0</v>
      </c>
      <c r="AT1239" t="s">
        <v>11176</v>
      </c>
      <c r="AU1239" t="s">
        <v>11228</v>
      </c>
      <c r="AV1239" t="s">
        <v>11231</v>
      </c>
      <c r="AW1239" t="s">
        <v>6810</v>
      </c>
    </row>
    <row r="1240" spans="1:49">
      <c r="A1240" s="1">
        <f>HYPERLINK("https://lsnyc.legalserver.org/matter/dynamic-profile/view/1899834","19-1899834")</f>
        <v>0</v>
      </c>
      <c r="B1240" t="s">
        <v>211</v>
      </c>
      <c r="C1240" t="s">
        <v>472</v>
      </c>
      <c r="D1240" t="s">
        <v>2419</v>
      </c>
      <c r="E1240" t="s">
        <v>4021</v>
      </c>
      <c r="F1240" t="s">
        <v>5447</v>
      </c>
      <c r="G1240" t="s">
        <v>5635</v>
      </c>
      <c r="H1240">
        <v>10455</v>
      </c>
      <c r="I1240" t="s">
        <v>5695</v>
      </c>
      <c r="J1240" t="s">
        <v>5696</v>
      </c>
      <c r="L1240" t="s">
        <v>6713</v>
      </c>
      <c r="M1240" t="s">
        <v>6736</v>
      </c>
      <c r="O1240" t="s">
        <v>6745</v>
      </c>
      <c r="P1240" t="s">
        <v>5695</v>
      </c>
      <c r="R1240" t="s">
        <v>6793</v>
      </c>
      <c r="U1240">
        <v>1534</v>
      </c>
      <c r="V1240" t="s">
        <v>6833</v>
      </c>
      <c r="W1240" t="s">
        <v>6838</v>
      </c>
      <c r="Y1240" t="s">
        <v>7905</v>
      </c>
      <c r="AA1240" t="s">
        <v>9946</v>
      </c>
      <c r="AB1240">
        <v>99</v>
      </c>
      <c r="AC1240" t="s">
        <v>10929</v>
      </c>
      <c r="AD1240" t="s">
        <v>10949</v>
      </c>
      <c r="AE1240">
        <v>1</v>
      </c>
      <c r="AF1240">
        <v>1</v>
      </c>
      <c r="AG1240">
        <v>3</v>
      </c>
      <c r="AH1240">
        <v>18.92</v>
      </c>
      <c r="AK1240" t="s">
        <v>10966</v>
      </c>
      <c r="AL1240">
        <v>4870.8</v>
      </c>
      <c r="AR1240">
        <v>0.25</v>
      </c>
      <c r="AS1240" t="s">
        <v>6816</v>
      </c>
      <c r="AT1240" t="s">
        <v>11196</v>
      </c>
      <c r="AV1240" t="s">
        <v>11231</v>
      </c>
      <c r="AW1240" t="s">
        <v>11132</v>
      </c>
    </row>
    <row r="1241" spans="1:49">
      <c r="A1241" s="1">
        <f>HYPERLINK("https://lsnyc.legalserver.org/matter/dynamic-profile/view/1904532","19-1904532")</f>
        <v>0</v>
      </c>
      <c r="B1241" t="s">
        <v>254</v>
      </c>
      <c r="C1241" t="s">
        <v>574</v>
      </c>
      <c r="D1241" t="s">
        <v>2253</v>
      </c>
      <c r="E1241" t="s">
        <v>4215</v>
      </c>
      <c r="F1241" t="s">
        <v>5161</v>
      </c>
      <c r="G1241" t="s">
        <v>5635</v>
      </c>
      <c r="H1241">
        <v>10470</v>
      </c>
      <c r="I1241" t="s">
        <v>5695</v>
      </c>
      <c r="J1241" t="s">
        <v>5696</v>
      </c>
      <c r="L1241" t="s">
        <v>6713</v>
      </c>
      <c r="M1241" t="s">
        <v>6736</v>
      </c>
      <c r="O1241" t="s">
        <v>6745</v>
      </c>
      <c r="P1241" t="s">
        <v>5695</v>
      </c>
      <c r="R1241" t="s">
        <v>6793</v>
      </c>
      <c r="U1241">
        <v>961</v>
      </c>
      <c r="V1241" t="s">
        <v>6833</v>
      </c>
      <c r="W1241" t="s">
        <v>6838</v>
      </c>
      <c r="Y1241" t="s">
        <v>8037</v>
      </c>
      <c r="AA1241" t="s">
        <v>10070</v>
      </c>
      <c r="AB1241">
        <v>63</v>
      </c>
      <c r="AC1241" t="s">
        <v>10939</v>
      </c>
      <c r="AD1241" t="s">
        <v>10947</v>
      </c>
      <c r="AE1241">
        <v>24</v>
      </c>
      <c r="AF1241">
        <v>3</v>
      </c>
      <c r="AG1241">
        <v>1</v>
      </c>
      <c r="AH1241">
        <v>44.04</v>
      </c>
      <c r="AK1241" t="s">
        <v>10966</v>
      </c>
      <c r="AL1241">
        <v>11340</v>
      </c>
      <c r="AR1241">
        <v>0</v>
      </c>
      <c r="AT1241" t="s">
        <v>219</v>
      </c>
      <c r="AU1241" t="s">
        <v>11228</v>
      </c>
      <c r="AV1241" t="s">
        <v>11231</v>
      </c>
      <c r="AW1241" t="s">
        <v>11139</v>
      </c>
    </row>
    <row r="1242" spans="1:49">
      <c r="A1242" s="1">
        <f>HYPERLINK("https://lsnyc.legalserver.org/matter/dynamic-profile/view/1906258","19-1906258")</f>
        <v>0</v>
      </c>
      <c r="B1242" t="s">
        <v>208</v>
      </c>
      <c r="C1242" t="s">
        <v>569</v>
      </c>
      <c r="D1242" t="s">
        <v>2505</v>
      </c>
      <c r="E1242" t="s">
        <v>4218</v>
      </c>
      <c r="F1242">
        <v>6</v>
      </c>
      <c r="G1242" t="s">
        <v>5637</v>
      </c>
      <c r="H1242">
        <v>11230</v>
      </c>
      <c r="I1242" t="s">
        <v>5695</v>
      </c>
      <c r="J1242" t="s">
        <v>5696</v>
      </c>
      <c r="L1242" t="s">
        <v>6713</v>
      </c>
      <c r="M1242" t="s">
        <v>6736</v>
      </c>
      <c r="O1242" t="s">
        <v>6745</v>
      </c>
      <c r="P1242" t="s">
        <v>5697</v>
      </c>
      <c r="R1242" t="s">
        <v>6793</v>
      </c>
      <c r="T1242" t="s">
        <v>6827</v>
      </c>
      <c r="U1242">
        <v>0</v>
      </c>
      <c r="V1242" t="s">
        <v>6835</v>
      </c>
      <c r="Y1242" t="s">
        <v>8038</v>
      </c>
      <c r="AA1242" t="s">
        <v>10071</v>
      </c>
      <c r="AB1242">
        <v>0</v>
      </c>
      <c r="AE1242">
        <v>0</v>
      </c>
      <c r="AF1242">
        <v>2</v>
      </c>
      <c r="AG1242">
        <v>1</v>
      </c>
      <c r="AH1242">
        <v>216.6</v>
      </c>
      <c r="AK1242" t="s">
        <v>10967</v>
      </c>
      <c r="AL1242">
        <v>46200</v>
      </c>
      <c r="AR1242">
        <v>0</v>
      </c>
      <c r="AT1242" t="s">
        <v>278</v>
      </c>
      <c r="AU1242" t="s">
        <v>11228</v>
      </c>
      <c r="AV1242" t="s">
        <v>11231</v>
      </c>
      <c r="AW1242" t="s">
        <v>6827</v>
      </c>
    </row>
    <row r="1243" spans="1:49">
      <c r="A1243" s="1">
        <f>HYPERLINK("https://lsnyc.legalserver.org/matter/dynamic-profile/view/1906036","19-1906036")</f>
        <v>0</v>
      </c>
      <c r="B1243" t="s">
        <v>79</v>
      </c>
      <c r="C1243" t="s">
        <v>1140</v>
      </c>
      <c r="D1243" t="s">
        <v>2506</v>
      </c>
      <c r="E1243" t="s">
        <v>4219</v>
      </c>
      <c r="G1243" t="s">
        <v>5644</v>
      </c>
      <c r="H1243">
        <v>11435</v>
      </c>
      <c r="I1243" t="s">
        <v>5695</v>
      </c>
      <c r="J1243" t="s">
        <v>5696</v>
      </c>
      <c r="K1243" t="s">
        <v>6251</v>
      </c>
      <c r="L1243" t="s">
        <v>6713</v>
      </c>
      <c r="M1243" t="s">
        <v>6736</v>
      </c>
      <c r="O1243" t="s">
        <v>6745</v>
      </c>
      <c r="P1243" t="s">
        <v>5697</v>
      </c>
      <c r="R1243" t="s">
        <v>6793</v>
      </c>
      <c r="S1243" t="s">
        <v>6801</v>
      </c>
      <c r="T1243" t="s">
        <v>6820</v>
      </c>
      <c r="U1243">
        <v>2010</v>
      </c>
      <c r="V1243" t="s">
        <v>6837</v>
      </c>
      <c r="W1243" t="s">
        <v>6842</v>
      </c>
      <c r="Y1243" t="s">
        <v>8039</v>
      </c>
      <c r="AA1243" t="s">
        <v>10072</v>
      </c>
      <c r="AB1243">
        <v>3</v>
      </c>
      <c r="AC1243" t="s">
        <v>10930</v>
      </c>
      <c r="AD1243" t="s">
        <v>5741</v>
      </c>
      <c r="AE1243">
        <v>-1</v>
      </c>
      <c r="AF1243">
        <v>2</v>
      </c>
      <c r="AG1243">
        <v>3</v>
      </c>
      <c r="AH1243">
        <v>178.99</v>
      </c>
      <c r="AK1243" t="s">
        <v>10966</v>
      </c>
      <c r="AL1243">
        <v>54000</v>
      </c>
      <c r="AR1243">
        <v>0</v>
      </c>
      <c r="AT1243" t="s">
        <v>79</v>
      </c>
      <c r="AU1243" t="s">
        <v>11228</v>
      </c>
      <c r="AV1243" t="s">
        <v>11231</v>
      </c>
      <c r="AW1243" t="s">
        <v>6820</v>
      </c>
    </row>
    <row r="1244" spans="1:49">
      <c r="A1244" s="1">
        <f>HYPERLINK("https://lsnyc.legalserver.org/matter/dynamic-profile/view/1905193","19-1905193")</f>
        <v>0</v>
      </c>
      <c r="B1244" t="s">
        <v>267</v>
      </c>
      <c r="C1244" t="s">
        <v>1141</v>
      </c>
      <c r="D1244" t="s">
        <v>1220</v>
      </c>
      <c r="E1244" t="s">
        <v>4212</v>
      </c>
      <c r="F1244" t="s">
        <v>5196</v>
      </c>
      <c r="G1244" t="s">
        <v>5637</v>
      </c>
      <c r="H1244">
        <v>11220</v>
      </c>
      <c r="I1244" t="s">
        <v>5695</v>
      </c>
      <c r="J1244" t="s">
        <v>5696</v>
      </c>
      <c r="L1244" t="s">
        <v>6713</v>
      </c>
      <c r="M1244" t="s">
        <v>6736</v>
      </c>
      <c r="O1244" t="s">
        <v>6745</v>
      </c>
      <c r="P1244" t="s">
        <v>5695</v>
      </c>
      <c r="R1244" t="s">
        <v>6793</v>
      </c>
      <c r="T1244" t="s">
        <v>6812</v>
      </c>
      <c r="U1244">
        <v>0</v>
      </c>
      <c r="V1244" t="s">
        <v>6835</v>
      </c>
      <c r="Y1244" t="s">
        <v>8040</v>
      </c>
      <c r="AA1244" t="s">
        <v>10073</v>
      </c>
      <c r="AB1244">
        <v>0</v>
      </c>
      <c r="AE1244">
        <v>0</v>
      </c>
      <c r="AF1244">
        <v>1</v>
      </c>
      <c r="AG1244">
        <v>0</v>
      </c>
      <c r="AH1244">
        <v>333.07</v>
      </c>
      <c r="AK1244" t="s">
        <v>10966</v>
      </c>
      <c r="AL1244">
        <v>41600</v>
      </c>
      <c r="AR1244">
        <v>0.2</v>
      </c>
      <c r="AS1244" t="s">
        <v>6808</v>
      </c>
      <c r="AT1244" t="s">
        <v>77</v>
      </c>
      <c r="AV1244" t="s">
        <v>11231</v>
      </c>
      <c r="AW1244" t="s">
        <v>6808</v>
      </c>
    </row>
    <row r="1245" spans="1:49">
      <c r="A1245" s="1">
        <f>HYPERLINK("https://lsnyc.legalserver.org/matter/dynamic-profile/view/1904052","19-1904052")</f>
        <v>0</v>
      </c>
      <c r="B1245" t="s">
        <v>263</v>
      </c>
      <c r="C1245" t="s">
        <v>404</v>
      </c>
      <c r="D1245" t="s">
        <v>2507</v>
      </c>
      <c r="E1245" t="s">
        <v>4220</v>
      </c>
      <c r="F1245" t="s">
        <v>5251</v>
      </c>
      <c r="G1245" t="s">
        <v>5637</v>
      </c>
      <c r="H1245">
        <v>11203</v>
      </c>
      <c r="I1245" t="s">
        <v>5695</v>
      </c>
      <c r="J1245" t="s">
        <v>5696</v>
      </c>
      <c r="L1245" t="s">
        <v>6713</v>
      </c>
      <c r="M1245" t="s">
        <v>6736</v>
      </c>
      <c r="O1245" t="s">
        <v>6745</v>
      </c>
      <c r="P1245" t="s">
        <v>5697</v>
      </c>
      <c r="R1245" t="s">
        <v>6793</v>
      </c>
      <c r="T1245" t="s">
        <v>6817</v>
      </c>
      <c r="U1245">
        <v>0</v>
      </c>
      <c r="V1245" t="s">
        <v>6835</v>
      </c>
      <c r="W1245" t="s">
        <v>6843</v>
      </c>
      <c r="Y1245" t="s">
        <v>8041</v>
      </c>
      <c r="AA1245" t="s">
        <v>10074</v>
      </c>
      <c r="AB1245">
        <v>0</v>
      </c>
      <c r="AC1245" t="s">
        <v>10929</v>
      </c>
      <c r="AE1245">
        <v>13</v>
      </c>
      <c r="AF1245">
        <v>2</v>
      </c>
      <c r="AG1245">
        <v>0</v>
      </c>
      <c r="AH1245">
        <v>225.03</v>
      </c>
      <c r="AI1245" t="s">
        <v>6813</v>
      </c>
      <c r="AJ1245" t="s">
        <v>10963</v>
      </c>
      <c r="AK1245" t="s">
        <v>10966</v>
      </c>
      <c r="AL1245">
        <v>38052</v>
      </c>
      <c r="AR1245">
        <v>15.5</v>
      </c>
      <c r="AS1245" t="s">
        <v>6812</v>
      </c>
      <c r="AT1245" t="s">
        <v>278</v>
      </c>
      <c r="AV1245" t="s">
        <v>11231</v>
      </c>
      <c r="AW1245" t="s">
        <v>6817</v>
      </c>
    </row>
    <row r="1246" spans="1:49">
      <c r="A1246" s="1">
        <f>HYPERLINK("https://lsnyc.legalserver.org/matter/dynamic-profile/view/1898066","19-1898066")</f>
        <v>0</v>
      </c>
      <c r="B1246" t="s">
        <v>208</v>
      </c>
      <c r="C1246" t="s">
        <v>388</v>
      </c>
      <c r="D1246" t="s">
        <v>1846</v>
      </c>
      <c r="E1246" t="s">
        <v>4221</v>
      </c>
      <c r="F1246">
        <v>15</v>
      </c>
      <c r="G1246" t="s">
        <v>5637</v>
      </c>
      <c r="H1246">
        <v>11226</v>
      </c>
      <c r="I1246" t="s">
        <v>5695</v>
      </c>
      <c r="J1246" t="s">
        <v>5696</v>
      </c>
      <c r="L1246" t="s">
        <v>6713</v>
      </c>
      <c r="M1246" t="s">
        <v>6736</v>
      </c>
      <c r="O1246" t="s">
        <v>6745</v>
      </c>
      <c r="P1246" t="s">
        <v>5695</v>
      </c>
      <c r="R1246" t="s">
        <v>6793</v>
      </c>
      <c r="T1246" t="s">
        <v>6821</v>
      </c>
      <c r="U1246">
        <v>717</v>
      </c>
      <c r="V1246" t="s">
        <v>6835</v>
      </c>
      <c r="Y1246" t="s">
        <v>8042</v>
      </c>
      <c r="AA1246" t="s">
        <v>10075</v>
      </c>
      <c r="AB1246">
        <v>0</v>
      </c>
      <c r="AE1246">
        <v>14</v>
      </c>
      <c r="AF1246">
        <v>3</v>
      </c>
      <c r="AG1246">
        <v>0</v>
      </c>
      <c r="AH1246">
        <v>328.18</v>
      </c>
      <c r="AK1246" t="s">
        <v>10966</v>
      </c>
      <c r="AL1246">
        <v>70000</v>
      </c>
      <c r="AR1246">
        <v>0</v>
      </c>
      <c r="AT1246" t="s">
        <v>278</v>
      </c>
      <c r="AU1246" t="s">
        <v>11228</v>
      </c>
      <c r="AV1246" t="s">
        <v>11231</v>
      </c>
      <c r="AW1246" t="s">
        <v>6821</v>
      </c>
    </row>
    <row r="1247" spans="1:49">
      <c r="A1247" s="1">
        <f>HYPERLINK("https://lsnyc.legalserver.org/matter/dynamic-profile/view/1905736","19-1905736")</f>
        <v>0</v>
      </c>
      <c r="B1247" t="s">
        <v>175</v>
      </c>
      <c r="C1247" t="s">
        <v>544</v>
      </c>
      <c r="D1247" t="s">
        <v>2175</v>
      </c>
      <c r="E1247" t="s">
        <v>3768</v>
      </c>
      <c r="F1247" t="s">
        <v>5215</v>
      </c>
      <c r="G1247" t="s">
        <v>5637</v>
      </c>
      <c r="H1247">
        <v>11233</v>
      </c>
      <c r="I1247" t="s">
        <v>5695</v>
      </c>
      <c r="J1247" t="s">
        <v>5696</v>
      </c>
      <c r="K1247" t="s">
        <v>6252</v>
      </c>
      <c r="L1247" t="s">
        <v>6713</v>
      </c>
      <c r="M1247" t="s">
        <v>6736</v>
      </c>
      <c r="O1247" t="s">
        <v>6745</v>
      </c>
      <c r="P1247" t="s">
        <v>5695</v>
      </c>
      <c r="R1247" t="s">
        <v>6793</v>
      </c>
      <c r="S1247" t="s">
        <v>6801</v>
      </c>
      <c r="U1247">
        <v>1200</v>
      </c>
      <c r="V1247" t="s">
        <v>6835</v>
      </c>
      <c r="W1247" t="s">
        <v>6843</v>
      </c>
      <c r="Y1247" t="s">
        <v>7564</v>
      </c>
      <c r="Z1247" t="s">
        <v>5773</v>
      </c>
      <c r="AA1247" t="s">
        <v>9627</v>
      </c>
      <c r="AB1247">
        <v>6</v>
      </c>
      <c r="AC1247" t="s">
        <v>10929</v>
      </c>
      <c r="AD1247" t="s">
        <v>5741</v>
      </c>
      <c r="AE1247">
        <v>6</v>
      </c>
      <c r="AF1247">
        <v>1</v>
      </c>
      <c r="AG1247">
        <v>0</v>
      </c>
      <c r="AH1247">
        <v>464.37</v>
      </c>
      <c r="AK1247" t="s">
        <v>10966</v>
      </c>
      <c r="AL1247">
        <v>58000</v>
      </c>
      <c r="AM1247" t="s">
        <v>11051</v>
      </c>
      <c r="AR1247">
        <v>0</v>
      </c>
      <c r="AT1247" t="s">
        <v>69</v>
      </c>
      <c r="AU1247" t="s">
        <v>11228</v>
      </c>
      <c r="AV1247" t="s">
        <v>11231</v>
      </c>
      <c r="AW1247" t="s">
        <v>6823</v>
      </c>
    </row>
    <row r="1248" spans="1:49">
      <c r="A1248" s="1">
        <f>HYPERLINK("https://lsnyc.legalserver.org/matter/dynamic-profile/view/1905109","19-1905109")</f>
        <v>0</v>
      </c>
      <c r="B1248" t="s">
        <v>267</v>
      </c>
      <c r="C1248" t="s">
        <v>1142</v>
      </c>
      <c r="D1248" t="s">
        <v>2253</v>
      </c>
      <c r="E1248" t="s">
        <v>4212</v>
      </c>
      <c r="F1248" t="s">
        <v>5116</v>
      </c>
      <c r="G1248" t="s">
        <v>5637</v>
      </c>
      <c r="H1248">
        <v>11220</v>
      </c>
      <c r="I1248" t="s">
        <v>5695</v>
      </c>
      <c r="J1248" t="s">
        <v>5696</v>
      </c>
      <c r="L1248" t="s">
        <v>6713</v>
      </c>
      <c r="M1248" t="s">
        <v>6736</v>
      </c>
      <c r="O1248" t="s">
        <v>6745</v>
      </c>
      <c r="P1248" t="s">
        <v>5695</v>
      </c>
      <c r="R1248" t="s">
        <v>6793</v>
      </c>
      <c r="T1248" t="s">
        <v>6812</v>
      </c>
      <c r="U1248">
        <v>0</v>
      </c>
      <c r="V1248" t="s">
        <v>6835</v>
      </c>
      <c r="Y1248" t="s">
        <v>8043</v>
      </c>
      <c r="AA1248" t="s">
        <v>10076</v>
      </c>
      <c r="AB1248">
        <v>0</v>
      </c>
      <c r="AE1248">
        <v>0</v>
      </c>
      <c r="AF1248">
        <v>4</v>
      </c>
      <c r="AG1248">
        <v>0</v>
      </c>
      <c r="AH1248">
        <v>155.34</v>
      </c>
      <c r="AK1248" t="s">
        <v>10966</v>
      </c>
      <c r="AL1248">
        <v>40000</v>
      </c>
      <c r="AR1248">
        <v>0.2</v>
      </c>
      <c r="AS1248" t="s">
        <v>6814</v>
      </c>
      <c r="AT1248" t="s">
        <v>77</v>
      </c>
      <c r="AU1248" t="s">
        <v>11228</v>
      </c>
      <c r="AV1248" t="s">
        <v>11231</v>
      </c>
      <c r="AW1248" t="s">
        <v>6814</v>
      </c>
    </row>
    <row r="1249" spans="1:49">
      <c r="A1249" s="1">
        <f>HYPERLINK("https://lsnyc.legalserver.org/matter/dynamic-profile/view/1899819","19-1899819")</f>
        <v>0</v>
      </c>
      <c r="B1249" t="s">
        <v>211</v>
      </c>
      <c r="C1249" t="s">
        <v>1068</v>
      </c>
      <c r="D1249" t="s">
        <v>2420</v>
      </c>
      <c r="E1249" t="s">
        <v>4021</v>
      </c>
      <c r="G1249" t="s">
        <v>5635</v>
      </c>
      <c r="H1249">
        <v>10455</v>
      </c>
      <c r="I1249" t="s">
        <v>5695</v>
      </c>
      <c r="J1249" t="s">
        <v>5696</v>
      </c>
      <c r="L1249" t="s">
        <v>6713</v>
      </c>
      <c r="M1249" t="s">
        <v>6736</v>
      </c>
      <c r="O1249" t="s">
        <v>6745</v>
      </c>
      <c r="P1249" t="s">
        <v>5695</v>
      </c>
      <c r="R1249" t="s">
        <v>6793</v>
      </c>
      <c r="U1249">
        <v>222.4</v>
      </c>
      <c r="V1249" t="s">
        <v>6833</v>
      </c>
      <c r="W1249" t="s">
        <v>6838</v>
      </c>
      <c r="Y1249" t="s">
        <v>7906</v>
      </c>
      <c r="AA1249" t="s">
        <v>9947</v>
      </c>
      <c r="AB1249">
        <v>99</v>
      </c>
      <c r="AC1249" t="s">
        <v>8953</v>
      </c>
      <c r="AE1249">
        <v>1</v>
      </c>
      <c r="AF1249">
        <v>1</v>
      </c>
      <c r="AG1249">
        <v>0</v>
      </c>
      <c r="AH1249">
        <v>83.68000000000001</v>
      </c>
      <c r="AK1249" t="s">
        <v>10966</v>
      </c>
      <c r="AL1249">
        <v>10452</v>
      </c>
      <c r="AR1249">
        <v>0</v>
      </c>
      <c r="AT1249" t="s">
        <v>11196</v>
      </c>
      <c r="AV1249" t="s">
        <v>11231</v>
      </c>
      <c r="AW1249" t="s">
        <v>11132</v>
      </c>
    </row>
    <row r="1250" spans="1:49">
      <c r="A1250" s="1">
        <f>HYPERLINK("https://lsnyc.legalserver.org/matter/dynamic-profile/view/1904464","19-1904464")</f>
        <v>0</v>
      </c>
      <c r="B1250" t="s">
        <v>254</v>
      </c>
      <c r="C1250" t="s">
        <v>404</v>
      </c>
      <c r="D1250" t="s">
        <v>2508</v>
      </c>
      <c r="E1250" t="s">
        <v>3875</v>
      </c>
      <c r="G1250" t="s">
        <v>5635</v>
      </c>
      <c r="H1250">
        <v>10470</v>
      </c>
      <c r="I1250" t="s">
        <v>5695</v>
      </c>
      <c r="J1250" t="s">
        <v>5696</v>
      </c>
      <c r="L1250" t="s">
        <v>6713</v>
      </c>
      <c r="M1250" t="s">
        <v>6736</v>
      </c>
      <c r="O1250" t="s">
        <v>6745</v>
      </c>
      <c r="P1250" t="s">
        <v>5695</v>
      </c>
      <c r="R1250" t="s">
        <v>6793</v>
      </c>
      <c r="U1250">
        <v>1564</v>
      </c>
      <c r="V1250" t="s">
        <v>6833</v>
      </c>
      <c r="W1250" t="s">
        <v>6838</v>
      </c>
      <c r="Y1250" t="s">
        <v>8044</v>
      </c>
      <c r="AA1250" t="s">
        <v>10077</v>
      </c>
      <c r="AB1250">
        <v>63</v>
      </c>
      <c r="AC1250" t="s">
        <v>8953</v>
      </c>
      <c r="AD1250" t="s">
        <v>10949</v>
      </c>
      <c r="AE1250">
        <v>4</v>
      </c>
      <c r="AF1250">
        <v>1</v>
      </c>
      <c r="AG1250">
        <v>2</v>
      </c>
      <c r="AH1250">
        <v>129.96</v>
      </c>
      <c r="AK1250" t="s">
        <v>10966</v>
      </c>
      <c r="AL1250">
        <v>27720</v>
      </c>
      <c r="AR1250">
        <v>0.5</v>
      </c>
      <c r="AS1250" t="s">
        <v>6816</v>
      </c>
      <c r="AT1250" t="s">
        <v>219</v>
      </c>
      <c r="AU1250" t="s">
        <v>11228</v>
      </c>
      <c r="AV1250" t="s">
        <v>11231</v>
      </c>
      <c r="AW1250" t="s">
        <v>6807</v>
      </c>
    </row>
    <row r="1251" spans="1:49">
      <c r="A1251" s="1">
        <f>HYPERLINK("https://lsnyc.legalserver.org/matter/dynamic-profile/view/1904539","19-1904539")</f>
        <v>0</v>
      </c>
      <c r="B1251" t="s">
        <v>254</v>
      </c>
      <c r="C1251" t="s">
        <v>1143</v>
      </c>
      <c r="D1251" t="s">
        <v>2509</v>
      </c>
      <c r="E1251" t="s">
        <v>4215</v>
      </c>
      <c r="F1251" t="s">
        <v>5180</v>
      </c>
      <c r="G1251" t="s">
        <v>5635</v>
      </c>
      <c r="H1251">
        <v>10470</v>
      </c>
      <c r="I1251" t="s">
        <v>5695</v>
      </c>
      <c r="J1251" t="s">
        <v>5696</v>
      </c>
      <c r="L1251" t="s">
        <v>6713</v>
      </c>
      <c r="M1251" t="s">
        <v>6736</v>
      </c>
      <c r="O1251" t="s">
        <v>6745</v>
      </c>
      <c r="P1251" t="s">
        <v>5695</v>
      </c>
      <c r="R1251" t="s">
        <v>6793</v>
      </c>
      <c r="U1251">
        <v>1734</v>
      </c>
      <c r="V1251" t="s">
        <v>6833</v>
      </c>
      <c r="W1251" t="s">
        <v>6838</v>
      </c>
      <c r="Y1251" t="s">
        <v>8045</v>
      </c>
      <c r="Z1251" t="s">
        <v>9009</v>
      </c>
      <c r="AB1251">
        <v>63</v>
      </c>
      <c r="AC1251" t="s">
        <v>10930</v>
      </c>
      <c r="AD1251" t="s">
        <v>6841</v>
      </c>
      <c r="AE1251">
        <v>3</v>
      </c>
      <c r="AF1251">
        <v>1</v>
      </c>
      <c r="AG1251">
        <v>1</v>
      </c>
      <c r="AH1251">
        <v>127.74</v>
      </c>
      <c r="AK1251" t="s">
        <v>10966</v>
      </c>
      <c r="AL1251">
        <v>21600</v>
      </c>
      <c r="AR1251">
        <v>0</v>
      </c>
      <c r="AT1251" t="s">
        <v>219</v>
      </c>
      <c r="AU1251" t="s">
        <v>11228</v>
      </c>
      <c r="AV1251" t="s">
        <v>11231</v>
      </c>
      <c r="AW1251" t="s">
        <v>6811</v>
      </c>
    </row>
    <row r="1252" spans="1:49">
      <c r="A1252" s="1">
        <f>HYPERLINK("https://lsnyc.legalserver.org/matter/dynamic-profile/view/1904575","19-1904575")</f>
        <v>0</v>
      </c>
      <c r="B1252" t="s">
        <v>254</v>
      </c>
      <c r="C1252" t="s">
        <v>543</v>
      </c>
      <c r="D1252" t="s">
        <v>673</v>
      </c>
      <c r="E1252" t="s">
        <v>4222</v>
      </c>
      <c r="F1252" t="s">
        <v>5252</v>
      </c>
      <c r="G1252" t="s">
        <v>5635</v>
      </c>
      <c r="H1252">
        <v>10470</v>
      </c>
      <c r="I1252" t="s">
        <v>5695</v>
      </c>
      <c r="J1252" t="s">
        <v>5696</v>
      </c>
      <c r="L1252" t="s">
        <v>6713</v>
      </c>
      <c r="M1252" t="s">
        <v>6736</v>
      </c>
      <c r="O1252" t="s">
        <v>6745</v>
      </c>
      <c r="P1252" t="s">
        <v>5695</v>
      </c>
      <c r="R1252" t="s">
        <v>6793</v>
      </c>
      <c r="U1252">
        <v>1276</v>
      </c>
      <c r="V1252" t="s">
        <v>6833</v>
      </c>
      <c r="W1252" t="s">
        <v>6838</v>
      </c>
      <c r="Y1252" t="s">
        <v>8046</v>
      </c>
      <c r="AB1252">
        <v>63</v>
      </c>
      <c r="AC1252" t="s">
        <v>10929</v>
      </c>
      <c r="AD1252" t="s">
        <v>5741</v>
      </c>
      <c r="AE1252">
        <v>8</v>
      </c>
      <c r="AF1252">
        <v>2</v>
      </c>
      <c r="AG1252">
        <v>1</v>
      </c>
      <c r="AH1252">
        <v>97.52</v>
      </c>
      <c r="AK1252" t="s">
        <v>10966</v>
      </c>
      <c r="AL1252">
        <v>20800</v>
      </c>
      <c r="AR1252">
        <v>0</v>
      </c>
      <c r="AT1252" t="s">
        <v>219</v>
      </c>
      <c r="AU1252" t="s">
        <v>11228</v>
      </c>
      <c r="AV1252" t="s">
        <v>11231</v>
      </c>
      <c r="AW1252" t="s">
        <v>11144</v>
      </c>
    </row>
    <row r="1253" spans="1:49">
      <c r="A1253" s="1">
        <f>HYPERLINK("https://lsnyc.legalserver.org/matter/dynamic-profile/view/1904631","19-1904631")</f>
        <v>0</v>
      </c>
      <c r="B1253" t="s">
        <v>60</v>
      </c>
      <c r="C1253" t="s">
        <v>1131</v>
      </c>
      <c r="D1253" t="s">
        <v>2310</v>
      </c>
      <c r="E1253" t="s">
        <v>4223</v>
      </c>
      <c r="F1253">
        <v>2</v>
      </c>
      <c r="G1253" t="s">
        <v>5636</v>
      </c>
      <c r="H1253">
        <v>10303</v>
      </c>
      <c r="I1253" t="s">
        <v>5695</v>
      </c>
      <c r="J1253" t="s">
        <v>5696</v>
      </c>
      <c r="K1253" t="s">
        <v>6253</v>
      </c>
      <c r="L1253" t="s">
        <v>6724</v>
      </c>
      <c r="M1253" t="s">
        <v>6736</v>
      </c>
      <c r="O1253" t="s">
        <v>6762</v>
      </c>
      <c r="P1253" t="s">
        <v>5697</v>
      </c>
      <c r="R1253" t="s">
        <v>6793</v>
      </c>
      <c r="S1253" t="s">
        <v>6801</v>
      </c>
      <c r="T1253" t="s">
        <v>6809</v>
      </c>
      <c r="U1253">
        <v>1950</v>
      </c>
      <c r="V1253" t="s">
        <v>6834</v>
      </c>
      <c r="W1253" t="s">
        <v>6839</v>
      </c>
      <c r="Y1253" t="s">
        <v>8047</v>
      </c>
      <c r="AA1253" t="s">
        <v>10078</v>
      </c>
      <c r="AB1253">
        <v>2</v>
      </c>
      <c r="AC1253" t="s">
        <v>10930</v>
      </c>
      <c r="AD1253" t="s">
        <v>5741</v>
      </c>
      <c r="AE1253">
        <v>0</v>
      </c>
      <c r="AF1253">
        <v>2</v>
      </c>
      <c r="AG1253">
        <v>2</v>
      </c>
      <c r="AH1253">
        <v>139.81</v>
      </c>
      <c r="AK1253" t="s">
        <v>10966</v>
      </c>
      <c r="AL1253">
        <v>36000</v>
      </c>
      <c r="AR1253">
        <v>4.9</v>
      </c>
      <c r="AS1253" t="s">
        <v>6821</v>
      </c>
      <c r="AT1253" t="s">
        <v>11177</v>
      </c>
      <c r="AU1253" t="s">
        <v>11228</v>
      </c>
      <c r="AV1253" t="s">
        <v>11231</v>
      </c>
      <c r="AW1253" t="s">
        <v>6809</v>
      </c>
    </row>
    <row r="1254" spans="1:49">
      <c r="A1254" s="1">
        <f>HYPERLINK("https://lsnyc.legalserver.org/matter/dynamic-profile/view/1895907","19-1895907")</f>
        <v>0</v>
      </c>
      <c r="B1254" t="s">
        <v>191</v>
      </c>
      <c r="C1254" t="s">
        <v>1144</v>
      </c>
      <c r="D1254" t="s">
        <v>2510</v>
      </c>
      <c r="E1254" t="s">
        <v>4141</v>
      </c>
      <c r="F1254" t="s">
        <v>5472</v>
      </c>
      <c r="G1254" t="s">
        <v>5644</v>
      </c>
      <c r="H1254">
        <v>11433</v>
      </c>
      <c r="I1254" t="s">
        <v>5695</v>
      </c>
      <c r="J1254" t="s">
        <v>5696</v>
      </c>
      <c r="K1254" t="s">
        <v>6254</v>
      </c>
      <c r="L1254" t="s">
        <v>6714</v>
      </c>
      <c r="M1254" t="s">
        <v>6736</v>
      </c>
      <c r="O1254" t="s">
        <v>6752</v>
      </c>
      <c r="P1254" t="s">
        <v>5697</v>
      </c>
      <c r="R1254" t="s">
        <v>6794</v>
      </c>
      <c r="S1254" t="s">
        <v>6801</v>
      </c>
      <c r="U1254">
        <v>533</v>
      </c>
      <c r="V1254" t="s">
        <v>6837</v>
      </c>
      <c r="W1254" t="s">
        <v>6839</v>
      </c>
      <c r="Y1254" t="s">
        <v>8048</v>
      </c>
      <c r="AA1254" t="s">
        <v>10079</v>
      </c>
      <c r="AB1254">
        <v>100</v>
      </c>
      <c r="AC1254" t="s">
        <v>10931</v>
      </c>
      <c r="AD1254" t="s">
        <v>6841</v>
      </c>
      <c r="AE1254">
        <v>3</v>
      </c>
      <c r="AF1254">
        <v>1</v>
      </c>
      <c r="AG1254">
        <v>0</v>
      </c>
      <c r="AH1254">
        <v>169.77</v>
      </c>
      <c r="AK1254" t="s">
        <v>10966</v>
      </c>
      <c r="AL1254">
        <v>21204</v>
      </c>
      <c r="AN1254" t="s">
        <v>11082</v>
      </c>
      <c r="AO1254" t="s">
        <v>11090</v>
      </c>
      <c r="AP1254" t="s">
        <v>11098</v>
      </c>
      <c r="AQ1254" t="s">
        <v>11110</v>
      </c>
      <c r="AR1254">
        <v>8.300000000000001</v>
      </c>
      <c r="AS1254" t="s">
        <v>11116</v>
      </c>
      <c r="AT1254" t="s">
        <v>11183</v>
      </c>
      <c r="AU1254" t="s">
        <v>11228</v>
      </c>
      <c r="AV1254" t="s">
        <v>11231</v>
      </c>
      <c r="AW1254" t="s">
        <v>11170</v>
      </c>
    </row>
    <row r="1255" spans="1:49">
      <c r="A1255" s="1">
        <f>HYPERLINK("https://lsnyc.legalserver.org/matter/dynamic-profile/view/1903560","19-1903560")</f>
        <v>0</v>
      </c>
      <c r="B1255" t="s">
        <v>243</v>
      </c>
      <c r="C1255" t="s">
        <v>666</v>
      </c>
      <c r="D1255" t="s">
        <v>2511</v>
      </c>
      <c r="E1255" t="s">
        <v>4224</v>
      </c>
      <c r="F1255" t="s">
        <v>5392</v>
      </c>
      <c r="G1255" t="s">
        <v>5644</v>
      </c>
      <c r="H1255">
        <v>11434</v>
      </c>
      <c r="I1255" t="s">
        <v>5695</v>
      </c>
      <c r="J1255" t="s">
        <v>5696</v>
      </c>
      <c r="K1255" t="s">
        <v>6255</v>
      </c>
      <c r="L1255" t="s">
        <v>6714</v>
      </c>
      <c r="M1255" t="s">
        <v>6736</v>
      </c>
      <c r="O1255" t="s">
        <v>6745</v>
      </c>
      <c r="P1255" t="s">
        <v>5697</v>
      </c>
      <c r="R1255" t="s">
        <v>6793</v>
      </c>
      <c r="S1255" t="s">
        <v>6801</v>
      </c>
      <c r="T1255" t="s">
        <v>6823</v>
      </c>
      <c r="U1255">
        <v>741.6799999999999</v>
      </c>
      <c r="V1255" t="s">
        <v>6837</v>
      </c>
      <c r="W1255" t="s">
        <v>6839</v>
      </c>
      <c r="Y1255" t="s">
        <v>8049</v>
      </c>
      <c r="AA1255" t="s">
        <v>10080</v>
      </c>
      <c r="AB1255">
        <v>5860</v>
      </c>
      <c r="AC1255" t="s">
        <v>10935</v>
      </c>
      <c r="AD1255" t="s">
        <v>5741</v>
      </c>
      <c r="AE1255">
        <v>6</v>
      </c>
      <c r="AF1255">
        <v>1</v>
      </c>
      <c r="AG1255">
        <v>0</v>
      </c>
      <c r="AH1255">
        <v>0</v>
      </c>
      <c r="AK1255" t="s">
        <v>10966</v>
      </c>
      <c r="AL1255">
        <v>0</v>
      </c>
      <c r="AN1255" t="s">
        <v>11085</v>
      </c>
      <c r="AO1255" t="s">
        <v>6841</v>
      </c>
      <c r="AR1255">
        <v>5.1</v>
      </c>
      <c r="AS1255" t="s">
        <v>11171</v>
      </c>
      <c r="AT1255" t="s">
        <v>237</v>
      </c>
      <c r="AU1255" t="s">
        <v>11228</v>
      </c>
      <c r="AV1255" t="s">
        <v>11231</v>
      </c>
      <c r="AW1255" t="s">
        <v>11147</v>
      </c>
    </row>
    <row r="1256" spans="1:49">
      <c r="A1256" s="1">
        <f>HYPERLINK("https://lsnyc.legalserver.org/matter/dynamic-profile/view/1903732","19-1903732")</f>
        <v>0</v>
      </c>
      <c r="B1256" t="s">
        <v>210</v>
      </c>
      <c r="C1256" t="s">
        <v>1145</v>
      </c>
      <c r="D1256" t="s">
        <v>2512</v>
      </c>
      <c r="E1256" t="s">
        <v>4225</v>
      </c>
      <c r="F1256" t="s">
        <v>5100</v>
      </c>
      <c r="G1256" t="s">
        <v>5636</v>
      </c>
      <c r="H1256">
        <v>10302</v>
      </c>
      <c r="I1256" t="s">
        <v>5695</v>
      </c>
      <c r="J1256" t="s">
        <v>5696</v>
      </c>
      <c r="K1256" t="s">
        <v>6256</v>
      </c>
      <c r="L1256" t="s">
        <v>6714</v>
      </c>
      <c r="M1256" t="s">
        <v>6736</v>
      </c>
      <c r="O1256" t="s">
        <v>6762</v>
      </c>
      <c r="P1256" t="s">
        <v>5697</v>
      </c>
      <c r="R1256" t="s">
        <v>6793</v>
      </c>
      <c r="S1256" t="s">
        <v>6801</v>
      </c>
      <c r="T1256" t="s">
        <v>6811</v>
      </c>
      <c r="U1256">
        <v>830.6799999999999</v>
      </c>
      <c r="V1256" t="s">
        <v>6834</v>
      </c>
      <c r="W1256" t="s">
        <v>6840</v>
      </c>
      <c r="Y1256" t="s">
        <v>8050</v>
      </c>
      <c r="AA1256" t="s">
        <v>10081</v>
      </c>
      <c r="AB1256">
        <v>0</v>
      </c>
      <c r="AC1256" t="s">
        <v>10929</v>
      </c>
      <c r="AE1256">
        <v>20</v>
      </c>
      <c r="AF1256">
        <v>2</v>
      </c>
      <c r="AG1256">
        <v>0</v>
      </c>
      <c r="AH1256">
        <v>141.93</v>
      </c>
      <c r="AK1256" t="s">
        <v>10966</v>
      </c>
      <c r="AL1256">
        <v>24000</v>
      </c>
      <c r="AN1256" t="s">
        <v>11083</v>
      </c>
      <c r="AO1256" t="s">
        <v>6841</v>
      </c>
      <c r="AP1256" t="s">
        <v>11098</v>
      </c>
      <c r="AQ1256" t="s">
        <v>11111</v>
      </c>
      <c r="AR1256">
        <v>0</v>
      </c>
      <c r="AT1256" t="s">
        <v>264</v>
      </c>
      <c r="AU1256" t="s">
        <v>11228</v>
      </c>
      <c r="AV1256" t="s">
        <v>11231</v>
      </c>
      <c r="AW1256" t="s">
        <v>6811</v>
      </c>
    </row>
    <row r="1257" spans="1:49">
      <c r="A1257" s="1">
        <f>HYPERLINK("https://lsnyc.legalserver.org/matter/dynamic-profile/view/1902393","19-1902393")</f>
        <v>0</v>
      </c>
      <c r="B1257" t="s">
        <v>193</v>
      </c>
      <c r="C1257" t="s">
        <v>1146</v>
      </c>
      <c r="D1257" t="s">
        <v>2513</v>
      </c>
      <c r="E1257" t="s">
        <v>4226</v>
      </c>
      <c r="F1257" t="s">
        <v>5248</v>
      </c>
      <c r="G1257" t="s">
        <v>5635</v>
      </c>
      <c r="H1257">
        <v>10456</v>
      </c>
      <c r="I1257" t="s">
        <v>5696</v>
      </c>
      <c r="J1257" t="s">
        <v>5696</v>
      </c>
      <c r="K1257" t="s">
        <v>6257</v>
      </c>
      <c r="L1257" t="s">
        <v>6714</v>
      </c>
      <c r="M1257" t="s">
        <v>6736</v>
      </c>
      <c r="O1257" t="s">
        <v>6747</v>
      </c>
      <c r="R1257" t="s">
        <v>6793</v>
      </c>
      <c r="U1257">
        <v>1847.89</v>
      </c>
      <c r="V1257" t="s">
        <v>6833</v>
      </c>
      <c r="W1257" t="s">
        <v>6843</v>
      </c>
      <c r="Y1257" t="s">
        <v>8051</v>
      </c>
      <c r="AA1257" t="s">
        <v>10082</v>
      </c>
      <c r="AB1257">
        <v>0</v>
      </c>
      <c r="AC1257" t="s">
        <v>10929</v>
      </c>
      <c r="AD1257" t="s">
        <v>10948</v>
      </c>
      <c r="AE1257">
        <v>4</v>
      </c>
      <c r="AF1257">
        <v>1</v>
      </c>
      <c r="AG1257">
        <v>0</v>
      </c>
      <c r="AH1257">
        <v>124.9</v>
      </c>
      <c r="AL1257">
        <v>15600</v>
      </c>
      <c r="AN1257" t="s">
        <v>11083</v>
      </c>
      <c r="AO1257" t="s">
        <v>11090</v>
      </c>
      <c r="AP1257" t="s">
        <v>11098</v>
      </c>
      <c r="AQ1257" t="s">
        <v>11112</v>
      </c>
      <c r="AR1257">
        <v>7.9</v>
      </c>
      <c r="AS1257" t="s">
        <v>6826</v>
      </c>
      <c r="AT1257" t="s">
        <v>11217</v>
      </c>
      <c r="AV1257" t="s">
        <v>11231</v>
      </c>
      <c r="AW1257" t="s">
        <v>11140</v>
      </c>
    </row>
    <row r="1258" spans="1:49">
      <c r="A1258" s="1">
        <f>HYPERLINK("https://lsnyc.legalserver.org/matter/dynamic-profile/view/1896565","19-1896565")</f>
        <v>0</v>
      </c>
      <c r="B1258" t="s">
        <v>249</v>
      </c>
      <c r="C1258" t="s">
        <v>1147</v>
      </c>
      <c r="D1258" t="s">
        <v>2514</v>
      </c>
      <c r="E1258" t="s">
        <v>4227</v>
      </c>
      <c r="F1258" t="s">
        <v>5473</v>
      </c>
      <c r="G1258" t="s">
        <v>5638</v>
      </c>
      <c r="H1258">
        <v>10026</v>
      </c>
      <c r="I1258" t="s">
        <v>5695</v>
      </c>
      <c r="J1258" t="s">
        <v>5695</v>
      </c>
      <c r="K1258" t="s">
        <v>6258</v>
      </c>
      <c r="L1258" t="s">
        <v>6714</v>
      </c>
      <c r="M1258" t="s">
        <v>6736</v>
      </c>
      <c r="O1258" t="s">
        <v>6749</v>
      </c>
      <c r="P1258" t="s">
        <v>5697</v>
      </c>
      <c r="R1258" t="s">
        <v>6793</v>
      </c>
      <c r="S1258" t="s">
        <v>6803</v>
      </c>
      <c r="U1258">
        <v>57</v>
      </c>
      <c r="V1258" t="s">
        <v>6836</v>
      </c>
      <c r="W1258" t="s">
        <v>6839</v>
      </c>
      <c r="Y1258" t="s">
        <v>8052</v>
      </c>
      <c r="AA1258" t="s">
        <v>10083</v>
      </c>
      <c r="AB1258">
        <v>0</v>
      </c>
      <c r="AC1258" t="s">
        <v>10941</v>
      </c>
      <c r="AD1258" t="s">
        <v>5741</v>
      </c>
      <c r="AE1258">
        <v>16</v>
      </c>
      <c r="AF1258">
        <v>1</v>
      </c>
      <c r="AG1258">
        <v>2</v>
      </c>
      <c r="AH1258">
        <v>168.78</v>
      </c>
      <c r="AK1258" t="s">
        <v>10966</v>
      </c>
      <c r="AL1258">
        <v>36000</v>
      </c>
      <c r="AN1258" t="s">
        <v>11083</v>
      </c>
      <c r="AO1258" t="s">
        <v>11087</v>
      </c>
      <c r="AQ1258" t="s">
        <v>11107</v>
      </c>
      <c r="AR1258">
        <v>60.4</v>
      </c>
      <c r="AS1258" t="s">
        <v>6824</v>
      </c>
      <c r="AT1258" t="s">
        <v>305</v>
      </c>
      <c r="AV1258" t="s">
        <v>11231</v>
      </c>
      <c r="AW1258" t="s">
        <v>11154</v>
      </c>
    </row>
    <row r="1259" spans="1:49">
      <c r="A1259" s="1">
        <f>HYPERLINK("https://lsnyc.legalserver.org/matter/dynamic-profile/view/1903700","19-1903700")</f>
        <v>0</v>
      </c>
      <c r="B1259" t="s">
        <v>233</v>
      </c>
      <c r="C1259" t="s">
        <v>1148</v>
      </c>
      <c r="D1259" t="s">
        <v>2515</v>
      </c>
      <c r="E1259" t="s">
        <v>4228</v>
      </c>
      <c r="F1259" t="s">
        <v>5161</v>
      </c>
      <c r="G1259" t="s">
        <v>5637</v>
      </c>
      <c r="H1259">
        <v>11221</v>
      </c>
      <c r="I1259" t="s">
        <v>5695</v>
      </c>
      <c r="J1259" t="s">
        <v>5696</v>
      </c>
      <c r="K1259" t="s">
        <v>6259</v>
      </c>
      <c r="L1259" t="s">
        <v>6714</v>
      </c>
      <c r="M1259" t="s">
        <v>6736</v>
      </c>
      <c r="O1259" t="s">
        <v>6755</v>
      </c>
      <c r="P1259" t="s">
        <v>5697</v>
      </c>
      <c r="R1259" t="s">
        <v>6793</v>
      </c>
      <c r="S1259" t="s">
        <v>6803</v>
      </c>
      <c r="U1259">
        <v>553.8</v>
      </c>
      <c r="V1259" t="s">
        <v>6835</v>
      </c>
      <c r="W1259" t="s">
        <v>6854</v>
      </c>
      <c r="Y1259" t="s">
        <v>8053</v>
      </c>
      <c r="AA1259" t="s">
        <v>10084</v>
      </c>
      <c r="AB1259">
        <v>0</v>
      </c>
      <c r="AC1259" t="s">
        <v>10929</v>
      </c>
      <c r="AE1259">
        <v>7</v>
      </c>
      <c r="AF1259">
        <v>1</v>
      </c>
      <c r="AG1259">
        <v>2</v>
      </c>
      <c r="AH1259">
        <v>0</v>
      </c>
      <c r="AK1259" t="s">
        <v>10966</v>
      </c>
      <c r="AL1259">
        <v>0</v>
      </c>
      <c r="AN1259" t="s">
        <v>11081</v>
      </c>
      <c r="AO1259" t="s">
        <v>11094</v>
      </c>
      <c r="AP1259" t="s">
        <v>11098</v>
      </c>
      <c r="AQ1259" t="s">
        <v>11105</v>
      </c>
      <c r="AR1259">
        <v>9.199999999999999</v>
      </c>
      <c r="AS1259" t="s">
        <v>6827</v>
      </c>
      <c r="AT1259" t="s">
        <v>11197</v>
      </c>
      <c r="AU1259" t="s">
        <v>11228</v>
      </c>
      <c r="AV1259" t="s">
        <v>11231</v>
      </c>
      <c r="AW1259" t="s">
        <v>6811</v>
      </c>
    </row>
    <row r="1260" spans="1:49">
      <c r="A1260" s="1">
        <f>HYPERLINK("https://lsnyc.legalserver.org/matter/dynamic-profile/view/1900706","19-1900706")</f>
        <v>0</v>
      </c>
      <c r="B1260" t="s">
        <v>63</v>
      </c>
      <c r="C1260" t="s">
        <v>1149</v>
      </c>
      <c r="D1260" t="s">
        <v>2516</v>
      </c>
      <c r="E1260" t="s">
        <v>4229</v>
      </c>
      <c r="F1260" t="s">
        <v>5109</v>
      </c>
      <c r="G1260" t="s">
        <v>5649</v>
      </c>
      <c r="H1260">
        <v>11385</v>
      </c>
      <c r="I1260" t="s">
        <v>5695</v>
      </c>
      <c r="J1260" t="s">
        <v>5696</v>
      </c>
      <c r="K1260" t="s">
        <v>6260</v>
      </c>
      <c r="L1260" t="s">
        <v>6714</v>
      </c>
      <c r="M1260" t="s">
        <v>6736</v>
      </c>
      <c r="O1260" t="s">
        <v>6752</v>
      </c>
      <c r="P1260" t="s">
        <v>5697</v>
      </c>
      <c r="R1260" t="s">
        <v>6793</v>
      </c>
      <c r="S1260" t="s">
        <v>6801</v>
      </c>
      <c r="T1260" t="s">
        <v>6811</v>
      </c>
      <c r="U1260">
        <v>1490.65</v>
      </c>
      <c r="V1260" t="s">
        <v>6837</v>
      </c>
      <c r="W1260" t="s">
        <v>6839</v>
      </c>
      <c r="Y1260" t="s">
        <v>8054</v>
      </c>
      <c r="AA1260" t="s">
        <v>10085</v>
      </c>
      <c r="AB1260">
        <v>6</v>
      </c>
      <c r="AC1260" t="s">
        <v>10929</v>
      </c>
      <c r="AD1260" t="s">
        <v>10944</v>
      </c>
      <c r="AE1260">
        <v>10</v>
      </c>
      <c r="AF1260">
        <v>2</v>
      </c>
      <c r="AG1260">
        <v>1</v>
      </c>
      <c r="AH1260">
        <v>108.11</v>
      </c>
      <c r="AK1260" t="s">
        <v>10967</v>
      </c>
      <c r="AL1260">
        <v>23060.25</v>
      </c>
      <c r="AN1260" t="s">
        <v>11081</v>
      </c>
      <c r="AO1260" t="s">
        <v>11090</v>
      </c>
      <c r="AP1260" t="s">
        <v>11098</v>
      </c>
      <c r="AQ1260" t="s">
        <v>11113</v>
      </c>
      <c r="AR1260">
        <v>18.3</v>
      </c>
      <c r="AS1260" t="s">
        <v>6814</v>
      </c>
      <c r="AT1260" t="s">
        <v>11182</v>
      </c>
      <c r="AU1260" t="s">
        <v>11228</v>
      </c>
      <c r="AV1260" t="s">
        <v>11231</v>
      </c>
      <c r="AW1260" t="s">
        <v>10958</v>
      </c>
    </row>
    <row r="1261" spans="1:49">
      <c r="A1261" s="1">
        <f>HYPERLINK("https://lsnyc.legalserver.org/matter/dynamic-profile/view/1902785","19-1902785")</f>
        <v>0</v>
      </c>
      <c r="B1261" t="s">
        <v>191</v>
      </c>
      <c r="C1261" t="s">
        <v>939</v>
      </c>
      <c r="D1261" t="s">
        <v>1762</v>
      </c>
      <c r="E1261" t="s">
        <v>3096</v>
      </c>
      <c r="F1261" t="s">
        <v>5351</v>
      </c>
      <c r="G1261" t="s">
        <v>5644</v>
      </c>
      <c r="H1261">
        <v>11434</v>
      </c>
      <c r="I1261" t="s">
        <v>5695</v>
      </c>
      <c r="J1261" t="s">
        <v>5696</v>
      </c>
      <c r="K1261" t="s">
        <v>6261</v>
      </c>
      <c r="L1261" t="s">
        <v>6714</v>
      </c>
      <c r="M1261" t="s">
        <v>6736</v>
      </c>
      <c r="O1261" t="s">
        <v>6752</v>
      </c>
      <c r="P1261" t="s">
        <v>5697</v>
      </c>
      <c r="R1261" t="s">
        <v>6793</v>
      </c>
      <c r="S1261" t="s">
        <v>6804</v>
      </c>
      <c r="U1261">
        <v>811</v>
      </c>
      <c r="V1261" t="s">
        <v>6837</v>
      </c>
      <c r="W1261" t="s">
        <v>6840</v>
      </c>
      <c r="Y1261" t="s">
        <v>7872</v>
      </c>
      <c r="AA1261" t="s">
        <v>10086</v>
      </c>
      <c r="AB1261">
        <v>100</v>
      </c>
      <c r="AC1261" t="s">
        <v>10935</v>
      </c>
      <c r="AD1261" t="s">
        <v>5741</v>
      </c>
      <c r="AE1261">
        <v>0</v>
      </c>
      <c r="AF1261">
        <v>2</v>
      </c>
      <c r="AG1261">
        <v>1</v>
      </c>
      <c r="AH1261">
        <v>187.53</v>
      </c>
      <c r="AK1261" t="s">
        <v>10966</v>
      </c>
      <c r="AL1261">
        <v>40000</v>
      </c>
      <c r="AN1261" t="s">
        <v>11081</v>
      </c>
      <c r="AP1261" t="s">
        <v>11098</v>
      </c>
      <c r="AQ1261" t="s">
        <v>11114</v>
      </c>
      <c r="AR1261">
        <v>8.4</v>
      </c>
      <c r="AS1261" t="s">
        <v>6820</v>
      </c>
      <c r="AT1261" t="s">
        <v>11184</v>
      </c>
      <c r="AU1261" t="s">
        <v>11228</v>
      </c>
      <c r="AV1261" t="s">
        <v>11231</v>
      </c>
      <c r="AW1261" t="s">
        <v>11133</v>
      </c>
    </row>
    <row r="1262" spans="1:49">
      <c r="A1262" s="1">
        <f>HYPERLINK("https://lsnyc.legalserver.org/matter/dynamic-profile/view/1905637","19-1905637")</f>
        <v>0</v>
      </c>
      <c r="B1262" t="s">
        <v>236</v>
      </c>
      <c r="C1262" t="s">
        <v>1150</v>
      </c>
      <c r="D1262" t="s">
        <v>2517</v>
      </c>
      <c r="E1262" t="s">
        <v>4230</v>
      </c>
      <c r="F1262" t="s">
        <v>5222</v>
      </c>
      <c r="G1262" t="s">
        <v>5637</v>
      </c>
      <c r="H1262">
        <v>11221</v>
      </c>
      <c r="I1262" t="s">
        <v>5695</v>
      </c>
      <c r="J1262" t="s">
        <v>5696</v>
      </c>
      <c r="K1262" t="s">
        <v>6262</v>
      </c>
      <c r="L1262" t="s">
        <v>6714</v>
      </c>
      <c r="M1262" t="s">
        <v>6736</v>
      </c>
      <c r="O1262" t="s">
        <v>6755</v>
      </c>
      <c r="P1262" t="s">
        <v>5697</v>
      </c>
      <c r="R1262" t="s">
        <v>6793</v>
      </c>
      <c r="S1262" t="s">
        <v>6801</v>
      </c>
      <c r="T1262" t="s">
        <v>6811</v>
      </c>
      <c r="U1262">
        <v>2180</v>
      </c>
      <c r="V1262" t="s">
        <v>6835</v>
      </c>
      <c r="W1262" t="s">
        <v>6839</v>
      </c>
      <c r="Y1262" t="s">
        <v>8055</v>
      </c>
      <c r="AA1262" t="s">
        <v>10087</v>
      </c>
      <c r="AB1262">
        <v>17</v>
      </c>
      <c r="AC1262" t="s">
        <v>10929</v>
      </c>
      <c r="AD1262" t="s">
        <v>10944</v>
      </c>
      <c r="AE1262">
        <v>15</v>
      </c>
      <c r="AF1262">
        <v>1</v>
      </c>
      <c r="AG1262">
        <v>0</v>
      </c>
      <c r="AH1262">
        <v>17.99</v>
      </c>
      <c r="AK1262" t="s">
        <v>10966</v>
      </c>
      <c r="AL1262">
        <v>2247.09</v>
      </c>
      <c r="AN1262" t="s">
        <v>11086</v>
      </c>
      <c r="AR1262">
        <v>3.65</v>
      </c>
      <c r="AS1262" t="s">
        <v>6827</v>
      </c>
      <c r="AT1262" t="s">
        <v>11178</v>
      </c>
      <c r="AU1262" t="s">
        <v>11228</v>
      </c>
      <c r="AV1262" t="s">
        <v>11231</v>
      </c>
      <c r="AW1262" t="s">
        <v>6823</v>
      </c>
    </row>
    <row r="1263" spans="1:49">
      <c r="A1263" s="1">
        <f>HYPERLINK("https://lsnyc.legalserver.org/matter/dynamic-profile/view/1899840","19-1899840")</f>
        <v>0</v>
      </c>
      <c r="B1263" t="s">
        <v>257</v>
      </c>
      <c r="C1263" t="s">
        <v>1151</v>
      </c>
      <c r="D1263" t="s">
        <v>770</v>
      </c>
      <c r="E1263" t="s">
        <v>4231</v>
      </c>
      <c r="F1263" t="s">
        <v>5176</v>
      </c>
      <c r="G1263" t="s">
        <v>5638</v>
      </c>
      <c r="H1263">
        <v>10027</v>
      </c>
      <c r="I1263" t="s">
        <v>5696</v>
      </c>
      <c r="J1263" t="s">
        <v>5696</v>
      </c>
      <c r="K1263" t="s">
        <v>6263</v>
      </c>
      <c r="L1263" t="s">
        <v>6714</v>
      </c>
      <c r="M1263" t="s">
        <v>6736</v>
      </c>
      <c r="O1263" t="s">
        <v>6749</v>
      </c>
      <c r="R1263" t="s">
        <v>6793</v>
      </c>
      <c r="S1263" t="s">
        <v>6804</v>
      </c>
      <c r="U1263">
        <v>1016.25</v>
      </c>
      <c r="V1263" t="s">
        <v>6836</v>
      </c>
      <c r="Y1263" t="s">
        <v>8056</v>
      </c>
      <c r="AA1263" t="s">
        <v>10088</v>
      </c>
      <c r="AB1263">
        <v>0</v>
      </c>
      <c r="AE1263">
        <v>40</v>
      </c>
      <c r="AF1263">
        <v>1</v>
      </c>
      <c r="AG1263">
        <v>0</v>
      </c>
      <c r="AH1263">
        <v>317.05</v>
      </c>
      <c r="AI1263" t="s">
        <v>10957</v>
      </c>
      <c r="AJ1263" t="s">
        <v>10963</v>
      </c>
      <c r="AK1263" t="s">
        <v>10982</v>
      </c>
      <c r="AL1263">
        <v>39600</v>
      </c>
      <c r="AO1263" t="s">
        <v>11095</v>
      </c>
      <c r="AP1263" t="s">
        <v>11098</v>
      </c>
      <c r="AQ1263" t="s">
        <v>11107</v>
      </c>
      <c r="AR1263">
        <v>10.45</v>
      </c>
      <c r="AS1263" t="s">
        <v>6822</v>
      </c>
      <c r="AT1263" t="s">
        <v>11194</v>
      </c>
      <c r="AV1263" t="s">
        <v>11231</v>
      </c>
      <c r="AW1263" t="s">
        <v>11132</v>
      </c>
    </row>
    <row r="1264" spans="1:49">
      <c r="A1264" s="1">
        <f>HYPERLINK("https://lsnyc.legalserver.org/matter/dynamic-profile/view/1897024","19-1897024")</f>
        <v>0</v>
      </c>
      <c r="B1264" t="s">
        <v>198</v>
      </c>
      <c r="C1264" t="s">
        <v>1152</v>
      </c>
      <c r="D1264" t="s">
        <v>2518</v>
      </c>
      <c r="E1264" t="s">
        <v>4232</v>
      </c>
      <c r="F1264" t="s">
        <v>5474</v>
      </c>
      <c r="G1264" t="s">
        <v>5635</v>
      </c>
      <c r="H1264">
        <v>10462</v>
      </c>
      <c r="I1264" t="s">
        <v>5695</v>
      </c>
      <c r="J1264" t="s">
        <v>5696</v>
      </c>
      <c r="K1264" t="s">
        <v>6264</v>
      </c>
      <c r="L1264" t="s">
        <v>6714</v>
      </c>
      <c r="M1264" t="s">
        <v>6736</v>
      </c>
      <c r="O1264" t="s">
        <v>6763</v>
      </c>
      <c r="R1264" t="s">
        <v>6793</v>
      </c>
      <c r="S1264" t="s">
        <v>6801</v>
      </c>
      <c r="U1264">
        <v>982</v>
      </c>
      <c r="V1264" t="s">
        <v>6833</v>
      </c>
      <c r="W1264" t="s">
        <v>6843</v>
      </c>
      <c r="Y1264" t="s">
        <v>8057</v>
      </c>
      <c r="AA1264" t="s">
        <v>10089</v>
      </c>
      <c r="AB1264">
        <v>0</v>
      </c>
      <c r="AC1264" t="s">
        <v>10929</v>
      </c>
      <c r="AE1264">
        <v>7</v>
      </c>
      <c r="AF1264">
        <v>4</v>
      </c>
      <c r="AG1264">
        <v>0</v>
      </c>
      <c r="AH1264">
        <v>69.90000000000001</v>
      </c>
      <c r="AK1264" t="s">
        <v>10978</v>
      </c>
      <c r="AL1264">
        <v>18000</v>
      </c>
      <c r="AM1264" t="s">
        <v>11063</v>
      </c>
      <c r="AP1264" t="s">
        <v>11098</v>
      </c>
      <c r="AQ1264" t="s">
        <v>11115</v>
      </c>
      <c r="AR1264">
        <v>4.25</v>
      </c>
      <c r="AS1264" t="s">
        <v>11172</v>
      </c>
      <c r="AT1264" t="s">
        <v>11217</v>
      </c>
      <c r="AU1264" t="s">
        <v>11228</v>
      </c>
      <c r="AV1264" t="s">
        <v>11231</v>
      </c>
      <c r="AW1264" t="s">
        <v>11121</v>
      </c>
    </row>
    <row r="1265" spans="1:49">
      <c r="A1265" s="1">
        <f>HYPERLINK("https://lsnyc.legalserver.org/matter/dynamic-profile/view/1899451","19-1899451")</f>
        <v>0</v>
      </c>
      <c r="B1265" t="s">
        <v>217</v>
      </c>
      <c r="C1265" t="s">
        <v>574</v>
      </c>
      <c r="D1265" t="s">
        <v>2265</v>
      </c>
      <c r="E1265" t="s">
        <v>4233</v>
      </c>
      <c r="F1265" t="s">
        <v>5104</v>
      </c>
      <c r="G1265" t="s">
        <v>5644</v>
      </c>
      <c r="H1265">
        <v>11434</v>
      </c>
      <c r="I1265" t="s">
        <v>5695</v>
      </c>
      <c r="J1265" t="s">
        <v>5696</v>
      </c>
      <c r="K1265" t="s">
        <v>6265</v>
      </c>
      <c r="L1265" t="s">
        <v>6714</v>
      </c>
      <c r="M1265" t="s">
        <v>6736</v>
      </c>
      <c r="O1265" t="s">
        <v>6752</v>
      </c>
      <c r="P1265" t="s">
        <v>5697</v>
      </c>
      <c r="R1265" t="s">
        <v>6793</v>
      </c>
      <c r="S1265" t="s">
        <v>6801</v>
      </c>
      <c r="U1265">
        <v>1020.36</v>
      </c>
      <c r="V1265" t="s">
        <v>6837</v>
      </c>
      <c r="W1265" t="s">
        <v>6839</v>
      </c>
      <c r="Y1265" t="s">
        <v>8058</v>
      </c>
      <c r="AA1265" t="s">
        <v>8917</v>
      </c>
      <c r="AB1265">
        <v>0</v>
      </c>
      <c r="AC1265" t="s">
        <v>10935</v>
      </c>
      <c r="AD1265" t="s">
        <v>5741</v>
      </c>
      <c r="AE1265">
        <v>26</v>
      </c>
      <c r="AF1265">
        <v>2</v>
      </c>
      <c r="AG1265">
        <v>0</v>
      </c>
      <c r="AH1265">
        <v>358.37</v>
      </c>
      <c r="AI1265" t="s">
        <v>10958</v>
      </c>
      <c r="AJ1265" t="s">
        <v>10963</v>
      </c>
      <c r="AK1265" t="s">
        <v>10966</v>
      </c>
      <c r="AL1265">
        <v>60600</v>
      </c>
      <c r="AR1265">
        <v>6.9</v>
      </c>
      <c r="AS1265" t="s">
        <v>6820</v>
      </c>
      <c r="AT1265" t="s">
        <v>11182</v>
      </c>
      <c r="AU1265" t="s">
        <v>11228</v>
      </c>
      <c r="AV1265" t="s">
        <v>11231</v>
      </c>
      <c r="AW1265" t="s">
        <v>11158</v>
      </c>
    </row>
    <row r="1266" spans="1:49">
      <c r="A1266" s="1">
        <f>HYPERLINK("https://lsnyc.legalserver.org/matter/dynamic-profile/view/1902973","19-1902973")</f>
        <v>0</v>
      </c>
      <c r="B1266" t="s">
        <v>90</v>
      </c>
      <c r="C1266" t="s">
        <v>995</v>
      </c>
      <c r="D1266" t="s">
        <v>2519</v>
      </c>
      <c r="E1266" t="s">
        <v>4234</v>
      </c>
      <c r="F1266" t="s">
        <v>5142</v>
      </c>
      <c r="G1266" t="s">
        <v>5637</v>
      </c>
      <c r="H1266">
        <v>11221</v>
      </c>
      <c r="I1266" t="s">
        <v>5695</v>
      </c>
      <c r="J1266" t="s">
        <v>5696</v>
      </c>
      <c r="K1266" t="s">
        <v>6266</v>
      </c>
      <c r="L1266" t="s">
        <v>6714</v>
      </c>
      <c r="M1266" t="s">
        <v>6736</v>
      </c>
      <c r="O1266" t="s">
        <v>6755</v>
      </c>
      <c r="P1266" t="s">
        <v>5697</v>
      </c>
      <c r="R1266" t="s">
        <v>6793</v>
      </c>
      <c r="T1266" t="s">
        <v>6811</v>
      </c>
      <c r="U1266">
        <v>725</v>
      </c>
      <c r="V1266" t="s">
        <v>6835</v>
      </c>
      <c r="W1266" t="s">
        <v>6854</v>
      </c>
      <c r="Y1266" t="s">
        <v>8059</v>
      </c>
      <c r="AA1266" t="s">
        <v>10090</v>
      </c>
      <c r="AB1266">
        <v>0</v>
      </c>
      <c r="AE1266">
        <v>23</v>
      </c>
      <c r="AF1266">
        <v>1</v>
      </c>
      <c r="AG1266">
        <v>1</v>
      </c>
      <c r="AH1266">
        <v>181.13</v>
      </c>
      <c r="AK1266" t="s">
        <v>10966</v>
      </c>
      <c r="AL1266">
        <v>30629.88</v>
      </c>
      <c r="AR1266">
        <v>2.6</v>
      </c>
      <c r="AS1266" t="s">
        <v>6810</v>
      </c>
      <c r="AT1266" t="s">
        <v>11197</v>
      </c>
      <c r="AU1266" t="s">
        <v>11228</v>
      </c>
      <c r="AV1266" t="s">
        <v>11231</v>
      </c>
      <c r="AW1266" t="s">
        <v>11138</v>
      </c>
    </row>
    <row r="1267" spans="1:49">
      <c r="A1267" s="1">
        <f>HYPERLINK("https://lsnyc.legalserver.org/matter/dynamic-profile/view/1900891","19-1900891")</f>
        <v>0</v>
      </c>
      <c r="B1267" t="s">
        <v>70</v>
      </c>
      <c r="C1267" t="s">
        <v>871</v>
      </c>
      <c r="D1267" t="s">
        <v>1762</v>
      </c>
      <c r="E1267" t="s">
        <v>4235</v>
      </c>
      <c r="F1267" t="s">
        <v>5139</v>
      </c>
      <c r="G1267" t="s">
        <v>5637</v>
      </c>
      <c r="H1267">
        <v>11226</v>
      </c>
      <c r="I1267" t="s">
        <v>5695</v>
      </c>
      <c r="J1267" t="s">
        <v>5696</v>
      </c>
      <c r="K1267" t="s">
        <v>6267</v>
      </c>
      <c r="L1267" t="s">
        <v>6714</v>
      </c>
      <c r="M1267" t="s">
        <v>6736</v>
      </c>
      <c r="O1267" t="s">
        <v>6755</v>
      </c>
      <c r="R1267" t="s">
        <v>6793</v>
      </c>
      <c r="T1267" t="s">
        <v>6811</v>
      </c>
      <c r="U1267">
        <v>648.53</v>
      </c>
      <c r="V1267" t="s">
        <v>6835</v>
      </c>
      <c r="W1267" t="s">
        <v>6840</v>
      </c>
      <c r="Y1267" t="s">
        <v>8060</v>
      </c>
      <c r="AA1267" t="s">
        <v>10091</v>
      </c>
      <c r="AB1267">
        <v>48</v>
      </c>
      <c r="AD1267" t="s">
        <v>10945</v>
      </c>
      <c r="AE1267">
        <v>20</v>
      </c>
      <c r="AF1267">
        <v>1</v>
      </c>
      <c r="AG1267">
        <v>0</v>
      </c>
      <c r="AH1267">
        <v>200.16</v>
      </c>
      <c r="AI1267" t="s">
        <v>10953</v>
      </c>
      <c r="AK1267" t="s">
        <v>10966</v>
      </c>
      <c r="AL1267">
        <v>25000</v>
      </c>
      <c r="AR1267">
        <v>4.5</v>
      </c>
      <c r="AS1267" t="s">
        <v>6820</v>
      </c>
      <c r="AT1267" t="s">
        <v>11178</v>
      </c>
      <c r="AU1267" t="s">
        <v>11228</v>
      </c>
      <c r="AV1267" t="s">
        <v>11231</v>
      </c>
      <c r="AW1267" t="s">
        <v>11157</v>
      </c>
    </row>
    <row r="1268" spans="1:49">
      <c r="A1268" s="1">
        <f>HYPERLINK("https://lsnyc.legalserver.org/matter/dynamic-profile/view/1899015","19-1899015")</f>
        <v>0</v>
      </c>
      <c r="B1268" t="s">
        <v>138</v>
      </c>
      <c r="C1268" t="s">
        <v>1153</v>
      </c>
      <c r="D1268" t="s">
        <v>2520</v>
      </c>
      <c r="E1268" t="s">
        <v>4236</v>
      </c>
      <c r="F1268" t="s">
        <v>5352</v>
      </c>
      <c r="G1268" t="s">
        <v>5637</v>
      </c>
      <c r="H1268">
        <v>11226</v>
      </c>
      <c r="I1268" t="s">
        <v>5697</v>
      </c>
      <c r="J1268" t="s">
        <v>5696</v>
      </c>
      <c r="K1268" t="s">
        <v>6268</v>
      </c>
      <c r="L1268" t="s">
        <v>6714</v>
      </c>
      <c r="M1268" t="s">
        <v>6736</v>
      </c>
      <c r="O1268" t="s">
        <v>6755</v>
      </c>
      <c r="R1268" t="s">
        <v>6793</v>
      </c>
      <c r="U1268">
        <v>1070</v>
      </c>
      <c r="V1268" t="s">
        <v>6835</v>
      </c>
      <c r="W1268" t="s">
        <v>6840</v>
      </c>
      <c r="Y1268" t="s">
        <v>8061</v>
      </c>
      <c r="AA1268" t="s">
        <v>10092</v>
      </c>
      <c r="AB1268">
        <v>95</v>
      </c>
      <c r="AE1268">
        <v>9</v>
      </c>
      <c r="AF1268">
        <v>2</v>
      </c>
      <c r="AG1268">
        <v>0</v>
      </c>
      <c r="AH1268">
        <v>281.5</v>
      </c>
      <c r="AK1268" t="s">
        <v>10966</v>
      </c>
      <c r="AL1268">
        <v>47602</v>
      </c>
      <c r="AR1268">
        <v>22.4</v>
      </c>
      <c r="AS1268" t="s">
        <v>6819</v>
      </c>
      <c r="AT1268" t="s">
        <v>11178</v>
      </c>
      <c r="AV1268" t="s">
        <v>11231</v>
      </c>
      <c r="AW1268" t="s">
        <v>11156</v>
      </c>
    </row>
    <row r="1269" spans="1:49">
      <c r="A1269" s="1">
        <f>HYPERLINK("https://lsnyc.legalserver.org/matter/dynamic-profile/view/1905262","19-1905262")</f>
        <v>0</v>
      </c>
      <c r="B1269" t="s">
        <v>90</v>
      </c>
      <c r="C1269" t="s">
        <v>559</v>
      </c>
      <c r="D1269" t="s">
        <v>2521</v>
      </c>
      <c r="E1269" t="s">
        <v>4237</v>
      </c>
      <c r="F1269" t="s">
        <v>5463</v>
      </c>
      <c r="G1269" t="s">
        <v>5637</v>
      </c>
      <c r="H1269">
        <v>11221</v>
      </c>
      <c r="I1269" t="s">
        <v>5695</v>
      </c>
      <c r="J1269" t="s">
        <v>5696</v>
      </c>
      <c r="K1269" t="s">
        <v>6269</v>
      </c>
      <c r="L1269" t="s">
        <v>6714</v>
      </c>
      <c r="M1269" t="s">
        <v>6736</v>
      </c>
      <c r="O1269" t="s">
        <v>6755</v>
      </c>
      <c r="P1269" t="s">
        <v>5697</v>
      </c>
      <c r="R1269" t="s">
        <v>6793</v>
      </c>
      <c r="U1269">
        <v>1240</v>
      </c>
      <c r="V1269" t="s">
        <v>6835</v>
      </c>
      <c r="W1269" t="s">
        <v>6854</v>
      </c>
      <c r="Y1269" t="s">
        <v>8062</v>
      </c>
      <c r="AA1269" t="s">
        <v>10093</v>
      </c>
      <c r="AB1269">
        <v>0</v>
      </c>
      <c r="AD1269" t="s">
        <v>10943</v>
      </c>
      <c r="AE1269">
        <v>9</v>
      </c>
      <c r="AF1269">
        <v>1</v>
      </c>
      <c r="AG1269">
        <v>1</v>
      </c>
      <c r="AH1269">
        <v>70.95999999999999</v>
      </c>
      <c r="AK1269" t="s">
        <v>10966</v>
      </c>
      <c r="AL1269">
        <v>12000</v>
      </c>
      <c r="AR1269">
        <v>1.7</v>
      </c>
      <c r="AS1269" t="s">
        <v>6824</v>
      </c>
      <c r="AT1269" t="s">
        <v>11197</v>
      </c>
      <c r="AU1269" t="s">
        <v>11228</v>
      </c>
      <c r="AV1269" t="s">
        <v>11231</v>
      </c>
      <c r="AW1269" t="s">
        <v>6808</v>
      </c>
    </row>
    <row r="1270" spans="1:49">
      <c r="A1270" s="1">
        <f>HYPERLINK("https://lsnyc.legalserver.org/matter/dynamic-profile/view/1903705","19-1903705")</f>
        <v>0</v>
      </c>
      <c r="B1270" t="s">
        <v>129</v>
      </c>
      <c r="C1270" t="s">
        <v>410</v>
      </c>
      <c r="D1270" t="s">
        <v>1765</v>
      </c>
      <c r="E1270" t="s">
        <v>4238</v>
      </c>
      <c r="F1270" t="s">
        <v>5108</v>
      </c>
      <c r="G1270" t="s">
        <v>5637</v>
      </c>
      <c r="H1270">
        <v>11221</v>
      </c>
      <c r="I1270" t="s">
        <v>5695</v>
      </c>
      <c r="J1270" t="s">
        <v>5696</v>
      </c>
      <c r="K1270" t="s">
        <v>6270</v>
      </c>
      <c r="L1270" t="s">
        <v>6714</v>
      </c>
      <c r="M1270" t="s">
        <v>6736</v>
      </c>
      <c r="O1270" t="s">
        <v>6755</v>
      </c>
      <c r="P1270" t="s">
        <v>5697</v>
      </c>
      <c r="R1270" t="s">
        <v>6793</v>
      </c>
      <c r="U1270">
        <v>1700</v>
      </c>
      <c r="V1270" t="s">
        <v>6835</v>
      </c>
      <c r="W1270" t="s">
        <v>6854</v>
      </c>
      <c r="Y1270" t="s">
        <v>8063</v>
      </c>
      <c r="AA1270" t="s">
        <v>9974</v>
      </c>
      <c r="AB1270">
        <v>0</v>
      </c>
      <c r="AE1270">
        <v>8</v>
      </c>
      <c r="AF1270">
        <v>3</v>
      </c>
      <c r="AG1270">
        <v>0</v>
      </c>
      <c r="AH1270">
        <v>69.93000000000001</v>
      </c>
      <c r="AK1270" t="s">
        <v>10966</v>
      </c>
      <c r="AL1270">
        <v>14916</v>
      </c>
      <c r="AR1270">
        <v>0.2</v>
      </c>
      <c r="AS1270" t="s">
        <v>6825</v>
      </c>
      <c r="AT1270" t="s">
        <v>11197</v>
      </c>
      <c r="AU1270" t="s">
        <v>11228</v>
      </c>
      <c r="AV1270" t="s">
        <v>11231</v>
      </c>
      <c r="AW1270" t="s">
        <v>6811</v>
      </c>
    </row>
    <row r="1271" spans="1:49">
      <c r="A1271" s="1">
        <f>HYPERLINK("https://lsnyc.legalserver.org/matter/dynamic-profile/view/1896427","19-1896427")</f>
        <v>0</v>
      </c>
      <c r="B1271" t="s">
        <v>231</v>
      </c>
      <c r="C1271" t="s">
        <v>881</v>
      </c>
      <c r="D1271" t="s">
        <v>2522</v>
      </c>
      <c r="E1271" t="s">
        <v>4239</v>
      </c>
      <c r="F1271" t="s">
        <v>5475</v>
      </c>
      <c r="G1271" t="s">
        <v>5637</v>
      </c>
      <c r="H1271">
        <v>11238</v>
      </c>
      <c r="I1271" t="s">
        <v>5695</v>
      </c>
      <c r="J1271" t="s">
        <v>5695</v>
      </c>
      <c r="K1271" t="s">
        <v>6271</v>
      </c>
      <c r="L1271" t="s">
        <v>6714</v>
      </c>
      <c r="M1271" t="s">
        <v>6736</v>
      </c>
      <c r="O1271" t="s">
        <v>6753</v>
      </c>
      <c r="R1271" t="s">
        <v>6793</v>
      </c>
      <c r="U1271">
        <v>843.15</v>
      </c>
      <c r="V1271" t="s">
        <v>6835</v>
      </c>
      <c r="W1271" t="s">
        <v>6843</v>
      </c>
      <c r="Y1271" t="s">
        <v>8064</v>
      </c>
      <c r="AA1271" t="s">
        <v>10094</v>
      </c>
      <c r="AB1271">
        <v>24</v>
      </c>
      <c r="AE1271">
        <v>19</v>
      </c>
      <c r="AF1271">
        <v>1</v>
      </c>
      <c r="AG1271">
        <v>0</v>
      </c>
      <c r="AH1271">
        <v>360.29</v>
      </c>
      <c r="AI1271" t="s">
        <v>10959</v>
      </c>
      <c r="AJ1271" t="s">
        <v>10963</v>
      </c>
      <c r="AK1271" t="s">
        <v>10966</v>
      </c>
      <c r="AL1271">
        <v>45000</v>
      </c>
      <c r="AR1271">
        <v>13</v>
      </c>
      <c r="AS1271" t="s">
        <v>6822</v>
      </c>
      <c r="AT1271" t="s">
        <v>11178</v>
      </c>
      <c r="AV1271" t="s">
        <v>11231</v>
      </c>
      <c r="AW1271" t="s">
        <v>11164</v>
      </c>
    </row>
    <row r="1272" spans="1:49">
      <c r="A1272" s="1">
        <f>HYPERLINK("https://lsnyc.legalserver.org/matter/dynamic-profile/view/1905474","19-1905474")</f>
        <v>0</v>
      </c>
      <c r="B1272" t="s">
        <v>56</v>
      </c>
      <c r="C1272" t="s">
        <v>1154</v>
      </c>
      <c r="D1272" t="s">
        <v>2523</v>
      </c>
      <c r="E1272" t="s">
        <v>4240</v>
      </c>
      <c r="F1272" t="s">
        <v>5247</v>
      </c>
      <c r="G1272" t="s">
        <v>5637</v>
      </c>
      <c r="H1272">
        <v>11201</v>
      </c>
      <c r="I1272" t="s">
        <v>5696</v>
      </c>
      <c r="J1272" t="s">
        <v>5696</v>
      </c>
      <c r="K1272" t="s">
        <v>6272</v>
      </c>
      <c r="L1272" t="s">
        <v>6714</v>
      </c>
      <c r="M1272" t="s">
        <v>6736</v>
      </c>
      <c r="O1272" t="s">
        <v>6786</v>
      </c>
      <c r="R1272" t="s">
        <v>6793</v>
      </c>
      <c r="S1272" t="s">
        <v>6803</v>
      </c>
      <c r="U1272">
        <v>0</v>
      </c>
      <c r="V1272" t="s">
        <v>6835</v>
      </c>
      <c r="W1272" t="s">
        <v>6843</v>
      </c>
      <c r="Y1272" t="s">
        <v>8065</v>
      </c>
      <c r="AA1272" t="s">
        <v>10095</v>
      </c>
      <c r="AB1272">
        <v>0</v>
      </c>
      <c r="AE1272">
        <v>40</v>
      </c>
      <c r="AF1272">
        <v>3</v>
      </c>
      <c r="AG1272">
        <v>0</v>
      </c>
      <c r="AH1272">
        <v>78.76000000000001</v>
      </c>
      <c r="AK1272" t="s">
        <v>10966</v>
      </c>
      <c r="AL1272">
        <v>16800</v>
      </c>
      <c r="AR1272">
        <v>10</v>
      </c>
      <c r="AS1272" t="s">
        <v>6827</v>
      </c>
      <c r="AT1272" t="s">
        <v>56</v>
      </c>
      <c r="AV1272" t="s">
        <v>11231</v>
      </c>
      <c r="AW1272" t="s">
        <v>6822</v>
      </c>
    </row>
    <row r="1273" spans="1:49">
      <c r="A1273" s="1">
        <f>HYPERLINK("https://lsnyc.legalserver.org/matter/dynamic-profile/view/1899542","19-1899542")</f>
        <v>0</v>
      </c>
      <c r="B1273" t="s">
        <v>100</v>
      </c>
      <c r="C1273" t="s">
        <v>1155</v>
      </c>
      <c r="D1273" t="s">
        <v>2524</v>
      </c>
      <c r="E1273" t="s">
        <v>4241</v>
      </c>
      <c r="F1273" t="s">
        <v>5476</v>
      </c>
      <c r="G1273" t="s">
        <v>5635</v>
      </c>
      <c r="H1273">
        <v>10451</v>
      </c>
      <c r="I1273" t="s">
        <v>5695</v>
      </c>
      <c r="J1273" t="s">
        <v>5696</v>
      </c>
      <c r="K1273" t="s">
        <v>6273</v>
      </c>
      <c r="L1273" t="s">
        <v>6714</v>
      </c>
      <c r="M1273" t="s">
        <v>6736</v>
      </c>
      <c r="O1273" t="s">
        <v>6747</v>
      </c>
      <c r="R1273" t="s">
        <v>6793</v>
      </c>
      <c r="S1273" t="s">
        <v>6801</v>
      </c>
      <c r="U1273">
        <v>1550</v>
      </c>
      <c r="V1273" t="s">
        <v>6833</v>
      </c>
      <c r="Y1273" t="s">
        <v>8066</v>
      </c>
      <c r="Z1273" t="s">
        <v>9010</v>
      </c>
      <c r="AA1273" t="s">
        <v>10096</v>
      </c>
      <c r="AB1273">
        <v>60</v>
      </c>
      <c r="AC1273" t="s">
        <v>10929</v>
      </c>
      <c r="AD1273" t="s">
        <v>10946</v>
      </c>
      <c r="AE1273">
        <v>0</v>
      </c>
      <c r="AF1273">
        <v>1</v>
      </c>
      <c r="AG1273">
        <v>0</v>
      </c>
      <c r="AH1273">
        <v>0</v>
      </c>
      <c r="AK1273" t="s">
        <v>10966</v>
      </c>
      <c r="AL1273">
        <v>0</v>
      </c>
      <c r="AR1273">
        <v>10.75</v>
      </c>
      <c r="AS1273" t="s">
        <v>6814</v>
      </c>
      <c r="AT1273" t="s">
        <v>11187</v>
      </c>
      <c r="AU1273" t="s">
        <v>11229</v>
      </c>
      <c r="AV1273" t="s">
        <v>11231</v>
      </c>
      <c r="AW1273" t="s">
        <v>11128</v>
      </c>
    </row>
    <row r="1274" spans="1:49">
      <c r="A1274" s="1">
        <f>HYPERLINK("https://lsnyc.legalserver.org/matter/dynamic-profile/view/1905173","19-1905173")</f>
        <v>0</v>
      </c>
      <c r="B1274" t="s">
        <v>90</v>
      </c>
      <c r="C1274" t="s">
        <v>466</v>
      </c>
      <c r="D1274" t="s">
        <v>2525</v>
      </c>
      <c r="E1274" t="s">
        <v>4242</v>
      </c>
      <c r="F1274" t="s">
        <v>5477</v>
      </c>
      <c r="G1274" t="s">
        <v>5637</v>
      </c>
      <c r="H1274">
        <v>11216</v>
      </c>
      <c r="I1274" t="s">
        <v>5695</v>
      </c>
      <c r="J1274" t="s">
        <v>5696</v>
      </c>
      <c r="K1274" t="s">
        <v>6274</v>
      </c>
      <c r="L1274" t="s">
        <v>6714</v>
      </c>
      <c r="M1274" t="s">
        <v>6736</v>
      </c>
      <c r="O1274" t="s">
        <v>6755</v>
      </c>
      <c r="P1274" t="s">
        <v>5697</v>
      </c>
      <c r="R1274" t="s">
        <v>6793</v>
      </c>
      <c r="U1274">
        <v>705</v>
      </c>
      <c r="V1274" t="s">
        <v>6835</v>
      </c>
      <c r="W1274" t="s">
        <v>6854</v>
      </c>
      <c r="Y1274" t="s">
        <v>8067</v>
      </c>
      <c r="AA1274" t="s">
        <v>10097</v>
      </c>
      <c r="AB1274">
        <v>0</v>
      </c>
      <c r="AE1274">
        <v>40</v>
      </c>
      <c r="AF1274">
        <v>1</v>
      </c>
      <c r="AG1274">
        <v>0</v>
      </c>
      <c r="AH1274">
        <v>19.22</v>
      </c>
      <c r="AK1274" t="s">
        <v>10966</v>
      </c>
      <c r="AL1274">
        <v>2400</v>
      </c>
      <c r="AR1274">
        <v>2.5</v>
      </c>
      <c r="AS1274" t="s">
        <v>6821</v>
      </c>
      <c r="AT1274" t="s">
        <v>11197</v>
      </c>
      <c r="AU1274" t="s">
        <v>11228</v>
      </c>
      <c r="AV1274" t="s">
        <v>11231</v>
      </c>
      <c r="AW1274" t="s">
        <v>6808</v>
      </c>
    </row>
    <row r="1275" spans="1:49">
      <c r="A1275" s="1">
        <f>HYPERLINK("https://lsnyc.legalserver.org/matter/dynamic-profile/view/1905939","19-1905939")</f>
        <v>0</v>
      </c>
      <c r="B1275" t="s">
        <v>255</v>
      </c>
      <c r="C1275" t="s">
        <v>1156</v>
      </c>
      <c r="D1275" t="s">
        <v>2526</v>
      </c>
      <c r="E1275" t="s">
        <v>4243</v>
      </c>
      <c r="F1275" t="s">
        <v>5128</v>
      </c>
      <c r="G1275" t="s">
        <v>5637</v>
      </c>
      <c r="H1275">
        <v>11221</v>
      </c>
      <c r="I1275" t="s">
        <v>5696</v>
      </c>
      <c r="J1275" t="s">
        <v>5696</v>
      </c>
      <c r="K1275" t="s">
        <v>6275</v>
      </c>
      <c r="L1275" t="s">
        <v>6714</v>
      </c>
      <c r="M1275" t="s">
        <v>6736</v>
      </c>
      <c r="O1275" t="s">
        <v>6755</v>
      </c>
      <c r="P1275" t="s">
        <v>5697</v>
      </c>
      <c r="R1275" t="s">
        <v>6793</v>
      </c>
      <c r="S1275" t="s">
        <v>6801</v>
      </c>
      <c r="U1275">
        <v>1619</v>
      </c>
      <c r="V1275" t="s">
        <v>6835</v>
      </c>
      <c r="Y1275" t="s">
        <v>8068</v>
      </c>
      <c r="AA1275" t="s">
        <v>10098</v>
      </c>
      <c r="AB1275">
        <v>0</v>
      </c>
      <c r="AC1275" t="s">
        <v>10935</v>
      </c>
      <c r="AE1275">
        <v>1</v>
      </c>
      <c r="AF1275">
        <v>1</v>
      </c>
      <c r="AG1275">
        <v>3</v>
      </c>
      <c r="AH1275">
        <v>260.97</v>
      </c>
      <c r="AK1275" t="s">
        <v>10966</v>
      </c>
      <c r="AL1275">
        <v>67200</v>
      </c>
      <c r="AR1275">
        <v>0</v>
      </c>
      <c r="AT1275" t="s">
        <v>280</v>
      </c>
      <c r="AV1275" t="s">
        <v>11231</v>
      </c>
      <c r="AW1275" t="s">
        <v>6826</v>
      </c>
    </row>
    <row r="1276" spans="1:49">
      <c r="A1276" s="1">
        <f>HYPERLINK("https://lsnyc.legalserver.org/matter/dynamic-profile/view/1904359","19-1904359")</f>
        <v>0</v>
      </c>
      <c r="B1276" t="s">
        <v>236</v>
      </c>
      <c r="C1276" t="s">
        <v>1157</v>
      </c>
      <c r="D1276" t="s">
        <v>2490</v>
      </c>
      <c r="E1276" t="s">
        <v>4244</v>
      </c>
      <c r="F1276" t="s">
        <v>5100</v>
      </c>
      <c r="G1276" t="s">
        <v>5637</v>
      </c>
      <c r="H1276">
        <v>11216</v>
      </c>
      <c r="I1276" t="s">
        <v>5695</v>
      </c>
      <c r="J1276" t="s">
        <v>5696</v>
      </c>
      <c r="K1276" t="s">
        <v>6276</v>
      </c>
      <c r="L1276" t="s">
        <v>6714</v>
      </c>
      <c r="M1276" t="s">
        <v>6736</v>
      </c>
      <c r="O1276" t="s">
        <v>6755</v>
      </c>
      <c r="P1276" t="s">
        <v>5697</v>
      </c>
      <c r="R1276" t="s">
        <v>6793</v>
      </c>
      <c r="S1276" t="s">
        <v>6801</v>
      </c>
      <c r="T1276" t="s">
        <v>6811</v>
      </c>
      <c r="U1276">
        <v>849.38</v>
      </c>
      <c r="V1276" t="s">
        <v>6835</v>
      </c>
      <c r="W1276" t="s">
        <v>6843</v>
      </c>
      <c r="Y1276" t="s">
        <v>8069</v>
      </c>
      <c r="AA1276" t="s">
        <v>10099</v>
      </c>
      <c r="AB1276">
        <v>6</v>
      </c>
      <c r="AC1276" t="s">
        <v>10929</v>
      </c>
      <c r="AD1276" t="s">
        <v>5741</v>
      </c>
      <c r="AE1276">
        <v>8</v>
      </c>
      <c r="AF1276">
        <v>1</v>
      </c>
      <c r="AG1276">
        <v>0</v>
      </c>
      <c r="AH1276">
        <v>249.8</v>
      </c>
      <c r="AK1276" t="s">
        <v>10966</v>
      </c>
      <c r="AL1276">
        <v>31200</v>
      </c>
      <c r="AR1276">
        <v>2.15</v>
      </c>
      <c r="AS1276" t="s">
        <v>6827</v>
      </c>
      <c r="AT1276" t="s">
        <v>236</v>
      </c>
      <c r="AU1276" t="s">
        <v>11228</v>
      </c>
      <c r="AV1276" t="s">
        <v>11231</v>
      </c>
      <c r="AW1276" t="s">
        <v>6813</v>
      </c>
    </row>
    <row r="1277" spans="1:49">
      <c r="A1277" s="1">
        <f>HYPERLINK("https://lsnyc.legalserver.org/matter/dynamic-profile/view/1906176","19-1906176")</f>
        <v>0</v>
      </c>
      <c r="B1277" t="s">
        <v>95</v>
      </c>
      <c r="C1277" t="s">
        <v>354</v>
      </c>
      <c r="D1277" t="s">
        <v>441</v>
      </c>
      <c r="E1277" t="s">
        <v>4245</v>
      </c>
      <c r="F1277" t="s">
        <v>5478</v>
      </c>
      <c r="G1277" t="s">
        <v>5637</v>
      </c>
      <c r="H1277">
        <v>11226</v>
      </c>
      <c r="I1277" t="s">
        <v>5695</v>
      </c>
      <c r="J1277" t="s">
        <v>5696</v>
      </c>
      <c r="K1277" t="s">
        <v>6277</v>
      </c>
      <c r="L1277" t="s">
        <v>6714</v>
      </c>
      <c r="M1277" t="s">
        <v>6736</v>
      </c>
      <c r="O1277" t="s">
        <v>6755</v>
      </c>
      <c r="P1277" t="s">
        <v>5697</v>
      </c>
      <c r="R1277" t="s">
        <v>6793</v>
      </c>
      <c r="U1277">
        <v>1431</v>
      </c>
      <c r="V1277" t="s">
        <v>6835</v>
      </c>
      <c r="W1277" t="s">
        <v>6840</v>
      </c>
      <c r="Y1277" t="s">
        <v>8070</v>
      </c>
      <c r="AA1277" t="s">
        <v>10100</v>
      </c>
      <c r="AB1277">
        <v>0</v>
      </c>
      <c r="AE1277">
        <v>26</v>
      </c>
      <c r="AF1277">
        <v>4</v>
      </c>
      <c r="AG1277">
        <v>1</v>
      </c>
      <c r="AH1277">
        <v>112.36</v>
      </c>
      <c r="AK1277" t="s">
        <v>10966</v>
      </c>
      <c r="AL1277">
        <v>33900</v>
      </c>
      <c r="AR1277">
        <v>0</v>
      </c>
      <c r="AT1277" t="s">
        <v>11197</v>
      </c>
      <c r="AU1277" t="s">
        <v>11228</v>
      </c>
      <c r="AV1277" t="s">
        <v>11231</v>
      </c>
      <c r="AW1277" t="s">
        <v>6821</v>
      </c>
    </row>
    <row r="1278" spans="1:49">
      <c r="A1278" s="1">
        <f>HYPERLINK("https://lsnyc.legalserver.org/matter/dynamic-profile/view/1906264","19-1906264")</f>
        <v>0</v>
      </c>
      <c r="B1278" t="s">
        <v>231</v>
      </c>
      <c r="C1278" t="s">
        <v>1158</v>
      </c>
      <c r="D1278" t="s">
        <v>2527</v>
      </c>
      <c r="E1278" t="s">
        <v>3893</v>
      </c>
      <c r="F1278" t="s">
        <v>5154</v>
      </c>
      <c r="G1278" t="s">
        <v>5637</v>
      </c>
      <c r="H1278">
        <v>11226</v>
      </c>
      <c r="I1278" t="s">
        <v>5695</v>
      </c>
      <c r="J1278" t="s">
        <v>5696</v>
      </c>
      <c r="K1278" t="s">
        <v>6278</v>
      </c>
      <c r="L1278" t="s">
        <v>6714</v>
      </c>
      <c r="M1278" t="s">
        <v>6736</v>
      </c>
      <c r="O1278" t="s">
        <v>6755</v>
      </c>
      <c r="P1278" t="s">
        <v>5697</v>
      </c>
      <c r="R1278" t="s">
        <v>6793</v>
      </c>
      <c r="U1278">
        <v>1250</v>
      </c>
      <c r="V1278" t="s">
        <v>6835</v>
      </c>
      <c r="W1278" t="s">
        <v>6840</v>
      </c>
      <c r="Y1278" t="s">
        <v>8071</v>
      </c>
      <c r="AA1278" t="s">
        <v>10101</v>
      </c>
      <c r="AB1278">
        <v>0</v>
      </c>
      <c r="AD1278" t="s">
        <v>10945</v>
      </c>
      <c r="AE1278">
        <v>7</v>
      </c>
      <c r="AF1278">
        <v>2</v>
      </c>
      <c r="AG1278">
        <v>1</v>
      </c>
      <c r="AH1278">
        <v>160.9</v>
      </c>
      <c r="AK1278" t="s">
        <v>10966</v>
      </c>
      <c r="AL1278">
        <v>34320</v>
      </c>
      <c r="AR1278">
        <v>0</v>
      </c>
      <c r="AT1278" t="s">
        <v>11197</v>
      </c>
      <c r="AU1278" t="s">
        <v>11228</v>
      </c>
      <c r="AV1278" t="s">
        <v>11231</v>
      </c>
      <c r="AW1278" t="s">
        <v>6827</v>
      </c>
    </row>
    <row r="1279" spans="1:49">
      <c r="A1279" s="1">
        <f>HYPERLINK("https://lsnyc.legalserver.org/matter/dynamic-profile/view/1904460","19-1904460")</f>
        <v>0</v>
      </c>
      <c r="B1279" t="s">
        <v>90</v>
      </c>
      <c r="C1279" t="s">
        <v>1088</v>
      </c>
      <c r="D1279" t="s">
        <v>1741</v>
      </c>
      <c r="E1279" t="s">
        <v>4124</v>
      </c>
      <c r="F1279" t="s">
        <v>5215</v>
      </c>
      <c r="G1279" t="s">
        <v>5637</v>
      </c>
      <c r="H1279">
        <v>11221</v>
      </c>
      <c r="I1279" t="s">
        <v>5696</v>
      </c>
      <c r="J1279" t="s">
        <v>5696</v>
      </c>
      <c r="K1279" t="s">
        <v>6279</v>
      </c>
      <c r="L1279" t="s">
        <v>6714</v>
      </c>
      <c r="M1279" t="s">
        <v>6736</v>
      </c>
      <c r="O1279" t="s">
        <v>6755</v>
      </c>
      <c r="P1279" t="s">
        <v>5697</v>
      </c>
      <c r="R1279" t="s">
        <v>6793</v>
      </c>
      <c r="S1279" t="s">
        <v>6803</v>
      </c>
      <c r="U1279">
        <v>886.88</v>
      </c>
      <c r="V1279" t="s">
        <v>6835</v>
      </c>
      <c r="Y1279" t="s">
        <v>7941</v>
      </c>
      <c r="AA1279" t="s">
        <v>9979</v>
      </c>
      <c r="AB1279">
        <v>0</v>
      </c>
      <c r="AE1279">
        <v>14</v>
      </c>
      <c r="AF1279">
        <v>2</v>
      </c>
      <c r="AG1279">
        <v>0</v>
      </c>
      <c r="AH1279">
        <v>177.41</v>
      </c>
      <c r="AK1279" t="s">
        <v>10966</v>
      </c>
      <c r="AL1279">
        <v>30000</v>
      </c>
      <c r="AR1279">
        <v>2.5</v>
      </c>
      <c r="AS1279" t="s">
        <v>6824</v>
      </c>
      <c r="AT1279" t="s">
        <v>90</v>
      </c>
      <c r="AV1279" t="s">
        <v>11231</v>
      </c>
      <c r="AW1279" t="s">
        <v>6815</v>
      </c>
    </row>
    <row r="1280" spans="1:49">
      <c r="A1280" s="1">
        <f>HYPERLINK("https://lsnyc.legalserver.org/matter/dynamic-profile/view/1903673","19-1903673")</f>
        <v>0</v>
      </c>
      <c r="B1280" t="s">
        <v>129</v>
      </c>
      <c r="C1280" t="s">
        <v>1159</v>
      </c>
      <c r="D1280" t="s">
        <v>2424</v>
      </c>
      <c r="E1280" t="s">
        <v>4246</v>
      </c>
      <c r="F1280" t="s">
        <v>5203</v>
      </c>
      <c r="G1280" t="s">
        <v>5637</v>
      </c>
      <c r="H1280">
        <v>11226</v>
      </c>
      <c r="I1280" t="s">
        <v>5695</v>
      </c>
      <c r="J1280" t="s">
        <v>5696</v>
      </c>
      <c r="K1280" t="s">
        <v>6280</v>
      </c>
      <c r="L1280" t="s">
        <v>6714</v>
      </c>
      <c r="M1280" t="s">
        <v>6736</v>
      </c>
      <c r="O1280" t="s">
        <v>6755</v>
      </c>
      <c r="P1280" t="s">
        <v>5697</v>
      </c>
      <c r="R1280" t="s">
        <v>6793</v>
      </c>
      <c r="S1280" t="s">
        <v>6802</v>
      </c>
      <c r="U1280">
        <v>866.72</v>
      </c>
      <c r="V1280" t="s">
        <v>6835</v>
      </c>
      <c r="W1280" t="s">
        <v>6840</v>
      </c>
      <c r="Y1280" t="s">
        <v>8072</v>
      </c>
      <c r="AA1280" t="s">
        <v>10102</v>
      </c>
      <c r="AB1280">
        <v>41</v>
      </c>
      <c r="AC1280" t="s">
        <v>10929</v>
      </c>
      <c r="AD1280" t="s">
        <v>5741</v>
      </c>
      <c r="AE1280">
        <v>12</v>
      </c>
      <c r="AF1280">
        <v>2</v>
      </c>
      <c r="AG1280">
        <v>0</v>
      </c>
      <c r="AH1280">
        <v>181.67</v>
      </c>
      <c r="AK1280" t="s">
        <v>10966</v>
      </c>
      <c r="AL1280">
        <v>30720.43</v>
      </c>
      <c r="AR1280">
        <v>4.6</v>
      </c>
      <c r="AS1280" t="s">
        <v>6808</v>
      </c>
      <c r="AT1280" t="s">
        <v>11178</v>
      </c>
      <c r="AU1280" t="s">
        <v>11228</v>
      </c>
      <c r="AV1280" t="s">
        <v>11231</v>
      </c>
      <c r="AW1280" t="s">
        <v>11144</v>
      </c>
    </row>
    <row r="1281" spans="1:49">
      <c r="A1281" s="1">
        <f>HYPERLINK("https://lsnyc.legalserver.org/matter/dynamic-profile/view/1899217","19-1899217")</f>
        <v>0</v>
      </c>
      <c r="B1281" t="s">
        <v>200</v>
      </c>
      <c r="C1281" t="s">
        <v>1160</v>
      </c>
      <c r="D1281" t="s">
        <v>2383</v>
      </c>
      <c r="E1281" t="s">
        <v>4247</v>
      </c>
      <c r="G1281" t="s">
        <v>5644</v>
      </c>
      <c r="H1281">
        <v>11434</v>
      </c>
      <c r="I1281" t="s">
        <v>5696</v>
      </c>
      <c r="J1281" t="s">
        <v>5696</v>
      </c>
      <c r="K1281" t="s">
        <v>6281</v>
      </c>
      <c r="L1281" t="s">
        <v>6714</v>
      </c>
      <c r="M1281" t="s">
        <v>6736</v>
      </c>
      <c r="O1281" t="s">
        <v>6752</v>
      </c>
      <c r="R1281" t="s">
        <v>6793</v>
      </c>
      <c r="U1281">
        <v>1300</v>
      </c>
      <c r="V1281" t="s">
        <v>6837</v>
      </c>
      <c r="W1281" t="s">
        <v>6839</v>
      </c>
      <c r="Y1281" t="s">
        <v>8073</v>
      </c>
      <c r="AA1281" t="s">
        <v>10103</v>
      </c>
      <c r="AB1281">
        <v>2</v>
      </c>
      <c r="AE1281">
        <v>2</v>
      </c>
      <c r="AF1281">
        <v>1</v>
      </c>
      <c r="AG1281">
        <v>0</v>
      </c>
      <c r="AH1281">
        <v>83.27</v>
      </c>
      <c r="AK1281" t="s">
        <v>10966</v>
      </c>
      <c r="AL1281">
        <v>10400</v>
      </c>
      <c r="AR1281">
        <v>4.45</v>
      </c>
      <c r="AS1281" t="s">
        <v>11163</v>
      </c>
      <c r="AT1281" t="s">
        <v>11210</v>
      </c>
      <c r="AV1281" t="s">
        <v>11231</v>
      </c>
      <c r="AW1281" t="s">
        <v>11126</v>
      </c>
    </row>
    <row r="1282" spans="1:49">
      <c r="A1282" s="1">
        <f>HYPERLINK("https://lsnyc.legalserver.org/matter/dynamic-profile/view/1904465","19-1904465")</f>
        <v>0</v>
      </c>
      <c r="B1282" t="s">
        <v>104</v>
      </c>
      <c r="C1282" t="s">
        <v>1161</v>
      </c>
      <c r="D1282" t="s">
        <v>2528</v>
      </c>
      <c r="E1282" t="s">
        <v>4248</v>
      </c>
      <c r="F1282" t="s">
        <v>5479</v>
      </c>
      <c r="G1282" t="s">
        <v>5635</v>
      </c>
      <c r="H1282">
        <v>10467</v>
      </c>
      <c r="I1282" t="s">
        <v>5696</v>
      </c>
      <c r="J1282" t="s">
        <v>5696</v>
      </c>
      <c r="L1282" t="s">
        <v>6714</v>
      </c>
      <c r="M1282" t="s">
        <v>6736</v>
      </c>
      <c r="O1282" t="s">
        <v>6758</v>
      </c>
      <c r="R1282" t="s">
        <v>6793</v>
      </c>
      <c r="S1282" t="s">
        <v>6805</v>
      </c>
      <c r="U1282">
        <v>545</v>
      </c>
      <c r="V1282" t="s">
        <v>6833</v>
      </c>
      <c r="W1282" t="s">
        <v>6838</v>
      </c>
      <c r="Y1282" t="s">
        <v>8074</v>
      </c>
      <c r="AA1282" t="s">
        <v>10104</v>
      </c>
      <c r="AB1282">
        <v>0</v>
      </c>
      <c r="AC1282" t="s">
        <v>10929</v>
      </c>
      <c r="AE1282">
        <v>30</v>
      </c>
      <c r="AF1282">
        <v>1</v>
      </c>
      <c r="AG1282">
        <v>1</v>
      </c>
      <c r="AH1282">
        <v>92.70999999999999</v>
      </c>
      <c r="AK1282" t="s">
        <v>10966</v>
      </c>
      <c r="AL1282">
        <v>15678</v>
      </c>
      <c r="AR1282">
        <v>1.75</v>
      </c>
      <c r="AS1282" t="s">
        <v>6823</v>
      </c>
      <c r="AT1282" t="s">
        <v>104</v>
      </c>
      <c r="AV1282" t="s">
        <v>11231</v>
      </c>
      <c r="AW1282" t="s">
        <v>6815</v>
      </c>
    </row>
    <row r="1283" spans="1:49">
      <c r="A1283" s="1">
        <f>HYPERLINK("https://lsnyc.legalserver.org/matter/dynamic-profile/view/1903686","19-1903686")</f>
        <v>0</v>
      </c>
      <c r="B1283" t="s">
        <v>129</v>
      </c>
      <c r="C1283" t="s">
        <v>922</v>
      </c>
      <c r="D1283" t="s">
        <v>2024</v>
      </c>
      <c r="E1283" t="s">
        <v>4249</v>
      </c>
      <c r="F1283" t="s">
        <v>5144</v>
      </c>
      <c r="G1283" t="s">
        <v>5637</v>
      </c>
      <c r="H1283">
        <v>11226</v>
      </c>
      <c r="I1283" t="s">
        <v>5695</v>
      </c>
      <c r="J1283" t="s">
        <v>5696</v>
      </c>
      <c r="K1283" t="s">
        <v>6282</v>
      </c>
      <c r="L1283" t="s">
        <v>6714</v>
      </c>
      <c r="M1283" t="s">
        <v>6736</v>
      </c>
      <c r="O1283" t="s">
        <v>6755</v>
      </c>
      <c r="R1283" t="s">
        <v>6793</v>
      </c>
      <c r="T1283" t="s">
        <v>6811</v>
      </c>
      <c r="U1283">
        <v>2360</v>
      </c>
      <c r="V1283" t="s">
        <v>6835</v>
      </c>
      <c r="W1283" t="s">
        <v>6840</v>
      </c>
      <c r="Y1283" t="s">
        <v>8075</v>
      </c>
      <c r="AA1283" t="s">
        <v>10105</v>
      </c>
      <c r="AB1283">
        <v>64</v>
      </c>
      <c r="AE1283">
        <v>-2</v>
      </c>
      <c r="AF1283">
        <v>2</v>
      </c>
      <c r="AG1283">
        <v>0</v>
      </c>
      <c r="AH1283">
        <v>141.93</v>
      </c>
      <c r="AK1283" t="s">
        <v>10966</v>
      </c>
      <c r="AL1283">
        <v>24000</v>
      </c>
      <c r="AR1283">
        <v>11.6</v>
      </c>
      <c r="AS1283" t="s">
        <v>6827</v>
      </c>
      <c r="AT1283" t="s">
        <v>11178</v>
      </c>
      <c r="AU1283" t="s">
        <v>11228</v>
      </c>
      <c r="AV1283" t="s">
        <v>11231</v>
      </c>
      <c r="AW1283" t="s">
        <v>11144</v>
      </c>
    </row>
    <row r="1284" spans="1:49">
      <c r="A1284" s="1">
        <f>HYPERLINK("https://lsnyc.legalserver.org/matter/dynamic-profile/view/1901702","19-1901702")</f>
        <v>0</v>
      </c>
      <c r="B1284" t="s">
        <v>56</v>
      </c>
      <c r="C1284" t="s">
        <v>479</v>
      </c>
      <c r="D1284" t="s">
        <v>2529</v>
      </c>
      <c r="E1284" t="s">
        <v>4250</v>
      </c>
      <c r="F1284" t="s">
        <v>5480</v>
      </c>
      <c r="G1284" t="s">
        <v>5637</v>
      </c>
      <c r="H1284">
        <v>11230</v>
      </c>
      <c r="I1284" t="s">
        <v>5696</v>
      </c>
      <c r="J1284" t="s">
        <v>5696</v>
      </c>
      <c r="K1284" t="s">
        <v>6283</v>
      </c>
      <c r="L1284" t="s">
        <v>6714</v>
      </c>
      <c r="M1284" t="s">
        <v>6736</v>
      </c>
      <c r="O1284" t="s">
        <v>6758</v>
      </c>
      <c r="P1284" t="s">
        <v>5695</v>
      </c>
      <c r="R1284" t="s">
        <v>6793</v>
      </c>
      <c r="U1284">
        <v>246</v>
      </c>
      <c r="V1284" t="s">
        <v>6835</v>
      </c>
      <c r="W1284" t="s">
        <v>6838</v>
      </c>
      <c r="Y1284" t="s">
        <v>8076</v>
      </c>
      <c r="AA1284" t="s">
        <v>10106</v>
      </c>
      <c r="AB1284">
        <v>0</v>
      </c>
      <c r="AC1284" t="s">
        <v>10934</v>
      </c>
      <c r="AE1284">
        <v>0</v>
      </c>
      <c r="AF1284">
        <v>1</v>
      </c>
      <c r="AG1284">
        <v>0</v>
      </c>
      <c r="AH1284">
        <v>103.28</v>
      </c>
      <c r="AK1284" t="s">
        <v>10966</v>
      </c>
      <c r="AL1284">
        <v>12900</v>
      </c>
      <c r="AR1284">
        <v>10.9</v>
      </c>
      <c r="AS1284" t="s">
        <v>6827</v>
      </c>
      <c r="AT1284" t="s">
        <v>11193</v>
      </c>
      <c r="AV1284" t="s">
        <v>11231</v>
      </c>
      <c r="AW1284" t="s">
        <v>11124</v>
      </c>
    </row>
    <row r="1285" spans="1:49">
      <c r="A1285" s="1">
        <f>HYPERLINK("https://lsnyc.legalserver.org/matter/dynamic-profile/view/1904237","19-1904237")</f>
        <v>0</v>
      </c>
      <c r="B1285" t="s">
        <v>99</v>
      </c>
      <c r="C1285" t="s">
        <v>533</v>
      </c>
      <c r="D1285" t="s">
        <v>2530</v>
      </c>
      <c r="E1285" t="s">
        <v>4251</v>
      </c>
      <c r="F1285" t="s">
        <v>5233</v>
      </c>
      <c r="G1285" t="s">
        <v>5637</v>
      </c>
      <c r="H1285">
        <v>11222</v>
      </c>
      <c r="I1285" t="s">
        <v>5696</v>
      </c>
      <c r="J1285" t="s">
        <v>5696</v>
      </c>
      <c r="K1285" t="s">
        <v>6284</v>
      </c>
      <c r="L1285" t="s">
        <v>6714</v>
      </c>
      <c r="M1285" t="s">
        <v>6736</v>
      </c>
      <c r="O1285" t="s">
        <v>6787</v>
      </c>
      <c r="P1285" t="s">
        <v>5697</v>
      </c>
      <c r="R1285" t="s">
        <v>6793</v>
      </c>
      <c r="T1285" t="s">
        <v>6818</v>
      </c>
      <c r="U1285">
        <v>742.25</v>
      </c>
      <c r="V1285" t="s">
        <v>6835</v>
      </c>
      <c r="W1285" t="s">
        <v>6839</v>
      </c>
      <c r="Y1285" t="s">
        <v>8077</v>
      </c>
      <c r="AA1285" t="s">
        <v>10107</v>
      </c>
      <c r="AB1285">
        <v>8</v>
      </c>
      <c r="AC1285" t="s">
        <v>10929</v>
      </c>
      <c r="AE1285">
        <v>41</v>
      </c>
      <c r="AF1285">
        <v>2</v>
      </c>
      <c r="AG1285">
        <v>0</v>
      </c>
      <c r="AH1285">
        <v>23.14</v>
      </c>
      <c r="AK1285" t="s">
        <v>10967</v>
      </c>
      <c r="AL1285">
        <v>3913.2</v>
      </c>
      <c r="AR1285">
        <v>8</v>
      </c>
      <c r="AS1285" t="s">
        <v>6821</v>
      </c>
      <c r="AT1285" t="s">
        <v>99</v>
      </c>
      <c r="AV1285" t="s">
        <v>11231</v>
      </c>
      <c r="AW1285" t="s">
        <v>6818</v>
      </c>
    </row>
    <row r="1286" spans="1:49">
      <c r="A1286" s="1">
        <f>HYPERLINK("https://lsnyc.legalserver.org/matter/dynamic-profile/view/1901200","19-1901200")</f>
        <v>0</v>
      </c>
      <c r="B1286" t="s">
        <v>231</v>
      </c>
      <c r="C1286" t="s">
        <v>1162</v>
      </c>
      <c r="D1286" t="s">
        <v>1924</v>
      </c>
      <c r="E1286" t="s">
        <v>3502</v>
      </c>
      <c r="F1286" t="s">
        <v>5481</v>
      </c>
      <c r="G1286" t="s">
        <v>5637</v>
      </c>
      <c r="H1286">
        <v>11225</v>
      </c>
      <c r="I1286" t="s">
        <v>5697</v>
      </c>
      <c r="J1286" t="s">
        <v>5696</v>
      </c>
      <c r="K1286" t="s">
        <v>6285</v>
      </c>
      <c r="L1286" t="s">
        <v>6714</v>
      </c>
      <c r="M1286" t="s">
        <v>6736</v>
      </c>
      <c r="O1286" t="s">
        <v>6755</v>
      </c>
      <c r="R1286" t="s">
        <v>6793</v>
      </c>
      <c r="U1286">
        <v>1010</v>
      </c>
      <c r="V1286" t="s">
        <v>6835</v>
      </c>
      <c r="W1286" t="s">
        <v>6854</v>
      </c>
      <c r="Y1286" t="s">
        <v>8078</v>
      </c>
      <c r="AA1286" t="s">
        <v>10108</v>
      </c>
      <c r="AB1286">
        <v>0</v>
      </c>
      <c r="AD1286" t="s">
        <v>10944</v>
      </c>
      <c r="AE1286">
        <v>17</v>
      </c>
      <c r="AF1286">
        <v>1</v>
      </c>
      <c r="AG1286">
        <v>1</v>
      </c>
      <c r="AH1286">
        <v>235.36</v>
      </c>
      <c r="AI1286" t="s">
        <v>10953</v>
      </c>
      <c r="AJ1286" t="s">
        <v>10963</v>
      </c>
      <c r="AK1286" t="s">
        <v>10966</v>
      </c>
      <c r="AL1286">
        <v>39800</v>
      </c>
      <c r="AR1286">
        <v>5.5</v>
      </c>
      <c r="AS1286" t="s">
        <v>6821</v>
      </c>
      <c r="AT1286" t="s">
        <v>11190</v>
      </c>
      <c r="AU1286" t="s">
        <v>11228</v>
      </c>
      <c r="AV1286" t="s">
        <v>11231</v>
      </c>
      <c r="AW1286" t="s">
        <v>11162</v>
      </c>
    </row>
    <row r="1287" spans="1:49">
      <c r="A1287" s="1">
        <f>HYPERLINK("https://lsnyc.legalserver.org/matter/dynamic-profile/view/1903214","19-1903214")</f>
        <v>0</v>
      </c>
      <c r="B1287" t="s">
        <v>255</v>
      </c>
      <c r="C1287" t="s">
        <v>1163</v>
      </c>
      <c r="D1287" t="s">
        <v>2531</v>
      </c>
      <c r="E1287" t="s">
        <v>4252</v>
      </c>
      <c r="F1287" t="s">
        <v>5140</v>
      </c>
      <c r="G1287" t="s">
        <v>5637</v>
      </c>
      <c r="H1287">
        <v>11216</v>
      </c>
      <c r="I1287" t="s">
        <v>5695</v>
      </c>
      <c r="J1287" t="s">
        <v>5696</v>
      </c>
      <c r="K1287" t="s">
        <v>6286</v>
      </c>
      <c r="L1287" t="s">
        <v>6714</v>
      </c>
      <c r="M1287" t="s">
        <v>6736</v>
      </c>
      <c r="O1287" t="s">
        <v>6755</v>
      </c>
      <c r="P1287" t="s">
        <v>5697</v>
      </c>
      <c r="R1287" t="s">
        <v>6793</v>
      </c>
      <c r="T1287" t="s">
        <v>6811</v>
      </c>
      <c r="U1287">
        <v>1000</v>
      </c>
      <c r="V1287" t="s">
        <v>6835</v>
      </c>
      <c r="W1287" t="s">
        <v>6854</v>
      </c>
      <c r="Y1287" t="s">
        <v>8079</v>
      </c>
      <c r="AA1287" t="s">
        <v>10109</v>
      </c>
      <c r="AB1287">
        <v>0</v>
      </c>
      <c r="AE1287">
        <v>-1</v>
      </c>
      <c r="AF1287">
        <v>1</v>
      </c>
      <c r="AG1287">
        <v>0</v>
      </c>
      <c r="AH1287">
        <v>115.29</v>
      </c>
      <c r="AK1287" t="s">
        <v>10966</v>
      </c>
      <c r="AL1287">
        <v>14400</v>
      </c>
      <c r="AR1287">
        <v>0.13</v>
      </c>
      <c r="AS1287" t="s">
        <v>11139</v>
      </c>
      <c r="AT1287" t="s">
        <v>11197</v>
      </c>
      <c r="AU1287" t="s">
        <v>11228</v>
      </c>
      <c r="AV1287" t="s">
        <v>11231</v>
      </c>
      <c r="AW1287" t="s">
        <v>11139</v>
      </c>
    </row>
    <row r="1288" spans="1:49">
      <c r="A1288" s="1">
        <f>HYPERLINK("https://lsnyc.legalserver.org/matter/dynamic-profile/view/1900519","19-1900519")</f>
        <v>0</v>
      </c>
      <c r="B1288" t="s">
        <v>95</v>
      </c>
      <c r="C1288" t="s">
        <v>643</v>
      </c>
      <c r="D1288" t="s">
        <v>2532</v>
      </c>
      <c r="E1288" t="s">
        <v>4253</v>
      </c>
      <c r="F1288" t="s">
        <v>5197</v>
      </c>
      <c r="G1288" t="s">
        <v>5637</v>
      </c>
      <c r="H1288">
        <v>11226</v>
      </c>
      <c r="I1288" t="s">
        <v>5696</v>
      </c>
      <c r="J1288" t="s">
        <v>5696</v>
      </c>
      <c r="K1288" t="s">
        <v>6287</v>
      </c>
      <c r="L1288" t="s">
        <v>6714</v>
      </c>
      <c r="M1288" t="s">
        <v>6736</v>
      </c>
      <c r="O1288" t="s">
        <v>6755</v>
      </c>
      <c r="R1288" t="s">
        <v>6793</v>
      </c>
      <c r="U1288">
        <v>2400</v>
      </c>
      <c r="V1288" t="s">
        <v>6835</v>
      </c>
      <c r="Y1288" t="s">
        <v>8080</v>
      </c>
      <c r="AA1288" t="s">
        <v>10110</v>
      </c>
      <c r="AB1288">
        <v>0</v>
      </c>
      <c r="AE1288">
        <v>5</v>
      </c>
      <c r="AF1288">
        <v>2</v>
      </c>
      <c r="AG1288">
        <v>2</v>
      </c>
      <c r="AH1288">
        <v>141.36</v>
      </c>
      <c r="AK1288" t="s">
        <v>10966</v>
      </c>
      <c r="AL1288">
        <v>36400</v>
      </c>
      <c r="AR1288">
        <v>4.55</v>
      </c>
      <c r="AS1288" t="s">
        <v>6827</v>
      </c>
      <c r="AT1288" t="s">
        <v>11192</v>
      </c>
      <c r="AV1288" t="s">
        <v>11231</v>
      </c>
      <c r="AW1288" t="s">
        <v>6895</v>
      </c>
    </row>
    <row r="1289" spans="1:49">
      <c r="A1289" s="1">
        <f>HYPERLINK("https://lsnyc.legalserver.org/matter/dynamic-profile/view/1904622","19-1904622")</f>
        <v>0</v>
      </c>
      <c r="B1289" t="s">
        <v>82</v>
      </c>
      <c r="C1289" t="s">
        <v>975</v>
      </c>
      <c r="D1289" t="s">
        <v>1757</v>
      </c>
      <c r="E1289" t="s">
        <v>3954</v>
      </c>
      <c r="F1289" t="s">
        <v>5344</v>
      </c>
      <c r="G1289" t="s">
        <v>5637</v>
      </c>
      <c r="H1289">
        <v>11216</v>
      </c>
      <c r="I1289" t="s">
        <v>5695</v>
      </c>
      <c r="J1289" t="s">
        <v>5696</v>
      </c>
      <c r="K1289" t="s">
        <v>6081</v>
      </c>
      <c r="L1289" t="s">
        <v>6714</v>
      </c>
      <c r="M1289" t="s">
        <v>6736</v>
      </c>
      <c r="O1289" t="s">
        <v>6755</v>
      </c>
      <c r="P1289" t="s">
        <v>5697</v>
      </c>
      <c r="R1289" t="s">
        <v>6793</v>
      </c>
      <c r="U1289">
        <v>1871</v>
      </c>
      <c r="V1289" t="s">
        <v>6835</v>
      </c>
      <c r="W1289" t="s">
        <v>6854</v>
      </c>
      <c r="Y1289" t="s">
        <v>7750</v>
      </c>
      <c r="AA1289" t="s">
        <v>10111</v>
      </c>
      <c r="AB1289">
        <v>0</v>
      </c>
      <c r="AD1289" t="s">
        <v>10944</v>
      </c>
      <c r="AE1289">
        <v>5</v>
      </c>
      <c r="AF1289">
        <v>1</v>
      </c>
      <c r="AG1289">
        <v>2</v>
      </c>
      <c r="AH1289">
        <v>97.52</v>
      </c>
      <c r="AK1289" t="s">
        <v>10967</v>
      </c>
      <c r="AL1289">
        <v>20800</v>
      </c>
      <c r="AR1289">
        <v>1</v>
      </c>
      <c r="AS1289" t="s">
        <v>6810</v>
      </c>
      <c r="AT1289" t="s">
        <v>11197</v>
      </c>
      <c r="AU1289" t="s">
        <v>11228</v>
      </c>
      <c r="AV1289" t="s">
        <v>11231</v>
      </c>
      <c r="AW1289" t="s">
        <v>6809</v>
      </c>
    </row>
    <row r="1290" spans="1:49">
      <c r="A1290" s="1">
        <f>HYPERLINK("https://lsnyc.legalserver.org/matter/dynamic-profile/view/1903093","19-1903093")</f>
        <v>0</v>
      </c>
      <c r="B1290" t="s">
        <v>90</v>
      </c>
      <c r="C1290" t="s">
        <v>1164</v>
      </c>
      <c r="D1290" t="s">
        <v>2533</v>
      </c>
      <c r="E1290" t="s">
        <v>3462</v>
      </c>
      <c r="F1290">
        <v>403</v>
      </c>
      <c r="G1290" t="s">
        <v>5637</v>
      </c>
      <c r="H1290">
        <v>11216</v>
      </c>
      <c r="I1290" t="s">
        <v>5695</v>
      </c>
      <c r="J1290" t="s">
        <v>5696</v>
      </c>
      <c r="K1290" t="s">
        <v>6288</v>
      </c>
      <c r="L1290" t="s">
        <v>6714</v>
      </c>
      <c r="M1290" t="s">
        <v>6736</v>
      </c>
      <c r="O1290" t="s">
        <v>6755</v>
      </c>
      <c r="P1290" t="s">
        <v>5697</v>
      </c>
      <c r="R1290" t="s">
        <v>6793</v>
      </c>
      <c r="T1290" t="s">
        <v>6811</v>
      </c>
      <c r="U1290">
        <v>2350</v>
      </c>
      <c r="V1290" t="s">
        <v>6835</v>
      </c>
      <c r="W1290" t="s">
        <v>6854</v>
      </c>
      <c r="Y1290" t="s">
        <v>8081</v>
      </c>
      <c r="AA1290" t="s">
        <v>10112</v>
      </c>
      <c r="AB1290">
        <v>0</v>
      </c>
      <c r="AE1290">
        <v>4</v>
      </c>
      <c r="AF1290">
        <v>1</v>
      </c>
      <c r="AG1290">
        <v>0</v>
      </c>
      <c r="AH1290">
        <v>192.15</v>
      </c>
      <c r="AK1290" t="s">
        <v>10966</v>
      </c>
      <c r="AL1290">
        <v>24000</v>
      </c>
      <c r="AR1290">
        <v>6.2</v>
      </c>
      <c r="AS1290" t="s">
        <v>6812</v>
      </c>
      <c r="AT1290" t="s">
        <v>11197</v>
      </c>
      <c r="AU1290" t="s">
        <v>11228</v>
      </c>
      <c r="AV1290" t="s">
        <v>11231</v>
      </c>
      <c r="AW1290" t="s">
        <v>10953</v>
      </c>
    </row>
    <row r="1291" spans="1:49">
      <c r="A1291" s="1">
        <f>HYPERLINK("https://lsnyc.legalserver.org/matter/dynamic-profile/view/1901018","19-1901018")</f>
        <v>0</v>
      </c>
      <c r="B1291" t="s">
        <v>75</v>
      </c>
      <c r="C1291" t="s">
        <v>1069</v>
      </c>
      <c r="D1291" t="s">
        <v>710</v>
      </c>
      <c r="E1291" t="s">
        <v>4254</v>
      </c>
      <c r="F1291" t="s">
        <v>5144</v>
      </c>
      <c r="G1291" t="s">
        <v>5638</v>
      </c>
      <c r="H1291">
        <v>10039</v>
      </c>
      <c r="I1291" t="s">
        <v>5696</v>
      </c>
      <c r="J1291" t="s">
        <v>5696</v>
      </c>
      <c r="K1291" t="s">
        <v>6289</v>
      </c>
      <c r="L1291" t="s">
        <v>6714</v>
      </c>
      <c r="M1291" t="s">
        <v>6736</v>
      </c>
      <c r="O1291" t="s">
        <v>6758</v>
      </c>
      <c r="R1291" t="s">
        <v>6793</v>
      </c>
      <c r="S1291" t="s">
        <v>6801</v>
      </c>
      <c r="U1291">
        <v>0</v>
      </c>
      <c r="V1291" t="s">
        <v>6836</v>
      </c>
      <c r="Y1291" t="s">
        <v>8082</v>
      </c>
      <c r="AA1291" t="s">
        <v>10113</v>
      </c>
      <c r="AB1291">
        <v>0</v>
      </c>
      <c r="AE1291">
        <v>0</v>
      </c>
      <c r="AF1291">
        <v>3</v>
      </c>
      <c r="AG1291">
        <v>0</v>
      </c>
      <c r="AH1291">
        <v>95.64</v>
      </c>
      <c r="AK1291" t="s">
        <v>10966</v>
      </c>
      <c r="AL1291">
        <v>20400</v>
      </c>
      <c r="AR1291">
        <v>8.1</v>
      </c>
      <c r="AS1291" t="s">
        <v>6807</v>
      </c>
      <c r="AT1291" t="s">
        <v>75</v>
      </c>
      <c r="AV1291" t="s">
        <v>11231</v>
      </c>
      <c r="AW1291" t="s">
        <v>11120</v>
      </c>
    </row>
    <row r="1292" spans="1:49">
      <c r="A1292" s="1">
        <f>HYPERLINK("https://lsnyc.legalserver.org/matter/dynamic-profile/view/1902784","19-1902784")</f>
        <v>0</v>
      </c>
      <c r="B1292" t="s">
        <v>215</v>
      </c>
      <c r="C1292" t="s">
        <v>321</v>
      </c>
      <c r="D1292" t="s">
        <v>2534</v>
      </c>
      <c r="E1292" t="s">
        <v>4255</v>
      </c>
      <c r="F1292" t="s">
        <v>5482</v>
      </c>
      <c r="G1292" t="s">
        <v>5637</v>
      </c>
      <c r="H1292">
        <v>11238</v>
      </c>
      <c r="I1292" t="s">
        <v>5695</v>
      </c>
      <c r="J1292" t="s">
        <v>5696</v>
      </c>
      <c r="L1292" t="s">
        <v>6714</v>
      </c>
      <c r="M1292" t="s">
        <v>6736</v>
      </c>
      <c r="O1292" t="s">
        <v>6746</v>
      </c>
      <c r="R1292" t="s">
        <v>6794</v>
      </c>
      <c r="U1292">
        <v>248</v>
      </c>
      <c r="V1292" t="s">
        <v>6835</v>
      </c>
      <c r="W1292" t="s">
        <v>6840</v>
      </c>
      <c r="Y1292" t="s">
        <v>8083</v>
      </c>
      <c r="AA1292" t="s">
        <v>10114</v>
      </c>
      <c r="AB1292">
        <v>310</v>
      </c>
      <c r="AE1292">
        <v>6</v>
      </c>
      <c r="AF1292">
        <v>1</v>
      </c>
      <c r="AG1292">
        <v>0</v>
      </c>
      <c r="AH1292">
        <v>94.16</v>
      </c>
      <c r="AK1292" t="s">
        <v>10966</v>
      </c>
      <c r="AL1292">
        <v>11760</v>
      </c>
      <c r="AR1292">
        <v>1.2</v>
      </c>
      <c r="AS1292" t="s">
        <v>6826</v>
      </c>
      <c r="AT1292" t="s">
        <v>11190</v>
      </c>
      <c r="AU1292" t="s">
        <v>11228</v>
      </c>
      <c r="AV1292" t="s">
        <v>11231</v>
      </c>
      <c r="AW1292" t="s">
        <v>11133</v>
      </c>
    </row>
    <row r="1293" spans="1:49">
      <c r="A1293" s="1">
        <f>HYPERLINK("https://lsnyc.legalserver.org/matter/dynamic-profile/view/1898577","19-1898577")</f>
        <v>0</v>
      </c>
      <c r="B1293" t="s">
        <v>224</v>
      </c>
      <c r="C1293" t="s">
        <v>409</v>
      </c>
      <c r="D1293" t="s">
        <v>2535</v>
      </c>
      <c r="E1293" t="s">
        <v>4256</v>
      </c>
      <c r="F1293" t="s">
        <v>5483</v>
      </c>
      <c r="G1293" t="s">
        <v>5637</v>
      </c>
      <c r="H1293">
        <v>11233</v>
      </c>
      <c r="I1293" t="s">
        <v>5697</v>
      </c>
      <c r="J1293" t="s">
        <v>5697</v>
      </c>
      <c r="K1293" t="s">
        <v>6290</v>
      </c>
      <c r="L1293" t="s">
        <v>6714</v>
      </c>
      <c r="M1293" t="s">
        <v>6736</v>
      </c>
      <c r="O1293" t="s">
        <v>6746</v>
      </c>
      <c r="R1293" t="s">
        <v>6794</v>
      </c>
      <c r="U1293">
        <v>751</v>
      </c>
      <c r="V1293" t="s">
        <v>6835</v>
      </c>
      <c r="W1293" t="s">
        <v>6840</v>
      </c>
      <c r="Y1293" t="s">
        <v>8084</v>
      </c>
      <c r="Z1293" t="s">
        <v>9011</v>
      </c>
      <c r="AA1293" t="s">
        <v>10115</v>
      </c>
      <c r="AB1293">
        <v>0</v>
      </c>
      <c r="AE1293">
        <v>0</v>
      </c>
      <c r="AF1293">
        <v>2</v>
      </c>
      <c r="AG1293">
        <v>0</v>
      </c>
      <c r="AH1293">
        <v>32</v>
      </c>
      <c r="AK1293" t="s">
        <v>10967</v>
      </c>
      <c r="AL1293">
        <v>5412</v>
      </c>
      <c r="AR1293">
        <v>7.6</v>
      </c>
      <c r="AS1293" t="s">
        <v>6813</v>
      </c>
      <c r="AT1293" t="s">
        <v>11190</v>
      </c>
      <c r="AV1293" t="s">
        <v>11231</v>
      </c>
      <c r="AW1293" t="s">
        <v>11123</v>
      </c>
    </row>
    <row r="1294" spans="1:49">
      <c r="A1294" s="1">
        <f>HYPERLINK("https://lsnyc.legalserver.org/matter/dynamic-profile/view/1903720","19-1903720")</f>
        <v>0</v>
      </c>
      <c r="B1294" t="s">
        <v>255</v>
      </c>
      <c r="C1294" t="s">
        <v>708</v>
      </c>
      <c r="D1294" t="s">
        <v>1773</v>
      </c>
      <c r="E1294" t="s">
        <v>4257</v>
      </c>
      <c r="F1294" t="s">
        <v>5110</v>
      </c>
      <c r="G1294" t="s">
        <v>5637</v>
      </c>
      <c r="H1294">
        <v>11216</v>
      </c>
      <c r="I1294" t="s">
        <v>5695</v>
      </c>
      <c r="J1294" t="s">
        <v>5696</v>
      </c>
      <c r="K1294" t="s">
        <v>6291</v>
      </c>
      <c r="L1294" t="s">
        <v>6714</v>
      </c>
      <c r="M1294" t="s">
        <v>6736</v>
      </c>
      <c r="O1294" t="s">
        <v>6755</v>
      </c>
      <c r="P1294" t="s">
        <v>5697</v>
      </c>
      <c r="R1294" t="s">
        <v>6793</v>
      </c>
      <c r="U1294">
        <v>2350</v>
      </c>
      <c r="V1294" t="s">
        <v>6835</v>
      </c>
      <c r="W1294" t="s">
        <v>6854</v>
      </c>
      <c r="Y1294" t="s">
        <v>7192</v>
      </c>
      <c r="AA1294" t="s">
        <v>10116</v>
      </c>
      <c r="AB1294">
        <v>0</v>
      </c>
      <c r="AE1294">
        <v>2</v>
      </c>
      <c r="AF1294">
        <v>1</v>
      </c>
      <c r="AG1294">
        <v>0</v>
      </c>
      <c r="AH1294">
        <v>192.15</v>
      </c>
      <c r="AK1294" t="s">
        <v>10966</v>
      </c>
      <c r="AL1294">
        <v>24000</v>
      </c>
      <c r="AR1294">
        <v>0</v>
      </c>
      <c r="AT1294" t="s">
        <v>11197</v>
      </c>
      <c r="AU1294" t="s">
        <v>11228</v>
      </c>
      <c r="AV1294" t="s">
        <v>11231</v>
      </c>
      <c r="AW1294" t="s">
        <v>6811</v>
      </c>
    </row>
    <row r="1295" spans="1:49">
      <c r="A1295" s="1">
        <f>HYPERLINK("https://lsnyc.legalserver.org/matter/dynamic-profile/view/1903742","19-1903742")</f>
        <v>0</v>
      </c>
      <c r="B1295" t="s">
        <v>255</v>
      </c>
      <c r="C1295" t="s">
        <v>872</v>
      </c>
      <c r="D1295" t="s">
        <v>2536</v>
      </c>
      <c r="E1295" t="s">
        <v>3954</v>
      </c>
      <c r="F1295" t="s">
        <v>5347</v>
      </c>
      <c r="G1295" t="s">
        <v>5637</v>
      </c>
      <c r="H1295">
        <v>11216</v>
      </c>
      <c r="I1295" t="s">
        <v>5695</v>
      </c>
      <c r="J1295" t="s">
        <v>5696</v>
      </c>
      <c r="K1295" t="s">
        <v>6292</v>
      </c>
      <c r="L1295" t="s">
        <v>6714</v>
      </c>
      <c r="M1295" t="s">
        <v>6736</v>
      </c>
      <c r="O1295" t="s">
        <v>6755</v>
      </c>
      <c r="P1295" t="s">
        <v>5697</v>
      </c>
      <c r="R1295" t="s">
        <v>6793</v>
      </c>
      <c r="U1295">
        <v>256</v>
      </c>
      <c r="V1295" t="s">
        <v>6835</v>
      </c>
      <c r="W1295" t="s">
        <v>6854</v>
      </c>
      <c r="Y1295" t="s">
        <v>8085</v>
      </c>
      <c r="AA1295" t="s">
        <v>10117</v>
      </c>
      <c r="AB1295">
        <v>0</v>
      </c>
      <c r="AD1295" t="s">
        <v>10944</v>
      </c>
      <c r="AE1295">
        <v>30</v>
      </c>
      <c r="AF1295">
        <v>1</v>
      </c>
      <c r="AG1295">
        <v>0</v>
      </c>
      <c r="AH1295">
        <v>107.03</v>
      </c>
      <c r="AK1295" t="s">
        <v>10966</v>
      </c>
      <c r="AL1295">
        <v>13368</v>
      </c>
      <c r="AR1295">
        <v>0</v>
      </c>
      <c r="AT1295" t="s">
        <v>11197</v>
      </c>
      <c r="AU1295" t="s">
        <v>11228</v>
      </c>
      <c r="AV1295" t="s">
        <v>11231</v>
      </c>
      <c r="AW1295" t="s">
        <v>6811</v>
      </c>
    </row>
    <row r="1296" spans="1:49">
      <c r="A1296" s="1">
        <f>HYPERLINK("https://lsnyc.legalserver.org/matter/dynamic-profile/view/1900543","19-1900543")</f>
        <v>0</v>
      </c>
      <c r="B1296" t="s">
        <v>95</v>
      </c>
      <c r="C1296" t="s">
        <v>1165</v>
      </c>
      <c r="D1296" t="s">
        <v>2537</v>
      </c>
      <c r="E1296" t="s">
        <v>4258</v>
      </c>
      <c r="F1296" t="s">
        <v>5484</v>
      </c>
      <c r="G1296" t="s">
        <v>5637</v>
      </c>
      <c r="H1296">
        <v>11226</v>
      </c>
      <c r="I1296" t="s">
        <v>5695</v>
      </c>
      <c r="J1296" t="s">
        <v>5696</v>
      </c>
      <c r="K1296" t="s">
        <v>6293</v>
      </c>
      <c r="L1296" t="s">
        <v>6714</v>
      </c>
      <c r="M1296" t="s">
        <v>6736</v>
      </c>
      <c r="O1296" t="s">
        <v>6755</v>
      </c>
      <c r="R1296" t="s">
        <v>6793</v>
      </c>
      <c r="U1296">
        <v>107</v>
      </c>
      <c r="V1296" t="s">
        <v>6835</v>
      </c>
      <c r="W1296" t="s">
        <v>6840</v>
      </c>
      <c r="Y1296" t="s">
        <v>8086</v>
      </c>
      <c r="AA1296" t="s">
        <v>10118</v>
      </c>
      <c r="AB1296">
        <v>34</v>
      </c>
      <c r="AD1296" t="s">
        <v>10944</v>
      </c>
      <c r="AE1296">
        <v>12</v>
      </c>
      <c r="AF1296">
        <v>1</v>
      </c>
      <c r="AG1296">
        <v>0</v>
      </c>
      <c r="AH1296">
        <v>0</v>
      </c>
      <c r="AK1296" t="s">
        <v>10966</v>
      </c>
      <c r="AL1296">
        <v>0</v>
      </c>
      <c r="AR1296">
        <v>5.05</v>
      </c>
      <c r="AS1296" t="s">
        <v>6821</v>
      </c>
      <c r="AT1296" t="s">
        <v>11178</v>
      </c>
      <c r="AU1296" t="s">
        <v>11228</v>
      </c>
      <c r="AV1296" t="s">
        <v>11231</v>
      </c>
      <c r="AW1296" t="s">
        <v>11157</v>
      </c>
    </row>
    <row r="1297" spans="1:49">
      <c r="A1297" s="1">
        <f>HYPERLINK("https://lsnyc.legalserver.org/matter/dynamic-profile/view/1903836","19-1903836")</f>
        <v>0</v>
      </c>
      <c r="B1297" t="s">
        <v>231</v>
      </c>
      <c r="C1297" t="s">
        <v>1166</v>
      </c>
      <c r="D1297" t="s">
        <v>2538</v>
      </c>
      <c r="E1297" t="s">
        <v>4259</v>
      </c>
      <c r="F1297" t="s">
        <v>5283</v>
      </c>
      <c r="G1297" t="s">
        <v>5637</v>
      </c>
      <c r="H1297">
        <v>11221</v>
      </c>
      <c r="I1297" t="s">
        <v>5695</v>
      </c>
      <c r="J1297" t="s">
        <v>5696</v>
      </c>
      <c r="K1297" t="s">
        <v>6294</v>
      </c>
      <c r="L1297" t="s">
        <v>6714</v>
      </c>
      <c r="M1297" t="s">
        <v>6736</v>
      </c>
      <c r="O1297" t="s">
        <v>6755</v>
      </c>
      <c r="R1297" t="s">
        <v>6793</v>
      </c>
      <c r="U1297">
        <v>1575</v>
      </c>
      <c r="V1297" t="s">
        <v>6835</v>
      </c>
      <c r="W1297" t="s">
        <v>6854</v>
      </c>
      <c r="Y1297" t="s">
        <v>8087</v>
      </c>
      <c r="AA1297" t="s">
        <v>10119</v>
      </c>
      <c r="AB1297">
        <v>2</v>
      </c>
      <c r="AE1297">
        <v>11</v>
      </c>
      <c r="AF1297">
        <v>2</v>
      </c>
      <c r="AG1297">
        <v>0</v>
      </c>
      <c r="AH1297">
        <v>171.5</v>
      </c>
      <c r="AK1297" t="s">
        <v>10966</v>
      </c>
      <c r="AL1297">
        <v>29000</v>
      </c>
      <c r="AR1297">
        <v>2.25</v>
      </c>
      <c r="AS1297" t="s">
        <v>6820</v>
      </c>
      <c r="AT1297" t="s">
        <v>11178</v>
      </c>
      <c r="AU1297" t="s">
        <v>11228</v>
      </c>
      <c r="AV1297" t="s">
        <v>11231</v>
      </c>
      <c r="AW1297" t="s">
        <v>6807</v>
      </c>
    </row>
    <row r="1298" spans="1:49">
      <c r="A1298" s="1">
        <f>HYPERLINK("https://lsnyc.legalserver.org/matter/dynamic-profile/view/1902596","19-1902596")</f>
        <v>0</v>
      </c>
      <c r="B1298" t="s">
        <v>129</v>
      </c>
      <c r="C1298" t="s">
        <v>877</v>
      </c>
      <c r="D1298" t="s">
        <v>2539</v>
      </c>
      <c r="E1298" t="s">
        <v>4260</v>
      </c>
      <c r="F1298" t="s">
        <v>5237</v>
      </c>
      <c r="G1298" t="s">
        <v>5637</v>
      </c>
      <c r="H1298">
        <v>11225</v>
      </c>
      <c r="I1298" t="s">
        <v>5696</v>
      </c>
      <c r="J1298" t="s">
        <v>5696</v>
      </c>
      <c r="K1298" t="s">
        <v>6295</v>
      </c>
      <c r="L1298" t="s">
        <v>6714</v>
      </c>
      <c r="M1298" t="s">
        <v>6736</v>
      </c>
      <c r="O1298" t="s">
        <v>6755</v>
      </c>
      <c r="R1298" t="s">
        <v>6793</v>
      </c>
      <c r="U1298">
        <v>1200</v>
      </c>
      <c r="V1298" t="s">
        <v>6835</v>
      </c>
      <c r="W1298" t="s">
        <v>6843</v>
      </c>
      <c r="Y1298" t="s">
        <v>8088</v>
      </c>
      <c r="AA1298" t="s">
        <v>10120</v>
      </c>
      <c r="AB1298">
        <v>30</v>
      </c>
      <c r="AD1298" t="s">
        <v>5741</v>
      </c>
      <c r="AE1298">
        <v>27</v>
      </c>
      <c r="AF1298">
        <v>2</v>
      </c>
      <c r="AG1298">
        <v>1</v>
      </c>
      <c r="AH1298">
        <v>85.33</v>
      </c>
      <c r="AK1298" t="s">
        <v>10966</v>
      </c>
      <c r="AL1298">
        <v>18200</v>
      </c>
      <c r="AR1298">
        <v>3.4</v>
      </c>
      <c r="AS1298" t="s">
        <v>6821</v>
      </c>
      <c r="AT1298" t="s">
        <v>11178</v>
      </c>
      <c r="AV1298" t="s">
        <v>11231</v>
      </c>
      <c r="AW1298" t="s">
        <v>11116</v>
      </c>
    </row>
    <row r="1299" spans="1:49">
      <c r="A1299" s="1">
        <f>HYPERLINK("https://lsnyc.legalserver.org/matter/dynamic-profile/view/1901291","19-1901291")</f>
        <v>0</v>
      </c>
      <c r="B1299" t="s">
        <v>129</v>
      </c>
      <c r="C1299" t="s">
        <v>877</v>
      </c>
      <c r="D1299" t="s">
        <v>2539</v>
      </c>
      <c r="E1299" t="s">
        <v>4260</v>
      </c>
      <c r="F1299" t="s">
        <v>5237</v>
      </c>
      <c r="G1299" t="s">
        <v>5637</v>
      </c>
      <c r="H1299">
        <v>11225</v>
      </c>
      <c r="I1299" t="s">
        <v>5696</v>
      </c>
      <c r="J1299" t="s">
        <v>5696</v>
      </c>
      <c r="K1299" t="s">
        <v>6296</v>
      </c>
      <c r="L1299" t="s">
        <v>6714</v>
      </c>
      <c r="M1299" t="s">
        <v>6736</v>
      </c>
      <c r="O1299" t="s">
        <v>6755</v>
      </c>
      <c r="R1299" t="s">
        <v>6793</v>
      </c>
      <c r="U1299">
        <v>1200</v>
      </c>
      <c r="V1299" t="s">
        <v>6835</v>
      </c>
      <c r="Y1299" t="s">
        <v>8088</v>
      </c>
      <c r="AA1299" t="s">
        <v>10120</v>
      </c>
      <c r="AB1299">
        <v>30</v>
      </c>
      <c r="AD1299" t="s">
        <v>5741</v>
      </c>
      <c r="AE1299">
        <v>27</v>
      </c>
      <c r="AF1299">
        <v>2</v>
      </c>
      <c r="AG1299">
        <v>1</v>
      </c>
      <c r="AH1299">
        <v>85.33</v>
      </c>
      <c r="AK1299" t="s">
        <v>10966</v>
      </c>
      <c r="AL1299">
        <v>18200</v>
      </c>
      <c r="AR1299">
        <v>6.1</v>
      </c>
      <c r="AS1299" t="s">
        <v>6821</v>
      </c>
      <c r="AT1299" t="s">
        <v>11178</v>
      </c>
      <c r="AV1299" t="s">
        <v>11231</v>
      </c>
      <c r="AW1299" t="s">
        <v>11162</v>
      </c>
    </row>
    <row r="1300" spans="1:49">
      <c r="A1300" s="1">
        <f>HYPERLINK("https://lsnyc.legalserver.org/matter/dynamic-profile/view/1902739","19-1902739")</f>
        <v>0</v>
      </c>
      <c r="B1300" t="s">
        <v>236</v>
      </c>
      <c r="C1300" t="s">
        <v>1167</v>
      </c>
      <c r="D1300" t="s">
        <v>2540</v>
      </c>
      <c r="E1300" t="s">
        <v>3904</v>
      </c>
      <c r="F1300" t="s">
        <v>5374</v>
      </c>
      <c r="G1300" t="s">
        <v>5637</v>
      </c>
      <c r="H1300">
        <v>11221</v>
      </c>
      <c r="I1300" t="s">
        <v>5695</v>
      </c>
      <c r="J1300" t="s">
        <v>5696</v>
      </c>
      <c r="K1300" t="s">
        <v>6297</v>
      </c>
      <c r="L1300" t="s">
        <v>6714</v>
      </c>
      <c r="M1300" t="s">
        <v>6736</v>
      </c>
      <c r="O1300" t="s">
        <v>6755</v>
      </c>
      <c r="R1300" t="s">
        <v>6794</v>
      </c>
      <c r="S1300" t="s">
        <v>6801</v>
      </c>
      <c r="T1300" t="s">
        <v>6811</v>
      </c>
      <c r="U1300">
        <v>408.6</v>
      </c>
      <c r="V1300" t="s">
        <v>6835</v>
      </c>
      <c r="W1300" t="s">
        <v>6840</v>
      </c>
      <c r="Y1300" t="s">
        <v>8089</v>
      </c>
      <c r="AA1300" t="s">
        <v>10121</v>
      </c>
      <c r="AB1300">
        <v>50</v>
      </c>
      <c r="AC1300" t="s">
        <v>10931</v>
      </c>
      <c r="AE1300">
        <v>1</v>
      </c>
      <c r="AF1300">
        <v>2</v>
      </c>
      <c r="AG1300">
        <v>1</v>
      </c>
      <c r="AH1300">
        <v>68.06999999999999</v>
      </c>
      <c r="AK1300" t="s">
        <v>10966</v>
      </c>
      <c r="AL1300">
        <v>14520</v>
      </c>
      <c r="AR1300">
        <v>0.75</v>
      </c>
      <c r="AS1300" t="s">
        <v>11147</v>
      </c>
      <c r="AT1300" t="s">
        <v>11190</v>
      </c>
      <c r="AU1300" t="s">
        <v>11228</v>
      </c>
      <c r="AV1300" t="s">
        <v>11231</v>
      </c>
      <c r="AW1300" t="s">
        <v>11133</v>
      </c>
    </row>
    <row r="1301" spans="1:49">
      <c r="A1301" s="1">
        <f>HYPERLINK("https://lsnyc.legalserver.org/matter/dynamic-profile/view/1904130","19-1904130")</f>
        <v>0</v>
      </c>
      <c r="B1301" t="s">
        <v>95</v>
      </c>
      <c r="C1301" t="s">
        <v>472</v>
      </c>
      <c r="D1301" t="s">
        <v>2541</v>
      </c>
      <c r="E1301" t="s">
        <v>3954</v>
      </c>
      <c r="F1301" t="s">
        <v>5103</v>
      </c>
      <c r="G1301" t="s">
        <v>5637</v>
      </c>
      <c r="H1301">
        <v>11216</v>
      </c>
      <c r="I1301" t="s">
        <v>5695</v>
      </c>
      <c r="J1301" t="s">
        <v>5696</v>
      </c>
      <c r="K1301" t="s">
        <v>6298</v>
      </c>
      <c r="L1301" t="s">
        <v>6714</v>
      </c>
      <c r="M1301" t="s">
        <v>6736</v>
      </c>
      <c r="O1301" t="s">
        <v>6755</v>
      </c>
      <c r="P1301" t="s">
        <v>5697</v>
      </c>
      <c r="R1301" t="s">
        <v>6793</v>
      </c>
      <c r="U1301">
        <v>202</v>
      </c>
      <c r="V1301" t="s">
        <v>6835</v>
      </c>
      <c r="W1301" t="s">
        <v>6854</v>
      </c>
      <c r="Y1301" t="s">
        <v>8090</v>
      </c>
      <c r="AA1301" t="s">
        <v>10122</v>
      </c>
      <c r="AB1301">
        <v>0</v>
      </c>
      <c r="AE1301">
        <v>11</v>
      </c>
      <c r="AF1301">
        <v>1</v>
      </c>
      <c r="AG1301">
        <v>0</v>
      </c>
      <c r="AH1301">
        <v>81.67</v>
      </c>
      <c r="AK1301" t="s">
        <v>10966</v>
      </c>
      <c r="AL1301">
        <v>10200</v>
      </c>
      <c r="AR1301">
        <v>1.1</v>
      </c>
      <c r="AS1301" t="s">
        <v>6821</v>
      </c>
      <c r="AT1301" t="s">
        <v>11197</v>
      </c>
      <c r="AU1301" t="s">
        <v>11228</v>
      </c>
      <c r="AV1301" t="s">
        <v>11231</v>
      </c>
      <c r="AW1301" t="s">
        <v>6818</v>
      </c>
    </row>
    <row r="1302" spans="1:49">
      <c r="A1302" s="1">
        <f>HYPERLINK("https://lsnyc.legalserver.org/matter/dynamic-profile/view/1906182","19-1906182")</f>
        <v>0</v>
      </c>
      <c r="B1302" t="s">
        <v>231</v>
      </c>
      <c r="C1302" t="s">
        <v>1168</v>
      </c>
      <c r="D1302" t="s">
        <v>2542</v>
      </c>
      <c r="E1302" t="s">
        <v>3893</v>
      </c>
      <c r="F1302" t="s">
        <v>5400</v>
      </c>
      <c r="G1302" t="s">
        <v>5637</v>
      </c>
      <c r="H1302">
        <v>11226</v>
      </c>
      <c r="I1302" t="s">
        <v>5695</v>
      </c>
      <c r="J1302" t="s">
        <v>5696</v>
      </c>
      <c r="K1302" t="s">
        <v>6299</v>
      </c>
      <c r="L1302" t="s">
        <v>6714</v>
      </c>
      <c r="M1302" t="s">
        <v>6736</v>
      </c>
      <c r="O1302" t="s">
        <v>6755</v>
      </c>
      <c r="P1302" t="s">
        <v>5697</v>
      </c>
      <c r="R1302" t="s">
        <v>6793</v>
      </c>
      <c r="U1302">
        <v>1848</v>
      </c>
      <c r="V1302" t="s">
        <v>6835</v>
      </c>
      <c r="W1302" t="s">
        <v>6840</v>
      </c>
      <c r="Y1302" t="s">
        <v>8091</v>
      </c>
      <c r="AA1302" t="s">
        <v>10123</v>
      </c>
      <c r="AB1302">
        <v>0</v>
      </c>
      <c r="AD1302" t="s">
        <v>10944</v>
      </c>
      <c r="AE1302">
        <v>32</v>
      </c>
      <c r="AF1302">
        <v>2</v>
      </c>
      <c r="AG1302">
        <v>3</v>
      </c>
      <c r="AH1302">
        <v>165.73</v>
      </c>
      <c r="AK1302" t="s">
        <v>10966</v>
      </c>
      <c r="AL1302">
        <v>50000</v>
      </c>
      <c r="AR1302">
        <v>0.5</v>
      </c>
      <c r="AS1302" t="s">
        <v>6821</v>
      </c>
      <c r="AT1302" t="s">
        <v>11197</v>
      </c>
      <c r="AU1302" t="s">
        <v>11228</v>
      </c>
      <c r="AV1302" t="s">
        <v>11231</v>
      </c>
      <c r="AW1302" t="s">
        <v>6821</v>
      </c>
    </row>
    <row r="1303" spans="1:49">
      <c r="A1303" s="1">
        <f>HYPERLINK("https://lsnyc.legalserver.org/matter/dynamic-profile/view/1902954","19-1902954")</f>
        <v>0</v>
      </c>
      <c r="B1303" t="s">
        <v>70</v>
      </c>
      <c r="C1303" t="s">
        <v>1034</v>
      </c>
      <c r="D1303" t="s">
        <v>2543</v>
      </c>
      <c r="E1303" t="s">
        <v>4261</v>
      </c>
      <c r="F1303" t="s">
        <v>5148</v>
      </c>
      <c r="G1303" t="s">
        <v>5637</v>
      </c>
      <c r="H1303">
        <v>11225</v>
      </c>
      <c r="I1303" t="s">
        <v>5695</v>
      </c>
      <c r="J1303" t="s">
        <v>5696</v>
      </c>
      <c r="K1303" t="s">
        <v>6300</v>
      </c>
      <c r="L1303" t="s">
        <v>6714</v>
      </c>
      <c r="M1303" t="s">
        <v>6736</v>
      </c>
      <c r="O1303" t="s">
        <v>6755</v>
      </c>
      <c r="P1303" t="s">
        <v>5697</v>
      </c>
      <c r="R1303" t="s">
        <v>6793</v>
      </c>
      <c r="T1303" t="s">
        <v>6811</v>
      </c>
      <c r="U1303">
        <v>579.01</v>
      </c>
      <c r="V1303" t="s">
        <v>6835</v>
      </c>
      <c r="W1303" t="s">
        <v>6854</v>
      </c>
      <c r="Y1303" t="s">
        <v>8092</v>
      </c>
      <c r="AA1303" t="s">
        <v>10124</v>
      </c>
      <c r="AB1303">
        <v>0</v>
      </c>
      <c r="AE1303">
        <v>25</v>
      </c>
      <c r="AF1303">
        <v>1</v>
      </c>
      <c r="AG1303">
        <v>0</v>
      </c>
      <c r="AH1303">
        <v>57.65</v>
      </c>
      <c r="AK1303" t="s">
        <v>10966</v>
      </c>
      <c r="AL1303">
        <v>7200</v>
      </c>
      <c r="AR1303">
        <v>2.9</v>
      </c>
      <c r="AS1303" t="s">
        <v>6827</v>
      </c>
      <c r="AT1303" t="s">
        <v>11197</v>
      </c>
      <c r="AU1303" t="s">
        <v>11228</v>
      </c>
      <c r="AV1303" t="s">
        <v>11231</v>
      </c>
      <c r="AW1303" t="s">
        <v>11138</v>
      </c>
    </row>
    <row r="1304" spans="1:49">
      <c r="A1304" s="1">
        <f>HYPERLINK("https://lsnyc.legalserver.org/matter/dynamic-profile/view/1904521","19-1904521")</f>
        <v>0</v>
      </c>
      <c r="B1304" t="s">
        <v>71</v>
      </c>
      <c r="C1304" t="s">
        <v>1169</v>
      </c>
      <c r="D1304" t="s">
        <v>2052</v>
      </c>
      <c r="E1304" t="s">
        <v>4262</v>
      </c>
      <c r="F1304" t="s">
        <v>5148</v>
      </c>
      <c r="G1304" t="s">
        <v>5637</v>
      </c>
      <c r="H1304">
        <v>11221</v>
      </c>
      <c r="I1304" t="s">
        <v>5695</v>
      </c>
      <c r="J1304" t="s">
        <v>5696</v>
      </c>
      <c r="K1304" t="s">
        <v>6301</v>
      </c>
      <c r="L1304" t="s">
        <v>6714</v>
      </c>
      <c r="M1304" t="s">
        <v>6736</v>
      </c>
      <c r="O1304" t="s">
        <v>6755</v>
      </c>
      <c r="P1304" t="s">
        <v>5697</v>
      </c>
      <c r="R1304" t="s">
        <v>6793</v>
      </c>
      <c r="U1304">
        <v>1230</v>
      </c>
      <c r="V1304" t="s">
        <v>6835</v>
      </c>
      <c r="W1304" t="s">
        <v>6854</v>
      </c>
      <c r="Y1304" t="s">
        <v>8093</v>
      </c>
      <c r="AA1304" t="s">
        <v>10125</v>
      </c>
      <c r="AB1304">
        <v>0</v>
      </c>
      <c r="AE1304">
        <v>4</v>
      </c>
      <c r="AF1304">
        <v>1</v>
      </c>
      <c r="AG1304">
        <v>2</v>
      </c>
      <c r="AH1304">
        <v>18.89</v>
      </c>
      <c r="AK1304" t="s">
        <v>10966</v>
      </c>
      <c r="AL1304">
        <v>4030</v>
      </c>
      <c r="AR1304">
        <v>1.2</v>
      </c>
      <c r="AS1304" t="s">
        <v>6828</v>
      </c>
      <c r="AT1304" t="s">
        <v>11197</v>
      </c>
      <c r="AU1304" t="s">
        <v>11228</v>
      </c>
      <c r="AV1304" t="s">
        <v>11231</v>
      </c>
      <c r="AW1304" t="s">
        <v>6810</v>
      </c>
    </row>
    <row r="1305" spans="1:49">
      <c r="A1305" s="1">
        <f>HYPERLINK("https://lsnyc.legalserver.org/matter/dynamic-profile/view/1903015","19-1903015")</f>
        <v>0</v>
      </c>
      <c r="B1305" t="s">
        <v>233</v>
      </c>
      <c r="C1305" t="s">
        <v>683</v>
      </c>
      <c r="D1305" t="s">
        <v>1773</v>
      </c>
      <c r="E1305" t="s">
        <v>4263</v>
      </c>
      <c r="F1305" t="s">
        <v>5101</v>
      </c>
      <c r="G1305" t="s">
        <v>5637</v>
      </c>
      <c r="H1305">
        <v>11226</v>
      </c>
      <c r="I1305" t="s">
        <v>5697</v>
      </c>
      <c r="J1305" t="s">
        <v>5696</v>
      </c>
      <c r="K1305" t="s">
        <v>6302</v>
      </c>
      <c r="L1305" t="s">
        <v>6714</v>
      </c>
      <c r="M1305" t="s">
        <v>6736</v>
      </c>
      <c r="O1305" t="s">
        <v>6755</v>
      </c>
      <c r="R1305" t="s">
        <v>6793</v>
      </c>
      <c r="S1305" t="s">
        <v>6801</v>
      </c>
      <c r="U1305">
        <v>1500</v>
      </c>
      <c r="V1305" t="s">
        <v>6835</v>
      </c>
      <c r="W1305" t="s">
        <v>6840</v>
      </c>
      <c r="Y1305" t="s">
        <v>8094</v>
      </c>
      <c r="AA1305" t="s">
        <v>10126</v>
      </c>
      <c r="AB1305">
        <v>24</v>
      </c>
      <c r="AD1305" t="s">
        <v>5741</v>
      </c>
      <c r="AE1305">
        <v>-1</v>
      </c>
      <c r="AF1305">
        <v>2</v>
      </c>
      <c r="AG1305">
        <v>2</v>
      </c>
      <c r="AH1305">
        <v>131.46</v>
      </c>
      <c r="AK1305" t="s">
        <v>10966</v>
      </c>
      <c r="AL1305">
        <v>33852</v>
      </c>
      <c r="AR1305">
        <v>7.55</v>
      </c>
      <c r="AS1305" t="s">
        <v>6827</v>
      </c>
      <c r="AT1305" t="s">
        <v>11178</v>
      </c>
      <c r="AU1305" t="s">
        <v>11228</v>
      </c>
      <c r="AV1305" t="s">
        <v>11231</v>
      </c>
      <c r="AW1305" t="s">
        <v>11138</v>
      </c>
    </row>
    <row r="1306" spans="1:49">
      <c r="A1306" s="1">
        <f>HYPERLINK("https://lsnyc.legalserver.org/matter/dynamic-profile/view/1902390","19-1902390")</f>
        <v>0</v>
      </c>
      <c r="B1306" t="s">
        <v>193</v>
      </c>
      <c r="C1306" t="s">
        <v>1170</v>
      </c>
      <c r="D1306" t="s">
        <v>2544</v>
      </c>
      <c r="E1306" t="s">
        <v>4264</v>
      </c>
      <c r="F1306" t="s">
        <v>5287</v>
      </c>
      <c r="G1306" t="s">
        <v>5635</v>
      </c>
      <c r="H1306">
        <v>10460</v>
      </c>
      <c r="I1306" t="s">
        <v>5695</v>
      </c>
      <c r="J1306" t="s">
        <v>5696</v>
      </c>
      <c r="K1306" t="s">
        <v>6303</v>
      </c>
      <c r="L1306" t="s">
        <v>6714</v>
      </c>
      <c r="M1306" t="s">
        <v>6736</v>
      </c>
      <c r="O1306" t="s">
        <v>6747</v>
      </c>
      <c r="R1306" t="s">
        <v>6793</v>
      </c>
      <c r="S1306" t="s">
        <v>6801</v>
      </c>
      <c r="U1306">
        <v>800</v>
      </c>
      <c r="V1306" t="s">
        <v>6833</v>
      </c>
      <c r="W1306" t="s">
        <v>6843</v>
      </c>
      <c r="Y1306" t="s">
        <v>8095</v>
      </c>
      <c r="AA1306" t="s">
        <v>10127</v>
      </c>
      <c r="AB1306">
        <v>102</v>
      </c>
      <c r="AC1306" t="s">
        <v>10933</v>
      </c>
      <c r="AD1306" t="s">
        <v>5741</v>
      </c>
      <c r="AE1306">
        <v>5</v>
      </c>
      <c r="AF1306">
        <v>1</v>
      </c>
      <c r="AG1306">
        <v>1</v>
      </c>
      <c r="AH1306">
        <v>15.26</v>
      </c>
      <c r="AK1306" t="s">
        <v>10966</v>
      </c>
      <c r="AL1306">
        <v>2580</v>
      </c>
      <c r="AR1306">
        <v>4.8</v>
      </c>
      <c r="AS1306" t="s">
        <v>6819</v>
      </c>
      <c r="AT1306" t="s">
        <v>11217</v>
      </c>
      <c r="AV1306" t="s">
        <v>11231</v>
      </c>
      <c r="AW1306" t="s">
        <v>11140</v>
      </c>
    </row>
    <row r="1307" spans="1:49">
      <c r="A1307" s="1">
        <f>HYPERLINK("https://lsnyc.legalserver.org/matter/dynamic-profile/view/1904194","19-1904194")</f>
        <v>0</v>
      </c>
      <c r="B1307" t="s">
        <v>57</v>
      </c>
      <c r="C1307" t="s">
        <v>795</v>
      </c>
      <c r="D1307" t="s">
        <v>1858</v>
      </c>
      <c r="E1307" t="s">
        <v>4265</v>
      </c>
      <c r="F1307" t="s">
        <v>5485</v>
      </c>
      <c r="G1307" t="s">
        <v>5645</v>
      </c>
      <c r="H1307">
        <v>11106</v>
      </c>
      <c r="I1307" t="s">
        <v>5695</v>
      </c>
      <c r="J1307" t="s">
        <v>5696</v>
      </c>
      <c r="K1307" t="s">
        <v>6304</v>
      </c>
      <c r="L1307" t="s">
        <v>6714</v>
      </c>
      <c r="M1307" t="s">
        <v>6736</v>
      </c>
      <c r="O1307" t="s">
        <v>6750</v>
      </c>
      <c r="P1307" t="s">
        <v>5697</v>
      </c>
      <c r="R1307" t="s">
        <v>6793</v>
      </c>
      <c r="S1307" t="s">
        <v>6801</v>
      </c>
      <c r="T1307" t="s">
        <v>6818</v>
      </c>
      <c r="U1307">
        <v>2500</v>
      </c>
      <c r="V1307" t="s">
        <v>6837</v>
      </c>
      <c r="W1307" t="s">
        <v>6841</v>
      </c>
      <c r="Y1307" t="s">
        <v>8096</v>
      </c>
      <c r="AA1307" t="s">
        <v>10128</v>
      </c>
      <c r="AB1307">
        <v>3</v>
      </c>
      <c r="AC1307" t="s">
        <v>10930</v>
      </c>
      <c r="AD1307" t="s">
        <v>5741</v>
      </c>
      <c r="AE1307">
        <v>1</v>
      </c>
      <c r="AF1307">
        <v>2</v>
      </c>
      <c r="AG1307">
        <v>2</v>
      </c>
      <c r="AH1307">
        <v>0</v>
      </c>
      <c r="AK1307" t="s">
        <v>10966</v>
      </c>
      <c r="AL1307">
        <v>0</v>
      </c>
      <c r="AR1307">
        <v>1</v>
      </c>
      <c r="AS1307" t="s">
        <v>6818</v>
      </c>
      <c r="AT1307" t="s">
        <v>57</v>
      </c>
      <c r="AV1307" t="s">
        <v>11231</v>
      </c>
      <c r="AW1307" t="s">
        <v>6818</v>
      </c>
    </row>
    <row r="1308" spans="1:49">
      <c r="A1308" s="1">
        <f>HYPERLINK("https://lsnyc.legalserver.org/matter/dynamic-profile/view/1896281","19-1896281")</f>
        <v>0</v>
      </c>
      <c r="B1308" t="s">
        <v>245</v>
      </c>
      <c r="C1308" t="s">
        <v>1171</v>
      </c>
      <c r="D1308" t="s">
        <v>2545</v>
      </c>
      <c r="E1308" t="s">
        <v>4266</v>
      </c>
      <c r="G1308" t="s">
        <v>5638</v>
      </c>
      <c r="H1308">
        <v>10031</v>
      </c>
      <c r="I1308" t="s">
        <v>5696</v>
      </c>
      <c r="J1308" t="s">
        <v>5696</v>
      </c>
      <c r="K1308" t="s">
        <v>6305</v>
      </c>
      <c r="L1308" t="s">
        <v>6714</v>
      </c>
      <c r="M1308" t="s">
        <v>6736</v>
      </c>
      <c r="O1308" t="s">
        <v>6749</v>
      </c>
      <c r="R1308" t="s">
        <v>6793</v>
      </c>
      <c r="U1308">
        <v>1600</v>
      </c>
      <c r="V1308" t="s">
        <v>6836</v>
      </c>
      <c r="Y1308" t="s">
        <v>8097</v>
      </c>
      <c r="AA1308" t="s">
        <v>10129</v>
      </c>
      <c r="AB1308">
        <v>0</v>
      </c>
      <c r="AC1308" t="s">
        <v>10929</v>
      </c>
      <c r="AE1308">
        <v>0</v>
      </c>
      <c r="AF1308">
        <v>1</v>
      </c>
      <c r="AG1308">
        <v>0</v>
      </c>
      <c r="AH1308">
        <v>0</v>
      </c>
      <c r="AL1308">
        <v>0</v>
      </c>
      <c r="AR1308">
        <v>26.3</v>
      </c>
      <c r="AS1308" t="s">
        <v>6810</v>
      </c>
      <c r="AT1308" t="s">
        <v>301</v>
      </c>
      <c r="AV1308" t="s">
        <v>11231</v>
      </c>
      <c r="AW1308" t="s">
        <v>11167</v>
      </c>
    </row>
    <row r="1309" spans="1:49">
      <c r="A1309" s="1">
        <f>HYPERLINK("https://lsnyc.legalserver.org/matter/dynamic-profile/view/1904070","19-1904070")</f>
        <v>0</v>
      </c>
      <c r="B1309" t="s">
        <v>220</v>
      </c>
      <c r="C1309" t="s">
        <v>1172</v>
      </c>
      <c r="D1309" t="s">
        <v>2546</v>
      </c>
      <c r="E1309" t="s">
        <v>4267</v>
      </c>
      <c r="F1309" t="s">
        <v>5145</v>
      </c>
      <c r="G1309" t="s">
        <v>5635</v>
      </c>
      <c r="H1309">
        <v>10457</v>
      </c>
      <c r="I1309" t="s">
        <v>5695</v>
      </c>
      <c r="J1309" t="s">
        <v>5696</v>
      </c>
      <c r="K1309" t="s">
        <v>6306</v>
      </c>
      <c r="L1309" t="s">
        <v>6714</v>
      </c>
      <c r="M1309" t="s">
        <v>6736</v>
      </c>
      <c r="O1309" t="s">
        <v>6763</v>
      </c>
      <c r="P1309" t="s">
        <v>5697</v>
      </c>
      <c r="R1309" t="s">
        <v>6793</v>
      </c>
      <c r="U1309">
        <v>1515</v>
      </c>
      <c r="V1309" t="s">
        <v>6833</v>
      </c>
      <c r="W1309" t="s">
        <v>6839</v>
      </c>
      <c r="Y1309" t="s">
        <v>8098</v>
      </c>
      <c r="Z1309" t="s">
        <v>9012</v>
      </c>
      <c r="AA1309" t="s">
        <v>10130</v>
      </c>
      <c r="AB1309">
        <v>17</v>
      </c>
      <c r="AC1309" t="s">
        <v>10929</v>
      </c>
      <c r="AD1309" t="s">
        <v>10949</v>
      </c>
      <c r="AE1309">
        <v>1</v>
      </c>
      <c r="AF1309">
        <v>2</v>
      </c>
      <c r="AG1309">
        <v>1</v>
      </c>
      <c r="AH1309">
        <v>21.38</v>
      </c>
      <c r="AL1309">
        <v>4560</v>
      </c>
      <c r="AR1309">
        <v>1.5</v>
      </c>
      <c r="AS1309" t="s">
        <v>6816</v>
      </c>
      <c r="AT1309" t="s">
        <v>11176</v>
      </c>
      <c r="AU1309" t="s">
        <v>11228</v>
      </c>
      <c r="AV1309" t="s">
        <v>11231</v>
      </c>
      <c r="AW1309" t="s">
        <v>6817</v>
      </c>
    </row>
    <row r="1310" spans="1:49">
      <c r="A1310" s="1">
        <f>HYPERLINK("https://lsnyc.legalserver.org/matter/dynamic-profile/view/1902145","19-1902145")</f>
        <v>0</v>
      </c>
      <c r="B1310" t="s">
        <v>259</v>
      </c>
      <c r="C1310" t="s">
        <v>1173</v>
      </c>
      <c r="D1310" t="s">
        <v>2547</v>
      </c>
      <c r="E1310" t="s">
        <v>4268</v>
      </c>
      <c r="F1310" t="s">
        <v>5304</v>
      </c>
      <c r="G1310" t="s">
        <v>5635</v>
      </c>
      <c r="H1310">
        <v>10453</v>
      </c>
      <c r="I1310" t="s">
        <v>5695</v>
      </c>
      <c r="J1310" t="s">
        <v>5696</v>
      </c>
      <c r="K1310" t="s">
        <v>6307</v>
      </c>
      <c r="L1310" t="s">
        <v>6714</v>
      </c>
      <c r="M1310" t="s">
        <v>6736</v>
      </c>
      <c r="O1310" t="s">
        <v>6747</v>
      </c>
      <c r="P1310" t="s">
        <v>5697</v>
      </c>
      <c r="R1310" t="s">
        <v>6793</v>
      </c>
      <c r="S1310" t="s">
        <v>6801</v>
      </c>
      <c r="T1310" t="s">
        <v>6816</v>
      </c>
      <c r="U1310">
        <v>1665</v>
      </c>
      <c r="V1310" t="s">
        <v>6833</v>
      </c>
      <c r="W1310" t="s">
        <v>6842</v>
      </c>
      <c r="Y1310" t="s">
        <v>8099</v>
      </c>
      <c r="AA1310" t="s">
        <v>10131</v>
      </c>
      <c r="AB1310">
        <v>75</v>
      </c>
      <c r="AC1310" t="s">
        <v>10929</v>
      </c>
      <c r="AD1310" t="s">
        <v>10943</v>
      </c>
      <c r="AE1310">
        <v>1</v>
      </c>
      <c r="AF1310">
        <v>1</v>
      </c>
      <c r="AG1310">
        <v>0</v>
      </c>
      <c r="AH1310">
        <v>68.20999999999999</v>
      </c>
      <c r="AK1310" t="s">
        <v>10966</v>
      </c>
      <c r="AL1310">
        <v>8520</v>
      </c>
      <c r="AR1310">
        <v>9.52</v>
      </c>
      <c r="AS1310" t="s">
        <v>6827</v>
      </c>
      <c r="AT1310" t="s">
        <v>11192</v>
      </c>
      <c r="AU1310" t="s">
        <v>11228</v>
      </c>
      <c r="AV1310" t="s">
        <v>11231</v>
      </c>
      <c r="AW1310" t="s">
        <v>11163</v>
      </c>
    </row>
    <row r="1311" spans="1:49">
      <c r="A1311" s="1">
        <f>HYPERLINK("https://lsnyc.legalserver.org/matter/dynamic-profile/view/1900422","19-1900422")</f>
        <v>0</v>
      </c>
      <c r="B1311" t="s">
        <v>245</v>
      </c>
      <c r="C1311" t="s">
        <v>1174</v>
      </c>
      <c r="D1311" t="s">
        <v>2548</v>
      </c>
      <c r="E1311" t="s">
        <v>4269</v>
      </c>
      <c r="G1311" t="s">
        <v>5638</v>
      </c>
      <c r="H1311">
        <v>10031</v>
      </c>
      <c r="I1311" t="s">
        <v>5696</v>
      </c>
      <c r="J1311" t="s">
        <v>5696</v>
      </c>
      <c r="L1311" t="s">
        <v>6714</v>
      </c>
      <c r="M1311" t="s">
        <v>6736</v>
      </c>
      <c r="O1311" t="s">
        <v>6745</v>
      </c>
      <c r="R1311" t="s">
        <v>6793</v>
      </c>
      <c r="U1311">
        <v>0</v>
      </c>
      <c r="V1311" t="s">
        <v>6836</v>
      </c>
      <c r="Y1311" t="s">
        <v>8100</v>
      </c>
      <c r="AA1311" t="s">
        <v>10132</v>
      </c>
      <c r="AB1311">
        <v>0</v>
      </c>
      <c r="AE1311">
        <v>0</v>
      </c>
      <c r="AF1311">
        <v>1</v>
      </c>
      <c r="AG1311">
        <v>0</v>
      </c>
      <c r="AH1311">
        <v>181.68</v>
      </c>
      <c r="AK1311" t="s">
        <v>10966</v>
      </c>
      <c r="AL1311">
        <v>22692</v>
      </c>
      <c r="AR1311">
        <v>8.050000000000001</v>
      </c>
      <c r="AS1311" t="s">
        <v>6818</v>
      </c>
      <c r="AT1311" t="s">
        <v>301</v>
      </c>
      <c r="AV1311" t="s">
        <v>11231</v>
      </c>
      <c r="AW1311" t="s">
        <v>11160</v>
      </c>
    </row>
    <row r="1312" spans="1:49">
      <c r="A1312" s="1">
        <f>HYPERLINK("https://lsnyc.legalserver.org/matter/dynamic-profile/view/1903134","19-1903134")</f>
        <v>0</v>
      </c>
      <c r="B1312" t="s">
        <v>66</v>
      </c>
      <c r="C1312" t="s">
        <v>1175</v>
      </c>
      <c r="D1312" t="s">
        <v>2549</v>
      </c>
      <c r="E1312" t="s">
        <v>4270</v>
      </c>
      <c r="F1312" t="s">
        <v>5100</v>
      </c>
      <c r="G1312" t="s">
        <v>5635</v>
      </c>
      <c r="H1312">
        <v>10468</v>
      </c>
      <c r="I1312" t="s">
        <v>5695</v>
      </c>
      <c r="J1312" t="s">
        <v>5696</v>
      </c>
      <c r="K1312" t="s">
        <v>6308</v>
      </c>
      <c r="L1312" t="s">
        <v>6714</v>
      </c>
      <c r="M1312" t="s">
        <v>6736</v>
      </c>
      <c r="O1312" t="s">
        <v>6763</v>
      </c>
      <c r="P1312" t="s">
        <v>5697</v>
      </c>
      <c r="R1312" t="s">
        <v>6793</v>
      </c>
      <c r="U1312">
        <v>940</v>
      </c>
      <c r="V1312" t="s">
        <v>6833</v>
      </c>
      <c r="Y1312" t="s">
        <v>8101</v>
      </c>
      <c r="AA1312" t="s">
        <v>10133</v>
      </c>
      <c r="AB1312">
        <v>37</v>
      </c>
      <c r="AC1312" t="s">
        <v>10929</v>
      </c>
      <c r="AE1312">
        <v>30</v>
      </c>
      <c r="AF1312">
        <v>1</v>
      </c>
      <c r="AG1312">
        <v>0</v>
      </c>
      <c r="AH1312">
        <v>145.72</v>
      </c>
      <c r="AK1312" t="s">
        <v>10966</v>
      </c>
      <c r="AL1312">
        <v>18200</v>
      </c>
      <c r="AR1312">
        <v>1.7</v>
      </c>
      <c r="AS1312" t="s">
        <v>6810</v>
      </c>
      <c r="AT1312" t="s">
        <v>288</v>
      </c>
      <c r="AU1312" t="s">
        <v>11228</v>
      </c>
      <c r="AV1312" t="s">
        <v>11231</v>
      </c>
      <c r="AW1312" t="s">
        <v>10953</v>
      </c>
    </row>
    <row r="1313" spans="1:49">
      <c r="A1313" s="1">
        <f>HYPERLINK("https://lsnyc.legalserver.org/matter/dynamic-profile/view/1898241","19-1898241")</f>
        <v>0</v>
      </c>
      <c r="B1313" t="s">
        <v>78</v>
      </c>
      <c r="C1313" t="s">
        <v>1176</v>
      </c>
      <c r="D1313" t="s">
        <v>2550</v>
      </c>
      <c r="E1313" t="s">
        <v>4271</v>
      </c>
      <c r="F1313">
        <v>409</v>
      </c>
      <c r="G1313" t="s">
        <v>5638</v>
      </c>
      <c r="H1313">
        <v>10026</v>
      </c>
      <c r="I1313" t="s">
        <v>5696</v>
      </c>
      <c r="J1313" t="s">
        <v>5696</v>
      </c>
      <c r="K1313" t="s">
        <v>6309</v>
      </c>
      <c r="L1313" t="s">
        <v>6714</v>
      </c>
      <c r="M1313" t="s">
        <v>6736</v>
      </c>
      <c r="O1313" t="s">
        <v>6759</v>
      </c>
      <c r="P1313" t="s">
        <v>5697</v>
      </c>
      <c r="R1313" t="s">
        <v>6793</v>
      </c>
      <c r="U1313">
        <v>1777</v>
      </c>
      <c r="V1313" t="s">
        <v>6836</v>
      </c>
      <c r="Y1313" t="s">
        <v>8102</v>
      </c>
      <c r="AA1313" t="s">
        <v>10134</v>
      </c>
      <c r="AB1313">
        <v>0</v>
      </c>
      <c r="AE1313">
        <v>17</v>
      </c>
      <c r="AF1313">
        <v>1</v>
      </c>
      <c r="AG1313">
        <v>0</v>
      </c>
      <c r="AH1313">
        <v>173.86</v>
      </c>
      <c r="AK1313" t="s">
        <v>10966</v>
      </c>
      <c r="AL1313">
        <v>21715.72</v>
      </c>
      <c r="AR1313">
        <v>11</v>
      </c>
      <c r="AS1313" t="s">
        <v>6824</v>
      </c>
      <c r="AT1313" t="s">
        <v>11194</v>
      </c>
      <c r="AV1313" t="s">
        <v>11231</v>
      </c>
      <c r="AW1313" t="s">
        <v>10956</v>
      </c>
    </row>
    <row r="1314" spans="1:49">
      <c r="A1314" s="1">
        <f>HYPERLINK("https://lsnyc.legalserver.org/matter/dynamic-profile/view/1899204","19-1899204")</f>
        <v>0</v>
      </c>
      <c r="B1314" t="s">
        <v>216</v>
      </c>
      <c r="C1314" t="s">
        <v>1177</v>
      </c>
      <c r="D1314" t="s">
        <v>2551</v>
      </c>
      <c r="E1314" t="s">
        <v>4272</v>
      </c>
      <c r="F1314" t="s">
        <v>5486</v>
      </c>
      <c r="G1314" t="s">
        <v>5638</v>
      </c>
      <c r="H1314">
        <v>10026</v>
      </c>
      <c r="I1314" t="s">
        <v>5695</v>
      </c>
      <c r="J1314" t="s">
        <v>5696</v>
      </c>
      <c r="K1314" t="s">
        <v>6310</v>
      </c>
      <c r="L1314" t="s">
        <v>6714</v>
      </c>
      <c r="M1314" t="s">
        <v>6736</v>
      </c>
      <c r="O1314" t="s">
        <v>6749</v>
      </c>
      <c r="P1314" t="s">
        <v>5697</v>
      </c>
      <c r="R1314" t="s">
        <v>6793</v>
      </c>
      <c r="S1314" t="s">
        <v>6801</v>
      </c>
      <c r="U1314">
        <v>1725</v>
      </c>
      <c r="V1314" t="s">
        <v>6836</v>
      </c>
      <c r="W1314" t="s">
        <v>6840</v>
      </c>
      <c r="Y1314" t="s">
        <v>8103</v>
      </c>
      <c r="Z1314" t="s">
        <v>9013</v>
      </c>
      <c r="AA1314" t="s">
        <v>10135</v>
      </c>
      <c r="AB1314">
        <v>0</v>
      </c>
      <c r="AC1314" t="s">
        <v>10936</v>
      </c>
      <c r="AD1314" t="s">
        <v>6841</v>
      </c>
      <c r="AE1314">
        <v>2</v>
      </c>
      <c r="AF1314">
        <v>1</v>
      </c>
      <c r="AG1314">
        <v>2</v>
      </c>
      <c r="AH1314">
        <v>19.99</v>
      </c>
      <c r="AK1314" t="s">
        <v>10966</v>
      </c>
      <c r="AL1314">
        <v>4264</v>
      </c>
      <c r="AR1314">
        <v>6.7</v>
      </c>
      <c r="AS1314" t="s">
        <v>6827</v>
      </c>
      <c r="AT1314" t="s">
        <v>305</v>
      </c>
      <c r="AV1314" t="s">
        <v>11231</v>
      </c>
      <c r="AW1314" t="s">
        <v>11126</v>
      </c>
    </row>
    <row r="1315" spans="1:49">
      <c r="A1315" s="1">
        <f>HYPERLINK("https://lsnyc.legalserver.org/matter/dynamic-profile/view/1901996","19-1901996")</f>
        <v>0</v>
      </c>
      <c r="B1315" t="s">
        <v>196</v>
      </c>
      <c r="C1315" t="s">
        <v>1062</v>
      </c>
      <c r="D1315" t="s">
        <v>1499</v>
      </c>
      <c r="E1315" t="s">
        <v>4273</v>
      </c>
      <c r="F1315" t="s">
        <v>5252</v>
      </c>
      <c r="G1315" t="s">
        <v>5635</v>
      </c>
      <c r="H1315">
        <v>10467</v>
      </c>
      <c r="I1315" t="s">
        <v>5695</v>
      </c>
      <c r="J1315" t="s">
        <v>5696</v>
      </c>
      <c r="K1315" t="s">
        <v>6311</v>
      </c>
      <c r="L1315" t="s">
        <v>6714</v>
      </c>
      <c r="M1315" t="s">
        <v>6736</v>
      </c>
      <c r="O1315" t="s">
        <v>6763</v>
      </c>
      <c r="P1315" t="s">
        <v>5697</v>
      </c>
      <c r="R1315" t="s">
        <v>6793</v>
      </c>
      <c r="S1315" t="s">
        <v>6801</v>
      </c>
      <c r="T1315" t="s">
        <v>6811</v>
      </c>
      <c r="U1315">
        <v>1354.91</v>
      </c>
      <c r="V1315" t="s">
        <v>6833</v>
      </c>
      <c r="W1315" t="s">
        <v>6840</v>
      </c>
      <c r="Y1315" t="s">
        <v>6972</v>
      </c>
      <c r="AA1315" t="s">
        <v>10136</v>
      </c>
      <c r="AB1315">
        <v>0</v>
      </c>
      <c r="AC1315" t="s">
        <v>10929</v>
      </c>
      <c r="AD1315" t="s">
        <v>5741</v>
      </c>
      <c r="AE1315">
        <v>5</v>
      </c>
      <c r="AF1315">
        <v>1</v>
      </c>
      <c r="AG1315">
        <v>0</v>
      </c>
      <c r="AH1315">
        <v>115.29</v>
      </c>
      <c r="AK1315" t="s">
        <v>10966</v>
      </c>
      <c r="AL1315">
        <v>14400</v>
      </c>
      <c r="AR1315">
        <v>1.6</v>
      </c>
      <c r="AS1315" t="s">
        <v>6814</v>
      </c>
      <c r="AT1315" t="s">
        <v>288</v>
      </c>
      <c r="AU1315" t="s">
        <v>11228</v>
      </c>
      <c r="AV1315" t="s">
        <v>11231</v>
      </c>
      <c r="AW1315" t="s">
        <v>11161</v>
      </c>
    </row>
    <row r="1316" spans="1:49">
      <c r="A1316" s="1">
        <f>HYPERLINK("https://lsnyc.legalserver.org/matter/dynamic-profile/view/1903233","19-1903233")</f>
        <v>0</v>
      </c>
      <c r="B1316" t="s">
        <v>252</v>
      </c>
      <c r="C1316" t="s">
        <v>469</v>
      </c>
      <c r="D1316" t="s">
        <v>1840</v>
      </c>
      <c r="E1316" t="s">
        <v>4274</v>
      </c>
      <c r="F1316" t="s">
        <v>5099</v>
      </c>
      <c r="G1316" t="s">
        <v>5638</v>
      </c>
      <c r="H1316">
        <v>10025</v>
      </c>
      <c r="I1316" t="s">
        <v>5695</v>
      </c>
      <c r="J1316" t="s">
        <v>5696</v>
      </c>
      <c r="K1316" t="s">
        <v>6312</v>
      </c>
      <c r="L1316" t="s">
        <v>6714</v>
      </c>
      <c r="M1316" t="s">
        <v>6736</v>
      </c>
      <c r="O1316" t="s">
        <v>6749</v>
      </c>
      <c r="P1316" t="s">
        <v>5697</v>
      </c>
      <c r="R1316" t="s">
        <v>6794</v>
      </c>
      <c r="U1316">
        <v>291</v>
      </c>
      <c r="V1316" t="s">
        <v>6836</v>
      </c>
      <c r="W1316" t="s">
        <v>6840</v>
      </c>
      <c r="Y1316" t="s">
        <v>8104</v>
      </c>
      <c r="AA1316" t="s">
        <v>10137</v>
      </c>
      <c r="AB1316">
        <v>0</v>
      </c>
      <c r="AC1316" t="s">
        <v>10931</v>
      </c>
      <c r="AE1316">
        <v>10</v>
      </c>
      <c r="AF1316">
        <v>1</v>
      </c>
      <c r="AG1316">
        <v>1</v>
      </c>
      <c r="AH1316">
        <v>17.96</v>
      </c>
      <c r="AL1316">
        <v>3036.8</v>
      </c>
      <c r="AR1316">
        <v>1</v>
      </c>
      <c r="AS1316" t="s">
        <v>11139</v>
      </c>
      <c r="AT1316" t="s">
        <v>229</v>
      </c>
      <c r="AU1316" t="s">
        <v>11228</v>
      </c>
      <c r="AV1316" t="s">
        <v>11231</v>
      </c>
      <c r="AW1316" t="s">
        <v>11139</v>
      </c>
    </row>
    <row r="1317" spans="1:49">
      <c r="A1317" s="1">
        <f>HYPERLINK("https://lsnyc.legalserver.org/matter/dynamic-profile/view/1903973","19-1903973")</f>
        <v>0</v>
      </c>
      <c r="B1317" t="s">
        <v>202</v>
      </c>
      <c r="C1317" t="s">
        <v>442</v>
      </c>
      <c r="D1317" t="s">
        <v>2552</v>
      </c>
      <c r="E1317" t="s">
        <v>4099</v>
      </c>
      <c r="F1317" t="s">
        <v>5143</v>
      </c>
      <c r="G1317" t="s">
        <v>5635</v>
      </c>
      <c r="H1317">
        <v>10467</v>
      </c>
      <c r="I1317" t="s">
        <v>5695</v>
      </c>
      <c r="J1317" t="s">
        <v>5696</v>
      </c>
      <c r="K1317" t="s">
        <v>6313</v>
      </c>
      <c r="L1317" t="s">
        <v>6714</v>
      </c>
      <c r="M1317" t="s">
        <v>6736</v>
      </c>
      <c r="O1317" t="s">
        <v>6763</v>
      </c>
      <c r="P1317" t="s">
        <v>5697</v>
      </c>
      <c r="R1317" t="s">
        <v>6793</v>
      </c>
      <c r="U1317">
        <v>484</v>
      </c>
      <c r="V1317" t="s">
        <v>6833</v>
      </c>
      <c r="W1317" t="s">
        <v>6843</v>
      </c>
      <c r="Y1317" t="s">
        <v>8105</v>
      </c>
      <c r="Z1317" t="s">
        <v>9014</v>
      </c>
      <c r="AA1317" t="s">
        <v>10138</v>
      </c>
      <c r="AB1317">
        <v>733</v>
      </c>
      <c r="AC1317" t="s">
        <v>10931</v>
      </c>
      <c r="AD1317" t="s">
        <v>5741</v>
      </c>
      <c r="AE1317">
        <v>18</v>
      </c>
      <c r="AF1317">
        <v>3</v>
      </c>
      <c r="AG1317">
        <v>0</v>
      </c>
      <c r="AH1317">
        <v>97.52</v>
      </c>
      <c r="AK1317" t="s">
        <v>10966</v>
      </c>
      <c r="AL1317">
        <v>20800</v>
      </c>
      <c r="AR1317">
        <v>9</v>
      </c>
      <c r="AS1317" t="s">
        <v>6828</v>
      </c>
      <c r="AT1317" t="s">
        <v>219</v>
      </c>
      <c r="AV1317" t="s">
        <v>11231</v>
      </c>
      <c r="AW1317" t="s">
        <v>6825</v>
      </c>
    </row>
    <row r="1318" spans="1:49">
      <c r="A1318" s="1">
        <f>HYPERLINK("https://lsnyc.legalserver.org/matter/dynamic-profile/view/1904089","19-1904089")</f>
        <v>0</v>
      </c>
      <c r="B1318" t="s">
        <v>187</v>
      </c>
      <c r="C1318" t="s">
        <v>1178</v>
      </c>
      <c r="D1318" t="s">
        <v>2553</v>
      </c>
      <c r="E1318" t="s">
        <v>4275</v>
      </c>
      <c r="F1318" t="s">
        <v>5116</v>
      </c>
      <c r="G1318" t="s">
        <v>5635</v>
      </c>
      <c r="H1318">
        <v>10468</v>
      </c>
      <c r="I1318" t="s">
        <v>5695</v>
      </c>
      <c r="J1318" t="s">
        <v>5696</v>
      </c>
      <c r="K1318" t="s">
        <v>6314</v>
      </c>
      <c r="L1318" t="s">
        <v>6714</v>
      </c>
      <c r="M1318" t="s">
        <v>6736</v>
      </c>
      <c r="O1318" t="s">
        <v>6763</v>
      </c>
      <c r="P1318" t="s">
        <v>5697</v>
      </c>
      <c r="R1318" t="s">
        <v>6793</v>
      </c>
      <c r="S1318" t="s">
        <v>6804</v>
      </c>
      <c r="T1318" t="s">
        <v>6817</v>
      </c>
      <c r="U1318">
        <v>1214.21</v>
      </c>
      <c r="V1318" t="s">
        <v>6833</v>
      </c>
      <c r="W1318" t="s">
        <v>6839</v>
      </c>
      <c r="Y1318" t="s">
        <v>8106</v>
      </c>
      <c r="Z1318" t="s">
        <v>9015</v>
      </c>
      <c r="AA1318" t="s">
        <v>10139</v>
      </c>
      <c r="AB1318">
        <v>66</v>
      </c>
      <c r="AC1318" t="s">
        <v>10929</v>
      </c>
      <c r="AD1318" t="s">
        <v>10946</v>
      </c>
      <c r="AE1318">
        <v>13</v>
      </c>
      <c r="AF1318">
        <v>1</v>
      </c>
      <c r="AG1318">
        <v>2</v>
      </c>
      <c r="AH1318">
        <v>0</v>
      </c>
      <c r="AK1318" t="s">
        <v>10966</v>
      </c>
      <c r="AL1318">
        <v>0</v>
      </c>
      <c r="AR1318">
        <v>16.7</v>
      </c>
      <c r="AS1318" t="s">
        <v>11168</v>
      </c>
      <c r="AT1318" t="s">
        <v>11176</v>
      </c>
      <c r="AU1318" t="s">
        <v>11228</v>
      </c>
      <c r="AV1318" t="s">
        <v>11231</v>
      </c>
      <c r="AW1318" t="s">
        <v>6817</v>
      </c>
    </row>
    <row r="1319" spans="1:49">
      <c r="A1319" s="1">
        <f>HYPERLINK("https://lsnyc.legalserver.org/matter/dynamic-profile/view/1904096","19-1904096")</f>
        <v>0</v>
      </c>
      <c r="B1319" t="s">
        <v>274</v>
      </c>
      <c r="C1319" t="s">
        <v>604</v>
      </c>
      <c r="D1319" t="s">
        <v>1549</v>
      </c>
      <c r="E1319" t="s">
        <v>4276</v>
      </c>
      <c r="F1319" t="s">
        <v>5145</v>
      </c>
      <c r="G1319" t="s">
        <v>5635</v>
      </c>
      <c r="H1319">
        <v>10467</v>
      </c>
      <c r="I1319" t="s">
        <v>5695</v>
      </c>
      <c r="J1319" t="s">
        <v>5696</v>
      </c>
      <c r="K1319" t="s">
        <v>6315</v>
      </c>
      <c r="L1319" t="s">
        <v>6714</v>
      </c>
      <c r="M1319" t="s">
        <v>6736</v>
      </c>
      <c r="O1319" t="s">
        <v>6763</v>
      </c>
      <c r="P1319" t="s">
        <v>5697</v>
      </c>
      <c r="R1319" t="s">
        <v>6793</v>
      </c>
      <c r="T1319" t="s">
        <v>6825</v>
      </c>
      <c r="U1319">
        <v>458</v>
      </c>
      <c r="V1319" t="s">
        <v>6833</v>
      </c>
      <c r="W1319" t="s">
        <v>6840</v>
      </c>
      <c r="Y1319" t="s">
        <v>8107</v>
      </c>
      <c r="Z1319" t="s">
        <v>9016</v>
      </c>
      <c r="AA1319" t="s">
        <v>10140</v>
      </c>
      <c r="AB1319">
        <v>8</v>
      </c>
      <c r="AC1319" t="s">
        <v>10929</v>
      </c>
      <c r="AD1319" t="s">
        <v>10944</v>
      </c>
      <c r="AE1319">
        <v>12</v>
      </c>
      <c r="AF1319">
        <v>2</v>
      </c>
      <c r="AG1319">
        <v>0</v>
      </c>
      <c r="AH1319">
        <v>69.26000000000001</v>
      </c>
      <c r="AK1319" t="s">
        <v>10966</v>
      </c>
      <c r="AL1319">
        <v>11712</v>
      </c>
      <c r="AR1319">
        <v>8.5</v>
      </c>
      <c r="AS1319" t="s">
        <v>6820</v>
      </c>
      <c r="AT1319" t="s">
        <v>219</v>
      </c>
      <c r="AU1319" t="s">
        <v>11229</v>
      </c>
      <c r="AV1319" t="s">
        <v>11231</v>
      </c>
      <c r="AW1319" t="s">
        <v>6825</v>
      </c>
    </row>
    <row r="1320" spans="1:49">
      <c r="A1320" s="1">
        <f>HYPERLINK("https://lsnyc.legalserver.org/matter/dynamic-profile/view/1906166","19-1906166")</f>
        <v>0</v>
      </c>
      <c r="B1320" t="s">
        <v>92</v>
      </c>
      <c r="C1320" t="s">
        <v>582</v>
      </c>
      <c r="D1320" t="s">
        <v>2488</v>
      </c>
      <c r="E1320" t="s">
        <v>4277</v>
      </c>
      <c r="F1320" t="s">
        <v>5487</v>
      </c>
      <c r="G1320" t="s">
        <v>5637</v>
      </c>
      <c r="H1320">
        <v>11225</v>
      </c>
      <c r="I1320" t="s">
        <v>5695</v>
      </c>
      <c r="J1320" t="s">
        <v>5696</v>
      </c>
      <c r="K1320" t="s">
        <v>6316</v>
      </c>
      <c r="L1320" t="s">
        <v>6714</v>
      </c>
      <c r="M1320" t="s">
        <v>6736</v>
      </c>
      <c r="O1320" t="s">
        <v>6755</v>
      </c>
      <c r="P1320" t="s">
        <v>5697</v>
      </c>
      <c r="R1320" t="s">
        <v>6793</v>
      </c>
      <c r="S1320" t="s">
        <v>6804</v>
      </c>
      <c r="T1320" t="s">
        <v>6820</v>
      </c>
      <c r="U1320">
        <v>1583</v>
      </c>
      <c r="V1320" t="s">
        <v>6835</v>
      </c>
      <c r="W1320" t="s">
        <v>6854</v>
      </c>
      <c r="Y1320" t="s">
        <v>8108</v>
      </c>
      <c r="Z1320" t="s">
        <v>5741</v>
      </c>
      <c r="AA1320" t="s">
        <v>10141</v>
      </c>
      <c r="AB1320">
        <v>8</v>
      </c>
      <c r="AD1320" t="s">
        <v>5741</v>
      </c>
      <c r="AE1320">
        <v>6</v>
      </c>
      <c r="AF1320">
        <v>3</v>
      </c>
      <c r="AG1320">
        <v>2</v>
      </c>
      <c r="AH1320">
        <v>120.65</v>
      </c>
      <c r="AK1320" t="s">
        <v>10966</v>
      </c>
      <c r="AL1320">
        <v>36400</v>
      </c>
      <c r="AR1320">
        <v>1</v>
      </c>
      <c r="AS1320" t="s">
        <v>6821</v>
      </c>
      <c r="AT1320" t="s">
        <v>11190</v>
      </c>
      <c r="AU1320" t="s">
        <v>11228</v>
      </c>
      <c r="AV1320" t="s">
        <v>11231</v>
      </c>
      <c r="AW1320" t="s">
        <v>6821</v>
      </c>
    </row>
    <row r="1321" spans="1:49">
      <c r="A1321" s="1">
        <f>HYPERLINK("https://lsnyc.legalserver.org/matter/dynamic-profile/view/1904509","19-1904509")</f>
        <v>0</v>
      </c>
      <c r="B1321" t="s">
        <v>142</v>
      </c>
      <c r="C1321" t="s">
        <v>1179</v>
      </c>
      <c r="D1321" t="s">
        <v>2554</v>
      </c>
      <c r="E1321" t="s">
        <v>4278</v>
      </c>
      <c r="F1321" t="s">
        <v>5139</v>
      </c>
      <c r="G1321" t="s">
        <v>5635</v>
      </c>
      <c r="H1321">
        <v>10459</v>
      </c>
      <c r="I1321" t="s">
        <v>5695</v>
      </c>
      <c r="J1321" t="s">
        <v>5696</v>
      </c>
      <c r="K1321" t="s">
        <v>6317</v>
      </c>
      <c r="L1321" t="s">
        <v>6714</v>
      </c>
      <c r="M1321" t="s">
        <v>6736</v>
      </c>
      <c r="O1321" t="s">
        <v>6745</v>
      </c>
      <c r="P1321" t="s">
        <v>5695</v>
      </c>
      <c r="R1321" t="s">
        <v>6793</v>
      </c>
      <c r="S1321" t="s">
        <v>6801</v>
      </c>
      <c r="U1321">
        <v>450</v>
      </c>
      <c r="V1321" t="s">
        <v>6833</v>
      </c>
      <c r="W1321" t="s">
        <v>6843</v>
      </c>
      <c r="Y1321" t="s">
        <v>8109</v>
      </c>
      <c r="Z1321" t="s">
        <v>9017</v>
      </c>
      <c r="AA1321" t="s">
        <v>10142</v>
      </c>
      <c r="AB1321">
        <v>0</v>
      </c>
      <c r="AC1321" t="s">
        <v>10934</v>
      </c>
      <c r="AD1321" t="s">
        <v>10944</v>
      </c>
      <c r="AE1321">
        <v>23</v>
      </c>
      <c r="AF1321">
        <v>2</v>
      </c>
      <c r="AG1321">
        <v>2</v>
      </c>
      <c r="AH1321">
        <v>65.23999999999999</v>
      </c>
      <c r="AK1321" t="s">
        <v>10966</v>
      </c>
      <c r="AL1321">
        <v>16800</v>
      </c>
      <c r="AR1321">
        <v>0</v>
      </c>
      <c r="AT1321" t="s">
        <v>142</v>
      </c>
      <c r="AU1321" t="s">
        <v>11229</v>
      </c>
      <c r="AV1321" t="s">
        <v>11231</v>
      </c>
      <c r="AW1321" t="s">
        <v>6810</v>
      </c>
    </row>
    <row r="1322" spans="1:49">
      <c r="A1322" s="1">
        <f>HYPERLINK("https://lsnyc.legalserver.org/matter/dynamic-profile/view/1905313","19-1905313")</f>
        <v>0</v>
      </c>
      <c r="B1322" t="s">
        <v>76</v>
      </c>
      <c r="C1322" t="s">
        <v>1180</v>
      </c>
      <c r="D1322" t="s">
        <v>1739</v>
      </c>
      <c r="E1322" t="s">
        <v>4279</v>
      </c>
      <c r="F1322">
        <v>404</v>
      </c>
      <c r="G1322" t="s">
        <v>5635</v>
      </c>
      <c r="H1322">
        <v>10460</v>
      </c>
      <c r="I1322" t="s">
        <v>5695</v>
      </c>
      <c r="J1322" t="s">
        <v>5696</v>
      </c>
      <c r="K1322" t="s">
        <v>6318</v>
      </c>
      <c r="L1322" t="s">
        <v>6714</v>
      </c>
      <c r="M1322" t="s">
        <v>6736</v>
      </c>
      <c r="O1322" t="s">
        <v>6745</v>
      </c>
      <c r="P1322" t="s">
        <v>5697</v>
      </c>
      <c r="R1322" t="s">
        <v>6793</v>
      </c>
      <c r="U1322">
        <v>1269</v>
      </c>
      <c r="V1322" t="s">
        <v>6833</v>
      </c>
      <c r="W1322" t="s">
        <v>6839</v>
      </c>
      <c r="Y1322" t="s">
        <v>7182</v>
      </c>
      <c r="AA1322" t="s">
        <v>10143</v>
      </c>
      <c r="AB1322">
        <v>27</v>
      </c>
      <c r="AC1322" t="s">
        <v>10929</v>
      </c>
      <c r="AD1322" t="s">
        <v>10944</v>
      </c>
      <c r="AE1322">
        <v>13</v>
      </c>
      <c r="AF1322">
        <v>1</v>
      </c>
      <c r="AG1322">
        <v>2</v>
      </c>
      <c r="AH1322">
        <v>24.19</v>
      </c>
      <c r="AK1322" t="s">
        <v>10966</v>
      </c>
      <c r="AL1322">
        <v>5160</v>
      </c>
      <c r="AR1322">
        <v>8.800000000000001</v>
      </c>
      <c r="AS1322" t="s">
        <v>6820</v>
      </c>
      <c r="AT1322" t="s">
        <v>219</v>
      </c>
      <c r="AU1322" t="s">
        <v>5741</v>
      </c>
      <c r="AV1322" t="s">
        <v>11231</v>
      </c>
      <c r="AW1322" t="s">
        <v>6808</v>
      </c>
    </row>
    <row r="1323" spans="1:49">
      <c r="A1323" s="1">
        <f>HYPERLINK("https://lsnyc.legalserver.org/matter/dynamic-profile/view/1902377","19-1902377")</f>
        <v>0</v>
      </c>
      <c r="B1323" t="s">
        <v>189</v>
      </c>
      <c r="C1323" t="s">
        <v>1181</v>
      </c>
      <c r="D1323" t="s">
        <v>2555</v>
      </c>
      <c r="E1323" t="s">
        <v>4280</v>
      </c>
      <c r="F1323" t="s">
        <v>5116</v>
      </c>
      <c r="G1323" t="s">
        <v>5681</v>
      </c>
      <c r="H1323">
        <v>11415</v>
      </c>
      <c r="I1323" t="s">
        <v>5695</v>
      </c>
      <c r="J1323" t="s">
        <v>5696</v>
      </c>
      <c r="K1323" t="s">
        <v>6319</v>
      </c>
      <c r="L1323" t="s">
        <v>6714</v>
      </c>
      <c r="M1323" t="s">
        <v>6736</v>
      </c>
      <c r="O1323" t="s">
        <v>6750</v>
      </c>
      <c r="R1323" t="s">
        <v>6793</v>
      </c>
      <c r="U1323">
        <v>1825</v>
      </c>
      <c r="V1323" t="s">
        <v>6837</v>
      </c>
      <c r="W1323" t="s">
        <v>6840</v>
      </c>
      <c r="Y1323" t="s">
        <v>8110</v>
      </c>
      <c r="Z1323" t="s">
        <v>5741</v>
      </c>
      <c r="AA1323" t="s">
        <v>10144</v>
      </c>
      <c r="AB1323">
        <v>46</v>
      </c>
      <c r="AC1323" t="s">
        <v>8953</v>
      </c>
      <c r="AD1323" t="s">
        <v>5741</v>
      </c>
      <c r="AE1323">
        <v>1</v>
      </c>
      <c r="AF1323">
        <v>2</v>
      </c>
      <c r="AG1323">
        <v>3</v>
      </c>
      <c r="AH1323">
        <v>122.64</v>
      </c>
      <c r="AK1323" t="s">
        <v>10966</v>
      </c>
      <c r="AL1323">
        <v>37000</v>
      </c>
      <c r="AR1323">
        <v>0.45</v>
      </c>
      <c r="AS1323" t="s">
        <v>6822</v>
      </c>
      <c r="AT1323" t="s">
        <v>11184</v>
      </c>
      <c r="AU1323" t="s">
        <v>11228</v>
      </c>
      <c r="AV1323" t="s">
        <v>11231</v>
      </c>
      <c r="AW1323" t="s">
        <v>11140</v>
      </c>
    </row>
    <row r="1324" spans="1:49">
      <c r="A1324" s="1">
        <f>HYPERLINK("https://lsnyc.legalserver.org/matter/dynamic-profile/view/1898223","19-1898223")</f>
        <v>0</v>
      </c>
      <c r="B1324" t="s">
        <v>244</v>
      </c>
      <c r="C1324" t="s">
        <v>1182</v>
      </c>
      <c r="D1324" t="s">
        <v>2260</v>
      </c>
      <c r="E1324" t="s">
        <v>3550</v>
      </c>
      <c r="F1324" t="s">
        <v>5488</v>
      </c>
      <c r="G1324" t="s">
        <v>5638</v>
      </c>
      <c r="H1324">
        <v>10027</v>
      </c>
      <c r="I1324" t="s">
        <v>5696</v>
      </c>
      <c r="J1324" t="s">
        <v>5696</v>
      </c>
      <c r="K1324">
        <v>13597</v>
      </c>
      <c r="L1324" t="s">
        <v>6714</v>
      </c>
      <c r="M1324" t="s">
        <v>6736</v>
      </c>
      <c r="O1324" t="s">
        <v>6749</v>
      </c>
      <c r="R1324" t="s">
        <v>6793</v>
      </c>
      <c r="U1324">
        <v>466</v>
      </c>
      <c r="V1324" t="s">
        <v>6836</v>
      </c>
      <c r="Y1324" t="s">
        <v>8111</v>
      </c>
      <c r="AA1324" t="s">
        <v>10145</v>
      </c>
      <c r="AB1324">
        <v>0</v>
      </c>
      <c r="AE1324">
        <v>7</v>
      </c>
      <c r="AF1324">
        <v>2</v>
      </c>
      <c r="AG1324">
        <v>0</v>
      </c>
      <c r="AH1324">
        <v>72.95</v>
      </c>
      <c r="AK1324" t="s">
        <v>10966</v>
      </c>
      <c r="AL1324">
        <v>12336</v>
      </c>
      <c r="AR1324">
        <v>4.1</v>
      </c>
      <c r="AS1324" t="s">
        <v>11131</v>
      </c>
      <c r="AT1324" t="s">
        <v>11194</v>
      </c>
      <c r="AV1324" t="s">
        <v>11231</v>
      </c>
      <c r="AW1324" t="s">
        <v>10956</v>
      </c>
    </row>
    <row r="1325" spans="1:49">
      <c r="A1325" s="1">
        <f>HYPERLINK("https://lsnyc.legalserver.org/matter/dynamic-profile/view/1898174","19-1898174")</f>
        <v>0</v>
      </c>
      <c r="B1325" t="s">
        <v>101</v>
      </c>
      <c r="C1325" t="s">
        <v>865</v>
      </c>
      <c r="D1325" t="s">
        <v>2444</v>
      </c>
      <c r="E1325" t="s">
        <v>4281</v>
      </c>
      <c r="F1325" t="s">
        <v>5244</v>
      </c>
      <c r="G1325" t="s">
        <v>5636</v>
      </c>
      <c r="H1325">
        <v>10305</v>
      </c>
      <c r="I1325" t="s">
        <v>5695</v>
      </c>
      <c r="J1325" t="s">
        <v>5696</v>
      </c>
      <c r="K1325" t="s">
        <v>6320</v>
      </c>
      <c r="L1325" t="s">
        <v>6714</v>
      </c>
      <c r="M1325" t="s">
        <v>6736</v>
      </c>
      <c r="O1325" t="s">
        <v>6751</v>
      </c>
      <c r="P1325" t="s">
        <v>5697</v>
      </c>
      <c r="R1325" t="s">
        <v>6793</v>
      </c>
      <c r="S1325" t="s">
        <v>6804</v>
      </c>
      <c r="U1325">
        <v>1515</v>
      </c>
      <c r="V1325" t="s">
        <v>6834</v>
      </c>
      <c r="W1325" t="s">
        <v>6855</v>
      </c>
      <c r="Y1325" t="s">
        <v>8112</v>
      </c>
      <c r="Z1325" t="s">
        <v>9018</v>
      </c>
      <c r="AA1325" t="s">
        <v>10146</v>
      </c>
      <c r="AB1325">
        <v>0</v>
      </c>
      <c r="AC1325" t="s">
        <v>10930</v>
      </c>
      <c r="AD1325" t="s">
        <v>5741</v>
      </c>
      <c r="AE1325">
        <v>2</v>
      </c>
      <c r="AF1325">
        <v>1</v>
      </c>
      <c r="AG1325">
        <v>2</v>
      </c>
      <c r="AH1325">
        <v>21.34</v>
      </c>
      <c r="AK1325" t="s">
        <v>10978</v>
      </c>
      <c r="AL1325">
        <v>4551.3</v>
      </c>
      <c r="AR1325">
        <v>19.3</v>
      </c>
      <c r="AS1325" t="s">
        <v>6819</v>
      </c>
      <c r="AT1325" t="s">
        <v>11177</v>
      </c>
      <c r="AU1325" t="s">
        <v>11228</v>
      </c>
      <c r="AV1325" t="s">
        <v>11231</v>
      </c>
      <c r="AW1325" t="s">
        <v>11169</v>
      </c>
    </row>
    <row r="1326" spans="1:49">
      <c r="A1326" s="1">
        <f>HYPERLINK("https://lsnyc.legalserver.org/matter/dynamic-profile/view/1901787","19-1901787")</f>
        <v>0</v>
      </c>
      <c r="B1326" t="s">
        <v>195</v>
      </c>
      <c r="C1326" t="s">
        <v>881</v>
      </c>
      <c r="D1326" t="s">
        <v>2556</v>
      </c>
      <c r="E1326" t="s">
        <v>4282</v>
      </c>
      <c r="F1326" t="s">
        <v>5145</v>
      </c>
      <c r="G1326" t="s">
        <v>5635</v>
      </c>
      <c r="H1326">
        <v>10457</v>
      </c>
      <c r="I1326" t="s">
        <v>5695</v>
      </c>
      <c r="J1326" t="s">
        <v>5696</v>
      </c>
      <c r="K1326" t="s">
        <v>6321</v>
      </c>
      <c r="L1326" t="s">
        <v>6714</v>
      </c>
      <c r="M1326" t="s">
        <v>6736</v>
      </c>
      <c r="O1326" t="s">
        <v>6763</v>
      </c>
      <c r="P1326" t="s">
        <v>5697</v>
      </c>
      <c r="R1326" t="s">
        <v>6793</v>
      </c>
      <c r="S1326" t="s">
        <v>6801</v>
      </c>
      <c r="U1326">
        <v>1073</v>
      </c>
      <c r="V1326" t="s">
        <v>6833</v>
      </c>
      <c r="W1326" t="s">
        <v>6839</v>
      </c>
      <c r="Y1326" t="s">
        <v>8113</v>
      </c>
      <c r="AA1326" t="s">
        <v>10147</v>
      </c>
      <c r="AB1326">
        <v>28</v>
      </c>
      <c r="AC1326" t="s">
        <v>8953</v>
      </c>
      <c r="AD1326" t="s">
        <v>10946</v>
      </c>
      <c r="AE1326">
        <v>5</v>
      </c>
      <c r="AF1326">
        <v>1</v>
      </c>
      <c r="AG1326">
        <v>3</v>
      </c>
      <c r="AH1326">
        <v>33.93</v>
      </c>
      <c r="AK1326" t="s">
        <v>10966</v>
      </c>
      <c r="AL1326">
        <v>8736</v>
      </c>
      <c r="AR1326">
        <v>0</v>
      </c>
      <c r="AT1326" t="s">
        <v>11196</v>
      </c>
      <c r="AV1326" t="s">
        <v>11231</v>
      </c>
      <c r="AW1326" t="s">
        <v>11149</v>
      </c>
    </row>
    <row r="1327" spans="1:49">
      <c r="A1327" s="1">
        <f>HYPERLINK("https://lsnyc.legalserver.org/matter/dynamic-profile/view/1901785","19-1901785")</f>
        <v>0</v>
      </c>
      <c r="B1327" t="s">
        <v>184</v>
      </c>
      <c r="C1327" t="s">
        <v>1183</v>
      </c>
      <c r="D1327" t="s">
        <v>2557</v>
      </c>
      <c r="E1327" t="s">
        <v>4283</v>
      </c>
      <c r="F1327" t="s">
        <v>5154</v>
      </c>
      <c r="G1327" t="s">
        <v>5646</v>
      </c>
      <c r="H1327">
        <v>11354</v>
      </c>
      <c r="I1327" t="s">
        <v>5695</v>
      </c>
      <c r="J1327" t="s">
        <v>5696</v>
      </c>
      <c r="K1327" t="s">
        <v>6322</v>
      </c>
      <c r="L1327" t="s">
        <v>6714</v>
      </c>
      <c r="M1327" t="s">
        <v>6736</v>
      </c>
      <c r="O1327" t="s">
        <v>6745</v>
      </c>
      <c r="P1327" t="s">
        <v>5697</v>
      </c>
      <c r="R1327" t="s">
        <v>6793</v>
      </c>
      <c r="S1327" t="s">
        <v>6804</v>
      </c>
      <c r="T1327" t="s">
        <v>6829</v>
      </c>
      <c r="U1327">
        <v>939.65</v>
      </c>
      <c r="V1327" t="s">
        <v>6837</v>
      </c>
      <c r="W1327" t="s">
        <v>6840</v>
      </c>
      <c r="Y1327" t="s">
        <v>8114</v>
      </c>
      <c r="AA1327" t="s">
        <v>10148</v>
      </c>
      <c r="AB1327">
        <v>91</v>
      </c>
      <c r="AC1327" t="s">
        <v>10933</v>
      </c>
      <c r="AD1327" t="s">
        <v>5741</v>
      </c>
      <c r="AE1327">
        <v>30</v>
      </c>
      <c r="AF1327">
        <v>1</v>
      </c>
      <c r="AG1327">
        <v>0</v>
      </c>
      <c r="AH1327">
        <v>78.78</v>
      </c>
      <c r="AK1327" t="s">
        <v>10966</v>
      </c>
      <c r="AL1327">
        <v>9840</v>
      </c>
      <c r="AR1327">
        <v>1.8</v>
      </c>
      <c r="AS1327" t="s">
        <v>6829</v>
      </c>
      <c r="AT1327" t="s">
        <v>11182</v>
      </c>
      <c r="AU1327" t="s">
        <v>11228</v>
      </c>
      <c r="AV1327" t="s">
        <v>11231</v>
      </c>
      <c r="AW1327" t="s">
        <v>11149</v>
      </c>
    </row>
    <row r="1328" spans="1:49">
      <c r="A1328" s="1">
        <f>HYPERLINK("https://lsnyc.legalserver.org/matter/dynamic-profile/view/1903963","19-1903963")</f>
        <v>0</v>
      </c>
      <c r="B1328" t="s">
        <v>76</v>
      </c>
      <c r="C1328" t="s">
        <v>1184</v>
      </c>
      <c r="D1328" t="s">
        <v>2345</v>
      </c>
      <c r="E1328" t="s">
        <v>4284</v>
      </c>
      <c r="F1328" t="s">
        <v>5122</v>
      </c>
      <c r="G1328" t="s">
        <v>5635</v>
      </c>
      <c r="H1328">
        <v>10457</v>
      </c>
      <c r="I1328" t="s">
        <v>5695</v>
      </c>
      <c r="J1328" t="s">
        <v>5696</v>
      </c>
      <c r="K1328" t="s">
        <v>6323</v>
      </c>
      <c r="L1328" t="s">
        <v>6714</v>
      </c>
      <c r="M1328" t="s">
        <v>6736</v>
      </c>
      <c r="O1328" t="s">
        <v>6763</v>
      </c>
      <c r="P1328" t="s">
        <v>5697</v>
      </c>
      <c r="R1328" t="s">
        <v>6793</v>
      </c>
      <c r="S1328" t="s">
        <v>6801</v>
      </c>
      <c r="T1328" t="s">
        <v>6825</v>
      </c>
      <c r="U1328">
        <v>1224.26</v>
      </c>
      <c r="V1328" t="s">
        <v>6833</v>
      </c>
      <c r="W1328" t="s">
        <v>6839</v>
      </c>
      <c r="Y1328" t="s">
        <v>8115</v>
      </c>
      <c r="Z1328" t="s">
        <v>9019</v>
      </c>
      <c r="AA1328" t="s">
        <v>10149</v>
      </c>
      <c r="AB1328">
        <v>0</v>
      </c>
      <c r="AC1328" t="s">
        <v>8953</v>
      </c>
      <c r="AD1328" t="s">
        <v>10950</v>
      </c>
      <c r="AE1328">
        <v>2</v>
      </c>
      <c r="AF1328">
        <v>1</v>
      </c>
      <c r="AG1328">
        <v>1</v>
      </c>
      <c r="AH1328">
        <v>65.45</v>
      </c>
      <c r="AK1328" t="s">
        <v>10966</v>
      </c>
      <c r="AL1328">
        <v>11066.8</v>
      </c>
      <c r="AR1328">
        <v>2.5</v>
      </c>
      <c r="AS1328" t="s">
        <v>6820</v>
      </c>
      <c r="AT1328" t="s">
        <v>11222</v>
      </c>
      <c r="AU1328" t="s">
        <v>11229</v>
      </c>
      <c r="AV1328" t="s">
        <v>11231</v>
      </c>
      <c r="AW1328" t="s">
        <v>11144</v>
      </c>
    </row>
    <row r="1329" spans="1:49">
      <c r="A1329" s="1">
        <f>HYPERLINK("https://lsnyc.legalserver.org/matter/dynamic-profile/view/1903956","19-1903956")</f>
        <v>0</v>
      </c>
      <c r="B1329" t="s">
        <v>245</v>
      </c>
      <c r="C1329" t="s">
        <v>835</v>
      </c>
      <c r="D1329" t="s">
        <v>2558</v>
      </c>
      <c r="E1329" t="s">
        <v>4285</v>
      </c>
      <c r="F1329" t="s">
        <v>5180</v>
      </c>
      <c r="G1329" t="s">
        <v>5638</v>
      </c>
      <c r="H1329">
        <v>10031</v>
      </c>
      <c r="I1329" t="s">
        <v>5695</v>
      </c>
      <c r="J1329" t="s">
        <v>5696</v>
      </c>
      <c r="K1329" t="s">
        <v>6324</v>
      </c>
      <c r="L1329" t="s">
        <v>6714</v>
      </c>
      <c r="M1329" t="s">
        <v>6736</v>
      </c>
      <c r="O1329" t="s">
        <v>6749</v>
      </c>
      <c r="P1329" t="s">
        <v>5697</v>
      </c>
      <c r="R1329" t="s">
        <v>6793</v>
      </c>
      <c r="S1329" t="s">
        <v>6801</v>
      </c>
      <c r="U1329">
        <v>1189</v>
      </c>
      <c r="V1329" t="s">
        <v>6836</v>
      </c>
      <c r="W1329" t="s">
        <v>6839</v>
      </c>
      <c r="Y1329" t="s">
        <v>8116</v>
      </c>
      <c r="AA1329" t="s">
        <v>10150</v>
      </c>
      <c r="AB1329">
        <v>0</v>
      </c>
      <c r="AC1329" t="s">
        <v>10929</v>
      </c>
      <c r="AD1329" t="s">
        <v>10944</v>
      </c>
      <c r="AE1329">
        <v>3</v>
      </c>
      <c r="AF1329">
        <v>1</v>
      </c>
      <c r="AG1329">
        <v>4</v>
      </c>
      <c r="AH1329">
        <v>154.17</v>
      </c>
      <c r="AK1329" t="s">
        <v>10966</v>
      </c>
      <c r="AL1329">
        <v>46514</v>
      </c>
      <c r="AR1329">
        <v>0.25</v>
      </c>
      <c r="AS1329" t="s">
        <v>6817</v>
      </c>
      <c r="AT1329" t="s">
        <v>305</v>
      </c>
      <c r="AV1329" t="s">
        <v>11231</v>
      </c>
      <c r="AW1329" t="s">
        <v>6825</v>
      </c>
    </row>
    <row r="1330" spans="1:49">
      <c r="A1330" s="1">
        <f>HYPERLINK("https://lsnyc.legalserver.org/matter/dynamic-profile/view/1894612","19-1894612")</f>
        <v>0</v>
      </c>
      <c r="B1330" t="s">
        <v>210</v>
      </c>
      <c r="C1330" t="s">
        <v>1185</v>
      </c>
      <c r="D1330" t="s">
        <v>1676</v>
      </c>
      <c r="E1330" t="s">
        <v>4286</v>
      </c>
      <c r="F1330" t="s">
        <v>5429</v>
      </c>
      <c r="G1330" t="s">
        <v>5636</v>
      </c>
      <c r="H1330">
        <v>10301</v>
      </c>
      <c r="I1330" t="s">
        <v>5695</v>
      </c>
      <c r="J1330" t="s">
        <v>5696</v>
      </c>
      <c r="K1330" t="s">
        <v>6325</v>
      </c>
      <c r="L1330" t="s">
        <v>6714</v>
      </c>
      <c r="M1330" t="s">
        <v>6736</v>
      </c>
      <c r="O1330" t="s">
        <v>6745</v>
      </c>
      <c r="P1330" t="s">
        <v>5697</v>
      </c>
      <c r="R1330" t="s">
        <v>6793</v>
      </c>
      <c r="S1330" t="s">
        <v>6801</v>
      </c>
      <c r="U1330">
        <v>1724</v>
      </c>
      <c r="V1330" t="s">
        <v>6834</v>
      </c>
      <c r="W1330" t="s">
        <v>6839</v>
      </c>
      <c r="Y1330" t="s">
        <v>8117</v>
      </c>
      <c r="AA1330" t="s">
        <v>10151</v>
      </c>
      <c r="AB1330">
        <v>228</v>
      </c>
      <c r="AC1330" t="s">
        <v>10935</v>
      </c>
      <c r="AD1330" t="s">
        <v>10944</v>
      </c>
      <c r="AE1330">
        <v>7</v>
      </c>
      <c r="AF1330">
        <v>1</v>
      </c>
      <c r="AG1330">
        <v>1</v>
      </c>
      <c r="AH1330">
        <v>283.86</v>
      </c>
      <c r="AI1330" t="s">
        <v>10960</v>
      </c>
      <c r="AJ1330" t="s">
        <v>10963</v>
      </c>
      <c r="AK1330" t="s">
        <v>10966</v>
      </c>
      <c r="AL1330">
        <v>48000</v>
      </c>
      <c r="AR1330">
        <v>24.35</v>
      </c>
      <c r="AS1330" t="s">
        <v>6828</v>
      </c>
      <c r="AT1330" t="s">
        <v>11177</v>
      </c>
      <c r="AU1330" t="s">
        <v>11228</v>
      </c>
      <c r="AV1330" t="s">
        <v>11231</v>
      </c>
      <c r="AW1330" t="s">
        <v>11119</v>
      </c>
    </row>
    <row r="1331" spans="1:49">
      <c r="A1331" s="1">
        <f>HYPERLINK("https://lsnyc.legalserver.org/matter/dynamic-profile/view/1904415","19-1904415")</f>
        <v>0</v>
      </c>
      <c r="B1331" t="s">
        <v>102</v>
      </c>
      <c r="C1331" t="s">
        <v>1186</v>
      </c>
      <c r="D1331" t="s">
        <v>2559</v>
      </c>
      <c r="E1331" t="s">
        <v>4287</v>
      </c>
      <c r="F1331" t="s">
        <v>5484</v>
      </c>
      <c r="G1331" t="s">
        <v>5638</v>
      </c>
      <c r="H1331">
        <v>10026</v>
      </c>
      <c r="I1331" t="s">
        <v>5695</v>
      </c>
      <c r="J1331" t="s">
        <v>5696</v>
      </c>
      <c r="K1331" t="s">
        <v>6326</v>
      </c>
      <c r="L1331" t="s">
        <v>6714</v>
      </c>
      <c r="M1331" t="s">
        <v>6736</v>
      </c>
      <c r="O1331" t="s">
        <v>6749</v>
      </c>
      <c r="P1331" t="s">
        <v>5697</v>
      </c>
      <c r="R1331" t="s">
        <v>6793</v>
      </c>
      <c r="T1331" t="s">
        <v>6815</v>
      </c>
      <c r="U1331">
        <v>1269.25</v>
      </c>
      <c r="V1331" t="s">
        <v>6836</v>
      </c>
      <c r="W1331" t="s">
        <v>6839</v>
      </c>
      <c r="Y1331" t="s">
        <v>7238</v>
      </c>
      <c r="AA1331" t="s">
        <v>10152</v>
      </c>
      <c r="AB1331">
        <v>0</v>
      </c>
      <c r="AC1331" t="s">
        <v>10936</v>
      </c>
      <c r="AD1331" t="s">
        <v>5741</v>
      </c>
      <c r="AE1331">
        <v>29</v>
      </c>
      <c r="AF1331">
        <v>3</v>
      </c>
      <c r="AG1331">
        <v>1</v>
      </c>
      <c r="AH1331">
        <v>182.91</v>
      </c>
      <c r="AK1331" t="s">
        <v>10966</v>
      </c>
      <c r="AL1331">
        <v>47100</v>
      </c>
      <c r="AR1331">
        <v>3</v>
      </c>
      <c r="AS1331" t="s">
        <v>6809</v>
      </c>
      <c r="AT1331" t="s">
        <v>11218</v>
      </c>
      <c r="AU1331" t="s">
        <v>11228</v>
      </c>
      <c r="AV1331" t="s">
        <v>11231</v>
      </c>
      <c r="AW1331" t="s">
        <v>6815</v>
      </c>
    </row>
    <row r="1332" spans="1:49">
      <c r="A1332" s="1">
        <f>HYPERLINK("https://lsnyc.legalserver.org/matter/dynamic-profile/view/1904399","19-1904399")</f>
        <v>0</v>
      </c>
      <c r="B1332" t="s">
        <v>109</v>
      </c>
      <c r="C1332" t="s">
        <v>1098</v>
      </c>
      <c r="D1332" t="s">
        <v>1893</v>
      </c>
      <c r="E1332" t="s">
        <v>4143</v>
      </c>
      <c r="F1332" t="s">
        <v>5392</v>
      </c>
      <c r="G1332" t="s">
        <v>5635</v>
      </c>
      <c r="H1332">
        <v>10462</v>
      </c>
      <c r="I1332" t="s">
        <v>5695</v>
      </c>
      <c r="J1332" t="s">
        <v>5696</v>
      </c>
      <c r="K1332" t="s">
        <v>6327</v>
      </c>
      <c r="L1332" t="s">
        <v>6714</v>
      </c>
      <c r="M1332" t="s">
        <v>6736</v>
      </c>
      <c r="O1332" t="s">
        <v>6763</v>
      </c>
      <c r="P1332" t="s">
        <v>5697</v>
      </c>
      <c r="R1332" t="s">
        <v>6793</v>
      </c>
      <c r="T1332" t="s">
        <v>6825</v>
      </c>
      <c r="U1332">
        <v>0</v>
      </c>
      <c r="V1332" t="s">
        <v>6833</v>
      </c>
      <c r="W1332" t="s">
        <v>6839</v>
      </c>
      <c r="Y1332" t="s">
        <v>7960</v>
      </c>
      <c r="Z1332" t="s">
        <v>9001</v>
      </c>
      <c r="AA1332" t="s">
        <v>9998</v>
      </c>
      <c r="AB1332">
        <v>0</v>
      </c>
      <c r="AC1332" t="s">
        <v>10929</v>
      </c>
      <c r="AD1332" t="s">
        <v>10944</v>
      </c>
      <c r="AE1332">
        <v>8</v>
      </c>
      <c r="AF1332">
        <v>2</v>
      </c>
      <c r="AG1332">
        <v>0</v>
      </c>
      <c r="AH1332">
        <v>0</v>
      </c>
      <c r="AK1332" t="s">
        <v>10966</v>
      </c>
      <c r="AL1332">
        <v>0</v>
      </c>
      <c r="AR1332">
        <v>0.5</v>
      </c>
      <c r="AS1332" t="s">
        <v>6808</v>
      </c>
      <c r="AT1332" t="s">
        <v>11222</v>
      </c>
      <c r="AU1332" t="s">
        <v>11229</v>
      </c>
      <c r="AV1332" t="s">
        <v>11231</v>
      </c>
      <c r="AW1332" t="s">
        <v>6825</v>
      </c>
    </row>
    <row r="1333" spans="1:49">
      <c r="A1333" s="1">
        <f>HYPERLINK("https://lsnyc.legalserver.org/matter/dynamic-profile/view/1903986","19-1903986")</f>
        <v>0</v>
      </c>
      <c r="B1333" t="s">
        <v>65</v>
      </c>
      <c r="C1333" t="s">
        <v>371</v>
      </c>
      <c r="D1333" t="s">
        <v>2560</v>
      </c>
      <c r="E1333" t="s">
        <v>4272</v>
      </c>
      <c r="F1333" t="s">
        <v>5105</v>
      </c>
      <c r="G1333" t="s">
        <v>5638</v>
      </c>
      <c r="H1333">
        <v>10026</v>
      </c>
      <c r="I1333" t="s">
        <v>5695</v>
      </c>
      <c r="J1333" t="s">
        <v>5696</v>
      </c>
      <c r="K1333" t="s">
        <v>6328</v>
      </c>
      <c r="L1333" t="s">
        <v>6714</v>
      </c>
      <c r="M1333" t="s">
        <v>6736</v>
      </c>
      <c r="O1333" t="s">
        <v>6749</v>
      </c>
      <c r="P1333" t="s">
        <v>5697</v>
      </c>
      <c r="R1333" t="s">
        <v>6794</v>
      </c>
      <c r="S1333" t="s">
        <v>6801</v>
      </c>
      <c r="U1333">
        <v>387</v>
      </c>
      <c r="V1333" t="s">
        <v>6836</v>
      </c>
      <c r="W1333" t="s">
        <v>6839</v>
      </c>
      <c r="Y1333" t="s">
        <v>8118</v>
      </c>
      <c r="AA1333" t="s">
        <v>10153</v>
      </c>
      <c r="AB1333">
        <v>0</v>
      </c>
      <c r="AC1333" t="s">
        <v>10934</v>
      </c>
      <c r="AD1333" t="s">
        <v>5741</v>
      </c>
      <c r="AE1333">
        <v>25</v>
      </c>
      <c r="AF1333">
        <v>1</v>
      </c>
      <c r="AG1333">
        <v>0</v>
      </c>
      <c r="AH1333">
        <v>160.13</v>
      </c>
      <c r="AK1333" t="s">
        <v>10966</v>
      </c>
      <c r="AL1333">
        <v>20000</v>
      </c>
      <c r="AR1333">
        <v>0.3</v>
      </c>
      <c r="AS1333" t="s">
        <v>6809</v>
      </c>
      <c r="AT1333" t="s">
        <v>305</v>
      </c>
      <c r="AV1333" t="s">
        <v>11231</v>
      </c>
      <c r="AW1333" t="s">
        <v>6825</v>
      </c>
    </row>
    <row r="1334" spans="1:49">
      <c r="A1334" s="1">
        <f>HYPERLINK("https://lsnyc.legalserver.org/matter/dynamic-profile/view/1901732","19-1901732")</f>
        <v>0</v>
      </c>
      <c r="B1334" t="s">
        <v>196</v>
      </c>
      <c r="C1334" t="s">
        <v>599</v>
      </c>
      <c r="D1334" t="s">
        <v>1718</v>
      </c>
      <c r="E1334" t="s">
        <v>3640</v>
      </c>
      <c r="G1334" t="s">
        <v>5635</v>
      </c>
      <c r="H1334">
        <v>10467</v>
      </c>
      <c r="I1334" t="s">
        <v>5695</v>
      </c>
      <c r="J1334" t="s">
        <v>5696</v>
      </c>
      <c r="K1334" t="s">
        <v>6329</v>
      </c>
      <c r="L1334" t="s">
        <v>6714</v>
      </c>
      <c r="M1334" t="s">
        <v>6736</v>
      </c>
      <c r="O1334" t="s">
        <v>6763</v>
      </c>
      <c r="P1334" t="s">
        <v>5697</v>
      </c>
      <c r="R1334" t="s">
        <v>6793</v>
      </c>
      <c r="S1334" t="s">
        <v>6804</v>
      </c>
      <c r="U1334">
        <v>1475</v>
      </c>
      <c r="V1334" t="s">
        <v>6833</v>
      </c>
      <c r="Y1334" t="s">
        <v>8119</v>
      </c>
      <c r="AA1334" t="s">
        <v>10154</v>
      </c>
      <c r="AB1334">
        <v>40</v>
      </c>
      <c r="AC1334" t="s">
        <v>10929</v>
      </c>
      <c r="AE1334">
        <v>3</v>
      </c>
      <c r="AF1334">
        <v>1</v>
      </c>
      <c r="AG1334">
        <v>0</v>
      </c>
      <c r="AH1334">
        <v>51.89</v>
      </c>
      <c r="AK1334" t="s">
        <v>10966</v>
      </c>
      <c r="AL1334">
        <v>6480.6</v>
      </c>
      <c r="AR1334">
        <v>18.8</v>
      </c>
      <c r="AS1334" t="s">
        <v>6815</v>
      </c>
      <c r="AT1334" t="s">
        <v>288</v>
      </c>
      <c r="AU1334" t="s">
        <v>11228</v>
      </c>
      <c r="AV1334" t="s">
        <v>11231</v>
      </c>
      <c r="AW1334" t="s">
        <v>11149</v>
      </c>
    </row>
    <row r="1335" spans="1:49">
      <c r="A1335" s="1">
        <f>HYPERLINK("https://lsnyc.legalserver.org/matter/dynamic-profile/view/1902738","19-1902738")</f>
        <v>0</v>
      </c>
      <c r="B1335" t="s">
        <v>184</v>
      </c>
      <c r="C1335" t="s">
        <v>1187</v>
      </c>
      <c r="D1335" t="s">
        <v>2561</v>
      </c>
      <c r="E1335" t="s">
        <v>4288</v>
      </c>
      <c r="F1335" t="s">
        <v>5187</v>
      </c>
      <c r="G1335" t="s">
        <v>5646</v>
      </c>
      <c r="H1335">
        <v>11367</v>
      </c>
      <c r="I1335" t="s">
        <v>5695</v>
      </c>
      <c r="J1335" t="s">
        <v>5696</v>
      </c>
      <c r="K1335" t="s">
        <v>6330</v>
      </c>
      <c r="L1335" t="s">
        <v>6714</v>
      </c>
      <c r="M1335" t="s">
        <v>6736</v>
      </c>
      <c r="O1335" t="s">
        <v>6745</v>
      </c>
      <c r="P1335" t="s">
        <v>5695</v>
      </c>
      <c r="R1335" t="s">
        <v>6793</v>
      </c>
      <c r="S1335" t="s">
        <v>6801</v>
      </c>
      <c r="T1335" t="s">
        <v>6829</v>
      </c>
      <c r="U1335">
        <v>1604.25</v>
      </c>
      <c r="V1335" t="s">
        <v>6837</v>
      </c>
      <c r="W1335" t="s">
        <v>6840</v>
      </c>
      <c r="Y1335" t="s">
        <v>8120</v>
      </c>
      <c r="AA1335" t="s">
        <v>10155</v>
      </c>
      <c r="AB1335">
        <v>15</v>
      </c>
      <c r="AC1335" t="s">
        <v>10936</v>
      </c>
      <c r="AD1335" t="s">
        <v>5741</v>
      </c>
      <c r="AE1335">
        <v>13</v>
      </c>
      <c r="AF1335">
        <v>4</v>
      </c>
      <c r="AG1335">
        <v>0</v>
      </c>
      <c r="AH1335">
        <v>194.17</v>
      </c>
      <c r="AK1335" t="s">
        <v>10966</v>
      </c>
      <c r="AL1335">
        <v>50000</v>
      </c>
      <c r="AR1335">
        <v>1.7</v>
      </c>
      <c r="AS1335" t="s">
        <v>6829</v>
      </c>
      <c r="AT1335" t="s">
        <v>11184</v>
      </c>
      <c r="AU1335" t="s">
        <v>11228</v>
      </c>
      <c r="AV1335" t="s">
        <v>11231</v>
      </c>
      <c r="AW1335" t="s">
        <v>11133</v>
      </c>
    </row>
    <row r="1336" spans="1:49">
      <c r="A1336" s="1">
        <f>HYPERLINK("https://lsnyc.legalserver.org/matter/dynamic-profile/view/1901942","19-1901942")</f>
        <v>0</v>
      </c>
      <c r="B1336" t="s">
        <v>53</v>
      </c>
      <c r="C1336" t="s">
        <v>1188</v>
      </c>
      <c r="D1336" t="s">
        <v>2562</v>
      </c>
      <c r="E1336" t="s">
        <v>4289</v>
      </c>
      <c r="F1336" t="s">
        <v>5316</v>
      </c>
      <c r="G1336" t="s">
        <v>5635</v>
      </c>
      <c r="H1336">
        <v>10468</v>
      </c>
      <c r="I1336" t="s">
        <v>5695</v>
      </c>
      <c r="J1336" t="s">
        <v>5696</v>
      </c>
      <c r="K1336" t="s">
        <v>6331</v>
      </c>
      <c r="L1336" t="s">
        <v>6714</v>
      </c>
      <c r="M1336" t="s">
        <v>6736</v>
      </c>
      <c r="O1336" t="s">
        <v>6763</v>
      </c>
      <c r="P1336" t="s">
        <v>5697</v>
      </c>
      <c r="R1336" t="s">
        <v>6793</v>
      </c>
      <c r="S1336" t="s">
        <v>6801</v>
      </c>
      <c r="U1336">
        <v>0</v>
      </c>
      <c r="V1336" t="s">
        <v>6833</v>
      </c>
      <c r="W1336" t="s">
        <v>6843</v>
      </c>
      <c r="Y1336" t="s">
        <v>8121</v>
      </c>
      <c r="AA1336" t="s">
        <v>10156</v>
      </c>
      <c r="AB1336">
        <v>0</v>
      </c>
      <c r="AC1336" t="s">
        <v>10929</v>
      </c>
      <c r="AE1336">
        <v>29</v>
      </c>
      <c r="AF1336">
        <v>2</v>
      </c>
      <c r="AG1336">
        <v>3</v>
      </c>
      <c r="AH1336">
        <v>147.13</v>
      </c>
      <c r="AK1336" t="s">
        <v>10967</v>
      </c>
      <c r="AL1336">
        <v>44388.96</v>
      </c>
      <c r="AR1336">
        <v>4.5</v>
      </c>
      <c r="AS1336" t="s">
        <v>6827</v>
      </c>
      <c r="AT1336" t="s">
        <v>288</v>
      </c>
      <c r="AU1336" t="s">
        <v>11228</v>
      </c>
      <c r="AV1336" t="s">
        <v>11231</v>
      </c>
      <c r="AW1336" t="s">
        <v>11150</v>
      </c>
    </row>
    <row r="1337" spans="1:49">
      <c r="A1337" s="1">
        <f>HYPERLINK("https://lsnyc.legalserver.org/matter/dynamic-profile/view/1905070","19-1905070")</f>
        <v>0</v>
      </c>
      <c r="B1337" t="s">
        <v>184</v>
      </c>
      <c r="C1337" t="s">
        <v>432</v>
      </c>
      <c r="D1337" t="s">
        <v>1773</v>
      </c>
      <c r="E1337" t="s">
        <v>4290</v>
      </c>
      <c r="F1337" t="s">
        <v>5180</v>
      </c>
      <c r="G1337" t="s">
        <v>5643</v>
      </c>
      <c r="H1337">
        <v>11372</v>
      </c>
      <c r="I1337" t="s">
        <v>5695</v>
      </c>
      <c r="J1337" t="s">
        <v>5696</v>
      </c>
      <c r="K1337" t="s">
        <v>6332</v>
      </c>
      <c r="L1337" t="s">
        <v>6714</v>
      </c>
      <c r="M1337" t="s">
        <v>6736</v>
      </c>
      <c r="O1337" t="s">
        <v>6745</v>
      </c>
      <c r="P1337" t="s">
        <v>5697</v>
      </c>
      <c r="R1337" t="s">
        <v>6793</v>
      </c>
      <c r="T1337" t="s">
        <v>6814</v>
      </c>
      <c r="U1337">
        <v>1760</v>
      </c>
      <c r="V1337" t="s">
        <v>6837</v>
      </c>
      <c r="W1337" t="s">
        <v>6843</v>
      </c>
      <c r="Y1337" t="s">
        <v>8122</v>
      </c>
      <c r="AA1337" t="s">
        <v>10157</v>
      </c>
      <c r="AB1337">
        <v>16</v>
      </c>
      <c r="AC1337" t="s">
        <v>8953</v>
      </c>
      <c r="AD1337" t="s">
        <v>5741</v>
      </c>
      <c r="AE1337">
        <v>5</v>
      </c>
      <c r="AF1337">
        <v>2</v>
      </c>
      <c r="AG1337">
        <v>2</v>
      </c>
      <c r="AH1337">
        <v>149.44</v>
      </c>
      <c r="AK1337" t="s">
        <v>10966</v>
      </c>
      <c r="AL1337">
        <v>38480</v>
      </c>
      <c r="AR1337">
        <v>5.5</v>
      </c>
      <c r="AS1337" t="s">
        <v>6828</v>
      </c>
      <c r="AT1337" t="s">
        <v>11182</v>
      </c>
      <c r="AU1337" t="s">
        <v>11228</v>
      </c>
      <c r="AV1337" t="s">
        <v>11231</v>
      </c>
      <c r="AW1337" t="s">
        <v>6814</v>
      </c>
    </row>
    <row r="1338" spans="1:49">
      <c r="A1338" s="1">
        <f>HYPERLINK("https://lsnyc.legalserver.org/matter/dynamic-profile/view/1905149","19-1905149")</f>
        <v>0</v>
      </c>
      <c r="B1338" t="s">
        <v>232</v>
      </c>
      <c r="C1338" t="s">
        <v>900</v>
      </c>
      <c r="D1338" t="s">
        <v>1658</v>
      </c>
      <c r="E1338" t="s">
        <v>4291</v>
      </c>
      <c r="F1338" t="s">
        <v>5240</v>
      </c>
      <c r="G1338" t="s">
        <v>5649</v>
      </c>
      <c r="H1338">
        <v>11385</v>
      </c>
      <c r="I1338" t="s">
        <v>5695</v>
      </c>
      <c r="J1338" t="s">
        <v>5696</v>
      </c>
      <c r="K1338" t="s">
        <v>6333</v>
      </c>
      <c r="L1338" t="s">
        <v>6714</v>
      </c>
      <c r="M1338" t="s">
        <v>6736</v>
      </c>
      <c r="O1338" t="s">
        <v>6745</v>
      </c>
      <c r="P1338" t="s">
        <v>5697</v>
      </c>
      <c r="R1338" t="s">
        <v>6793</v>
      </c>
      <c r="S1338" t="s">
        <v>6801</v>
      </c>
      <c r="T1338" t="s">
        <v>6814</v>
      </c>
      <c r="U1338">
        <v>1050</v>
      </c>
      <c r="V1338" t="s">
        <v>6837</v>
      </c>
      <c r="W1338" t="s">
        <v>6838</v>
      </c>
      <c r="Y1338" t="s">
        <v>8123</v>
      </c>
      <c r="AA1338" t="s">
        <v>10158</v>
      </c>
      <c r="AB1338">
        <v>6</v>
      </c>
      <c r="AC1338" t="s">
        <v>10929</v>
      </c>
      <c r="AE1338">
        <v>14</v>
      </c>
      <c r="AF1338">
        <v>1</v>
      </c>
      <c r="AG1338">
        <v>2</v>
      </c>
      <c r="AH1338">
        <v>327.79</v>
      </c>
      <c r="AJ1338" t="s">
        <v>10963</v>
      </c>
      <c r="AK1338" t="s">
        <v>10966</v>
      </c>
      <c r="AL1338">
        <v>69918</v>
      </c>
      <c r="AR1338">
        <v>1.6</v>
      </c>
      <c r="AS1338" t="s">
        <v>6820</v>
      </c>
      <c r="AT1338" t="s">
        <v>232</v>
      </c>
      <c r="AV1338" t="s">
        <v>11231</v>
      </c>
      <c r="AW1338" t="s">
        <v>6814</v>
      </c>
    </row>
    <row r="1339" spans="1:49">
      <c r="A1339" s="1">
        <f>HYPERLINK("https://lsnyc.legalserver.org/matter/dynamic-profile/view/1903677","19-1903677")</f>
        <v>0</v>
      </c>
      <c r="B1339" t="s">
        <v>60</v>
      </c>
      <c r="C1339" t="s">
        <v>462</v>
      </c>
      <c r="D1339" t="s">
        <v>1762</v>
      </c>
      <c r="E1339" t="s">
        <v>4292</v>
      </c>
      <c r="F1339" t="s">
        <v>5100</v>
      </c>
      <c r="G1339" t="s">
        <v>5636</v>
      </c>
      <c r="H1339">
        <v>10301</v>
      </c>
      <c r="I1339" t="s">
        <v>5695</v>
      </c>
      <c r="J1339" t="s">
        <v>5696</v>
      </c>
      <c r="K1339" t="s">
        <v>6334</v>
      </c>
      <c r="L1339" t="s">
        <v>6714</v>
      </c>
      <c r="M1339" t="s">
        <v>6736</v>
      </c>
      <c r="O1339" t="s">
        <v>6745</v>
      </c>
      <c r="P1339" t="s">
        <v>5697</v>
      </c>
      <c r="R1339" t="s">
        <v>6793</v>
      </c>
      <c r="S1339" t="s">
        <v>6801</v>
      </c>
      <c r="T1339" t="s">
        <v>6807</v>
      </c>
      <c r="U1339">
        <v>1515</v>
      </c>
      <c r="V1339" t="s">
        <v>6834</v>
      </c>
      <c r="W1339" t="s">
        <v>6848</v>
      </c>
      <c r="Y1339" t="s">
        <v>8124</v>
      </c>
      <c r="AA1339" t="s">
        <v>10159</v>
      </c>
      <c r="AB1339">
        <v>11</v>
      </c>
      <c r="AC1339" t="s">
        <v>10929</v>
      </c>
      <c r="AD1339" t="s">
        <v>10949</v>
      </c>
      <c r="AE1339">
        <v>1</v>
      </c>
      <c r="AF1339">
        <v>1</v>
      </c>
      <c r="AG1339">
        <v>2</v>
      </c>
      <c r="AH1339">
        <v>70.31999999999999</v>
      </c>
      <c r="AL1339">
        <v>15000</v>
      </c>
      <c r="AR1339">
        <v>5.15</v>
      </c>
      <c r="AS1339" t="s">
        <v>6827</v>
      </c>
      <c r="AT1339" t="s">
        <v>11177</v>
      </c>
      <c r="AU1339" t="s">
        <v>11228</v>
      </c>
      <c r="AV1339" t="s">
        <v>11231</v>
      </c>
      <c r="AW1339" t="s">
        <v>6807</v>
      </c>
    </row>
    <row r="1340" spans="1:49">
      <c r="A1340" s="1">
        <f>HYPERLINK("https://lsnyc.legalserver.org/matter/dynamic-profile/view/1898318","19-1898318")</f>
        <v>0</v>
      </c>
      <c r="B1340" t="s">
        <v>139</v>
      </c>
      <c r="C1340" t="s">
        <v>720</v>
      </c>
      <c r="D1340" t="s">
        <v>2563</v>
      </c>
      <c r="E1340" t="s">
        <v>4293</v>
      </c>
      <c r="F1340" t="s">
        <v>5099</v>
      </c>
      <c r="G1340" t="s">
        <v>5635</v>
      </c>
      <c r="H1340">
        <v>10451</v>
      </c>
      <c r="I1340" t="s">
        <v>5695</v>
      </c>
      <c r="J1340" t="s">
        <v>5696</v>
      </c>
      <c r="K1340" t="s">
        <v>6335</v>
      </c>
      <c r="L1340" t="s">
        <v>6714</v>
      </c>
      <c r="M1340" t="s">
        <v>6736</v>
      </c>
      <c r="O1340" t="s">
        <v>6748</v>
      </c>
      <c r="R1340" t="s">
        <v>6793</v>
      </c>
      <c r="U1340">
        <v>1235.83</v>
      </c>
      <c r="V1340" t="s">
        <v>6833</v>
      </c>
      <c r="W1340" t="s">
        <v>6839</v>
      </c>
      <c r="Y1340" t="s">
        <v>8125</v>
      </c>
      <c r="Z1340" t="s">
        <v>9020</v>
      </c>
      <c r="AA1340" t="s">
        <v>10160</v>
      </c>
      <c r="AB1340">
        <v>0</v>
      </c>
      <c r="AC1340" t="s">
        <v>8953</v>
      </c>
      <c r="AD1340" t="s">
        <v>10944</v>
      </c>
      <c r="AE1340">
        <v>3</v>
      </c>
      <c r="AF1340">
        <v>1</v>
      </c>
      <c r="AG1340">
        <v>1</v>
      </c>
      <c r="AH1340">
        <v>16.3</v>
      </c>
      <c r="AK1340" t="s">
        <v>10966</v>
      </c>
      <c r="AL1340">
        <v>2756</v>
      </c>
      <c r="AR1340">
        <v>0</v>
      </c>
      <c r="AT1340" t="s">
        <v>11217</v>
      </c>
      <c r="AU1340" t="s">
        <v>11229</v>
      </c>
      <c r="AV1340" t="s">
        <v>11231</v>
      </c>
      <c r="AW1340" t="s">
        <v>10956</v>
      </c>
    </row>
    <row r="1341" spans="1:49">
      <c r="A1341" s="1">
        <f>HYPERLINK("https://lsnyc.legalserver.org/matter/dynamic-profile/view/1904135","19-1904135")</f>
        <v>0</v>
      </c>
      <c r="B1341" t="s">
        <v>66</v>
      </c>
      <c r="C1341" t="s">
        <v>1189</v>
      </c>
      <c r="D1341" t="s">
        <v>1822</v>
      </c>
      <c r="E1341" t="s">
        <v>4294</v>
      </c>
      <c r="F1341">
        <v>2</v>
      </c>
      <c r="G1341" t="s">
        <v>5635</v>
      </c>
      <c r="H1341">
        <v>10460</v>
      </c>
      <c r="I1341" t="s">
        <v>5695</v>
      </c>
      <c r="J1341" t="s">
        <v>5696</v>
      </c>
      <c r="K1341" t="s">
        <v>6336</v>
      </c>
      <c r="L1341" t="s">
        <v>6714</v>
      </c>
      <c r="M1341" t="s">
        <v>6736</v>
      </c>
      <c r="O1341" t="s">
        <v>6747</v>
      </c>
      <c r="P1341" t="s">
        <v>5697</v>
      </c>
      <c r="R1341" t="s">
        <v>6793</v>
      </c>
      <c r="S1341" t="s">
        <v>6804</v>
      </c>
      <c r="U1341">
        <v>1106.46</v>
      </c>
      <c r="V1341" t="s">
        <v>6833</v>
      </c>
      <c r="W1341" t="s">
        <v>6843</v>
      </c>
      <c r="Y1341" t="s">
        <v>8126</v>
      </c>
      <c r="AA1341" t="s">
        <v>10161</v>
      </c>
      <c r="AB1341">
        <v>25</v>
      </c>
      <c r="AC1341" t="s">
        <v>10929</v>
      </c>
      <c r="AD1341" t="s">
        <v>5741</v>
      </c>
      <c r="AE1341">
        <v>12</v>
      </c>
      <c r="AF1341">
        <v>2</v>
      </c>
      <c r="AG1341">
        <v>0</v>
      </c>
      <c r="AH1341">
        <v>150.05</v>
      </c>
      <c r="AK1341" t="s">
        <v>10966</v>
      </c>
      <c r="AL1341">
        <v>25374</v>
      </c>
      <c r="AR1341">
        <v>6.2</v>
      </c>
      <c r="AS1341" t="s">
        <v>6826</v>
      </c>
      <c r="AT1341" t="s">
        <v>11187</v>
      </c>
      <c r="AU1341" t="s">
        <v>11228</v>
      </c>
      <c r="AV1341" t="s">
        <v>11231</v>
      </c>
      <c r="AW1341" t="s">
        <v>6818</v>
      </c>
    </row>
    <row r="1342" spans="1:49">
      <c r="A1342" s="1">
        <f>HYPERLINK("https://lsnyc.legalserver.org/matter/dynamic-profile/view/1902307","19-1902307")</f>
        <v>0</v>
      </c>
      <c r="B1342" t="s">
        <v>274</v>
      </c>
      <c r="C1342" t="s">
        <v>321</v>
      </c>
      <c r="D1342" t="s">
        <v>2564</v>
      </c>
      <c r="E1342" t="s">
        <v>4295</v>
      </c>
      <c r="F1342" t="s">
        <v>5100</v>
      </c>
      <c r="G1342" t="s">
        <v>5635</v>
      </c>
      <c r="H1342">
        <v>10469</v>
      </c>
      <c r="I1342" t="s">
        <v>5695</v>
      </c>
      <c r="J1342" t="s">
        <v>5696</v>
      </c>
      <c r="K1342" t="s">
        <v>6337</v>
      </c>
      <c r="L1342" t="s">
        <v>6714</v>
      </c>
      <c r="M1342" t="s">
        <v>6736</v>
      </c>
      <c r="O1342" t="s">
        <v>6747</v>
      </c>
      <c r="P1342" t="s">
        <v>5697</v>
      </c>
      <c r="R1342" t="s">
        <v>6793</v>
      </c>
      <c r="S1342" t="s">
        <v>6801</v>
      </c>
      <c r="U1342">
        <v>1048</v>
      </c>
      <c r="V1342" t="s">
        <v>6833</v>
      </c>
      <c r="W1342" t="s">
        <v>6843</v>
      </c>
      <c r="Y1342" t="s">
        <v>8127</v>
      </c>
      <c r="AA1342" t="s">
        <v>10162</v>
      </c>
      <c r="AB1342">
        <v>0</v>
      </c>
      <c r="AC1342" t="s">
        <v>8953</v>
      </c>
      <c r="AD1342" t="s">
        <v>10946</v>
      </c>
      <c r="AE1342">
        <v>6</v>
      </c>
      <c r="AF1342">
        <v>1</v>
      </c>
      <c r="AG1342">
        <v>1</v>
      </c>
      <c r="AH1342">
        <v>71.52</v>
      </c>
      <c r="AK1342" t="s">
        <v>10966</v>
      </c>
      <c r="AL1342">
        <v>12094</v>
      </c>
      <c r="AR1342">
        <v>10.5</v>
      </c>
      <c r="AS1342" t="s">
        <v>6827</v>
      </c>
      <c r="AT1342" t="s">
        <v>11196</v>
      </c>
      <c r="AU1342" t="s">
        <v>11228</v>
      </c>
      <c r="AV1342" t="s">
        <v>11231</v>
      </c>
      <c r="AW1342" t="s">
        <v>11140</v>
      </c>
    </row>
    <row r="1343" spans="1:49">
      <c r="A1343" s="1">
        <f>HYPERLINK("https://lsnyc.legalserver.org/matter/dynamic-profile/view/1898448","19-1898448")</f>
        <v>0</v>
      </c>
      <c r="B1343" t="s">
        <v>158</v>
      </c>
      <c r="C1343" t="s">
        <v>694</v>
      </c>
      <c r="D1343" t="s">
        <v>2565</v>
      </c>
      <c r="E1343" t="s">
        <v>4296</v>
      </c>
      <c r="F1343" t="s">
        <v>5198</v>
      </c>
      <c r="G1343" t="s">
        <v>5637</v>
      </c>
      <c r="H1343">
        <v>11213</v>
      </c>
      <c r="I1343" t="s">
        <v>5696</v>
      </c>
      <c r="J1343" t="s">
        <v>5696</v>
      </c>
      <c r="K1343" t="s">
        <v>6338</v>
      </c>
      <c r="L1343" t="s">
        <v>6714</v>
      </c>
      <c r="M1343" t="s">
        <v>6736</v>
      </c>
      <c r="O1343" t="s">
        <v>6745</v>
      </c>
      <c r="P1343" t="s">
        <v>5697</v>
      </c>
      <c r="R1343" t="s">
        <v>6793</v>
      </c>
      <c r="U1343">
        <v>659.4299999999999</v>
      </c>
      <c r="V1343" t="s">
        <v>6835</v>
      </c>
      <c r="W1343" t="s">
        <v>6843</v>
      </c>
      <c r="Y1343" t="s">
        <v>8128</v>
      </c>
      <c r="AA1343" t="s">
        <v>10163</v>
      </c>
      <c r="AB1343">
        <v>8</v>
      </c>
      <c r="AC1343" t="s">
        <v>10938</v>
      </c>
      <c r="AE1343">
        <v>18</v>
      </c>
      <c r="AF1343">
        <v>2</v>
      </c>
      <c r="AG1343">
        <v>2</v>
      </c>
      <c r="AH1343">
        <v>36.12</v>
      </c>
      <c r="AK1343" t="s">
        <v>10966</v>
      </c>
      <c r="AL1343">
        <v>9300</v>
      </c>
      <c r="AR1343">
        <v>6.7</v>
      </c>
      <c r="AS1343" t="s">
        <v>6825</v>
      </c>
      <c r="AT1343" t="s">
        <v>141</v>
      </c>
      <c r="AV1343" t="s">
        <v>11231</v>
      </c>
      <c r="AW1343" t="s">
        <v>11141</v>
      </c>
    </row>
    <row r="1344" spans="1:49">
      <c r="A1344" s="1">
        <f>HYPERLINK("https://lsnyc.legalserver.org/matter/dynamic-profile/view/1903892","19-1903892")</f>
        <v>0</v>
      </c>
      <c r="B1344" t="s">
        <v>66</v>
      </c>
      <c r="C1344" t="s">
        <v>1190</v>
      </c>
      <c r="D1344" t="s">
        <v>2566</v>
      </c>
      <c r="E1344" t="s">
        <v>4297</v>
      </c>
      <c r="F1344" t="s">
        <v>5196</v>
      </c>
      <c r="G1344" t="s">
        <v>5635</v>
      </c>
      <c r="H1344">
        <v>10453</v>
      </c>
      <c r="I1344" t="s">
        <v>5696</v>
      </c>
      <c r="J1344" t="s">
        <v>5696</v>
      </c>
      <c r="K1344" t="s">
        <v>6339</v>
      </c>
      <c r="L1344" t="s">
        <v>6714</v>
      </c>
      <c r="M1344" t="s">
        <v>6736</v>
      </c>
      <c r="O1344" t="s">
        <v>6747</v>
      </c>
      <c r="R1344" t="s">
        <v>6793</v>
      </c>
      <c r="S1344" t="s">
        <v>6803</v>
      </c>
      <c r="U1344">
        <v>338.1</v>
      </c>
      <c r="V1344" t="s">
        <v>6833</v>
      </c>
      <c r="W1344" t="s">
        <v>6843</v>
      </c>
      <c r="Y1344" t="s">
        <v>8129</v>
      </c>
      <c r="AA1344" t="s">
        <v>10164</v>
      </c>
      <c r="AB1344">
        <v>30</v>
      </c>
      <c r="AC1344" t="s">
        <v>10932</v>
      </c>
      <c r="AD1344" t="s">
        <v>6841</v>
      </c>
      <c r="AE1344">
        <v>9</v>
      </c>
      <c r="AF1344">
        <v>1</v>
      </c>
      <c r="AG1344">
        <v>0</v>
      </c>
      <c r="AH1344">
        <v>108.28</v>
      </c>
      <c r="AK1344" t="s">
        <v>10966</v>
      </c>
      <c r="AL1344">
        <v>13524</v>
      </c>
      <c r="AR1344">
        <v>6.75</v>
      </c>
      <c r="AS1344" t="s">
        <v>6827</v>
      </c>
      <c r="AT1344" t="s">
        <v>11203</v>
      </c>
      <c r="AV1344" t="s">
        <v>11231</v>
      </c>
      <c r="AW1344" t="s">
        <v>6807</v>
      </c>
    </row>
    <row r="1345" spans="1:49">
      <c r="A1345" s="1">
        <f>HYPERLINK("https://lsnyc.legalserver.org/matter/dynamic-profile/view/1902303","19-1902303")</f>
        <v>0</v>
      </c>
      <c r="B1345" t="s">
        <v>63</v>
      </c>
      <c r="C1345" t="s">
        <v>1191</v>
      </c>
      <c r="D1345" t="s">
        <v>2567</v>
      </c>
      <c r="E1345" t="s">
        <v>4193</v>
      </c>
      <c r="G1345" t="s">
        <v>5644</v>
      </c>
      <c r="H1345">
        <v>11433</v>
      </c>
      <c r="I1345" t="s">
        <v>5695</v>
      </c>
      <c r="J1345" t="s">
        <v>5696</v>
      </c>
      <c r="K1345" t="s">
        <v>6340</v>
      </c>
      <c r="L1345" t="s">
        <v>6714</v>
      </c>
      <c r="M1345" t="s">
        <v>6736</v>
      </c>
      <c r="O1345" t="s">
        <v>6752</v>
      </c>
      <c r="P1345" t="s">
        <v>5697</v>
      </c>
      <c r="R1345" t="s">
        <v>6793</v>
      </c>
      <c r="S1345" t="s">
        <v>6804</v>
      </c>
      <c r="U1345">
        <v>784.13</v>
      </c>
      <c r="V1345" t="s">
        <v>6837</v>
      </c>
      <c r="W1345" t="s">
        <v>6839</v>
      </c>
      <c r="Y1345" t="s">
        <v>8130</v>
      </c>
      <c r="Z1345" t="s">
        <v>9021</v>
      </c>
      <c r="AA1345" t="s">
        <v>10165</v>
      </c>
      <c r="AB1345">
        <v>221</v>
      </c>
      <c r="AC1345" t="s">
        <v>10929</v>
      </c>
      <c r="AD1345" t="s">
        <v>5741</v>
      </c>
      <c r="AE1345">
        <v>3</v>
      </c>
      <c r="AF1345">
        <v>1</v>
      </c>
      <c r="AG1345">
        <v>0</v>
      </c>
      <c r="AH1345">
        <v>84.45</v>
      </c>
      <c r="AK1345" t="s">
        <v>10966</v>
      </c>
      <c r="AL1345">
        <v>10548</v>
      </c>
      <c r="AR1345">
        <v>5.48</v>
      </c>
      <c r="AS1345" t="s">
        <v>6812</v>
      </c>
      <c r="AT1345" t="s">
        <v>11184</v>
      </c>
      <c r="AU1345" t="s">
        <v>11228</v>
      </c>
      <c r="AV1345" t="s">
        <v>11231</v>
      </c>
      <c r="AW1345" t="s">
        <v>11140</v>
      </c>
    </row>
    <row r="1346" spans="1:49">
      <c r="A1346" s="1">
        <f>HYPERLINK("https://lsnyc.legalserver.org/matter/dynamic-profile/view/1904270","19-1904270")</f>
        <v>0</v>
      </c>
      <c r="B1346" t="s">
        <v>89</v>
      </c>
      <c r="C1346" t="s">
        <v>1192</v>
      </c>
      <c r="D1346" t="s">
        <v>2568</v>
      </c>
      <c r="E1346" t="s">
        <v>4298</v>
      </c>
      <c r="F1346" t="s">
        <v>5128</v>
      </c>
      <c r="G1346" t="s">
        <v>5636</v>
      </c>
      <c r="H1346">
        <v>10303</v>
      </c>
      <c r="I1346" t="s">
        <v>5695</v>
      </c>
      <c r="J1346" t="s">
        <v>5696</v>
      </c>
      <c r="K1346" t="s">
        <v>6341</v>
      </c>
      <c r="L1346" t="s">
        <v>6714</v>
      </c>
      <c r="M1346" t="s">
        <v>6736</v>
      </c>
      <c r="O1346" t="s">
        <v>6762</v>
      </c>
      <c r="P1346" t="s">
        <v>5697</v>
      </c>
      <c r="R1346" t="s">
        <v>6794</v>
      </c>
      <c r="S1346" t="s">
        <v>6801</v>
      </c>
      <c r="T1346" t="s">
        <v>6813</v>
      </c>
      <c r="U1346">
        <v>250</v>
      </c>
      <c r="V1346" t="s">
        <v>6834</v>
      </c>
      <c r="W1346" t="s">
        <v>6839</v>
      </c>
      <c r="Y1346" t="s">
        <v>8131</v>
      </c>
      <c r="AA1346" t="s">
        <v>10166</v>
      </c>
      <c r="AB1346">
        <v>0</v>
      </c>
      <c r="AC1346" t="s">
        <v>10931</v>
      </c>
      <c r="AD1346" t="s">
        <v>10944</v>
      </c>
      <c r="AE1346">
        <v>21</v>
      </c>
      <c r="AF1346">
        <v>1</v>
      </c>
      <c r="AG1346">
        <v>1</v>
      </c>
      <c r="AH1346">
        <v>20.58</v>
      </c>
      <c r="AK1346" t="s">
        <v>10966</v>
      </c>
      <c r="AL1346">
        <v>3480</v>
      </c>
      <c r="AR1346">
        <v>0</v>
      </c>
      <c r="AT1346" t="s">
        <v>11223</v>
      </c>
      <c r="AU1346" t="s">
        <v>11228</v>
      </c>
      <c r="AV1346" t="s">
        <v>11231</v>
      </c>
      <c r="AW1346" t="s">
        <v>6813</v>
      </c>
    </row>
    <row r="1347" spans="1:49">
      <c r="A1347" s="1">
        <f>HYPERLINK("https://lsnyc.legalserver.org/matter/dynamic-profile/view/1900258","19-1900258")</f>
        <v>0</v>
      </c>
      <c r="B1347" t="s">
        <v>198</v>
      </c>
      <c r="C1347" t="s">
        <v>1193</v>
      </c>
      <c r="D1347" t="s">
        <v>1043</v>
      </c>
      <c r="E1347" t="s">
        <v>4299</v>
      </c>
      <c r="F1347" t="s">
        <v>5304</v>
      </c>
      <c r="G1347" t="s">
        <v>5635</v>
      </c>
      <c r="H1347">
        <v>10453</v>
      </c>
      <c r="I1347" t="s">
        <v>5695</v>
      </c>
      <c r="J1347" t="s">
        <v>5696</v>
      </c>
      <c r="K1347" t="s">
        <v>6342</v>
      </c>
      <c r="L1347" t="s">
        <v>6714</v>
      </c>
      <c r="M1347" t="s">
        <v>6736</v>
      </c>
      <c r="O1347" t="s">
        <v>6747</v>
      </c>
      <c r="P1347" t="s">
        <v>5697</v>
      </c>
      <c r="R1347" t="s">
        <v>6793</v>
      </c>
      <c r="S1347" t="s">
        <v>6801</v>
      </c>
      <c r="U1347">
        <v>800</v>
      </c>
      <c r="V1347" t="s">
        <v>6833</v>
      </c>
      <c r="W1347" t="s">
        <v>6843</v>
      </c>
      <c r="Y1347" t="s">
        <v>8132</v>
      </c>
      <c r="AA1347" t="s">
        <v>10167</v>
      </c>
      <c r="AB1347">
        <v>0</v>
      </c>
      <c r="AC1347" t="s">
        <v>10929</v>
      </c>
      <c r="AE1347">
        <v>12</v>
      </c>
      <c r="AF1347">
        <v>2</v>
      </c>
      <c r="AG1347">
        <v>4</v>
      </c>
      <c r="AH1347">
        <v>95.20999999999999</v>
      </c>
      <c r="AK1347" t="s">
        <v>10966</v>
      </c>
      <c r="AL1347">
        <v>32933</v>
      </c>
      <c r="AR1347">
        <v>8</v>
      </c>
      <c r="AS1347" t="s">
        <v>6814</v>
      </c>
      <c r="AT1347" t="s">
        <v>288</v>
      </c>
      <c r="AU1347" t="s">
        <v>11228</v>
      </c>
      <c r="AV1347" t="s">
        <v>11231</v>
      </c>
      <c r="AW1347" t="s">
        <v>11127</v>
      </c>
    </row>
    <row r="1348" spans="1:49">
      <c r="A1348" s="1">
        <f>HYPERLINK("https://lsnyc.legalserver.org/matter/dynamic-profile/view/1905688","19-1905688")</f>
        <v>0</v>
      </c>
      <c r="B1348" t="s">
        <v>170</v>
      </c>
      <c r="C1348" t="s">
        <v>1194</v>
      </c>
      <c r="D1348" t="s">
        <v>1251</v>
      </c>
      <c r="E1348" t="s">
        <v>4300</v>
      </c>
      <c r="F1348">
        <v>216</v>
      </c>
      <c r="G1348" t="s">
        <v>5638</v>
      </c>
      <c r="H1348">
        <v>10027</v>
      </c>
      <c r="I1348" t="s">
        <v>5695</v>
      </c>
      <c r="J1348" t="s">
        <v>5696</v>
      </c>
      <c r="K1348" t="s">
        <v>6343</v>
      </c>
      <c r="L1348" t="s">
        <v>6714</v>
      </c>
      <c r="M1348" t="s">
        <v>6736</v>
      </c>
      <c r="O1348" t="s">
        <v>6749</v>
      </c>
      <c r="P1348" t="s">
        <v>5697</v>
      </c>
      <c r="R1348" t="s">
        <v>6793</v>
      </c>
      <c r="S1348" t="s">
        <v>6801</v>
      </c>
      <c r="T1348" t="s">
        <v>6823</v>
      </c>
      <c r="U1348">
        <v>903.02</v>
      </c>
      <c r="V1348" t="s">
        <v>6836</v>
      </c>
      <c r="W1348" t="s">
        <v>6840</v>
      </c>
      <c r="Y1348" t="s">
        <v>8133</v>
      </c>
      <c r="AA1348" t="s">
        <v>10168</v>
      </c>
      <c r="AB1348">
        <v>0</v>
      </c>
      <c r="AC1348" t="s">
        <v>10929</v>
      </c>
      <c r="AD1348" t="s">
        <v>5741</v>
      </c>
      <c r="AE1348">
        <v>6</v>
      </c>
      <c r="AF1348">
        <v>1</v>
      </c>
      <c r="AG1348">
        <v>0</v>
      </c>
      <c r="AH1348">
        <v>136.11</v>
      </c>
      <c r="AK1348" t="s">
        <v>10966</v>
      </c>
      <c r="AL1348">
        <v>17000</v>
      </c>
      <c r="AR1348">
        <v>3.8</v>
      </c>
      <c r="AS1348" t="s">
        <v>6827</v>
      </c>
      <c r="AT1348" t="s">
        <v>305</v>
      </c>
      <c r="AU1348" t="s">
        <v>11228</v>
      </c>
      <c r="AV1348" t="s">
        <v>11231</v>
      </c>
      <c r="AW1348" t="s">
        <v>6823</v>
      </c>
    </row>
    <row r="1349" spans="1:49">
      <c r="A1349" s="1">
        <f>HYPERLINK("https://lsnyc.legalserver.org/matter/dynamic-profile/view/1896150","19-1896150")</f>
        <v>0</v>
      </c>
      <c r="B1349" t="s">
        <v>258</v>
      </c>
      <c r="C1349" t="s">
        <v>1195</v>
      </c>
      <c r="D1349" t="s">
        <v>2569</v>
      </c>
      <c r="E1349" t="s">
        <v>4301</v>
      </c>
      <c r="G1349" t="s">
        <v>5638</v>
      </c>
      <c r="H1349">
        <v>10031</v>
      </c>
      <c r="I1349" t="s">
        <v>5696</v>
      </c>
      <c r="J1349" t="s">
        <v>5696</v>
      </c>
      <c r="K1349" t="s">
        <v>6344</v>
      </c>
      <c r="L1349" t="s">
        <v>6714</v>
      </c>
      <c r="M1349" t="s">
        <v>6736</v>
      </c>
      <c r="O1349" t="s">
        <v>6749</v>
      </c>
      <c r="R1349" t="s">
        <v>6793</v>
      </c>
      <c r="U1349">
        <v>0</v>
      </c>
      <c r="V1349" t="s">
        <v>6836</v>
      </c>
      <c r="Y1349" t="s">
        <v>8134</v>
      </c>
      <c r="AA1349" t="s">
        <v>10169</v>
      </c>
      <c r="AB1349">
        <v>0</v>
      </c>
      <c r="AE1349">
        <v>0</v>
      </c>
      <c r="AF1349">
        <v>1</v>
      </c>
      <c r="AG1349">
        <v>0</v>
      </c>
      <c r="AH1349">
        <v>0</v>
      </c>
      <c r="AK1349" t="s">
        <v>10966</v>
      </c>
      <c r="AL1349">
        <v>0</v>
      </c>
      <c r="AR1349">
        <v>4.45</v>
      </c>
      <c r="AS1349" t="s">
        <v>11144</v>
      </c>
      <c r="AT1349" t="s">
        <v>301</v>
      </c>
      <c r="AV1349" t="s">
        <v>11231</v>
      </c>
      <c r="AW1349" t="s">
        <v>11167</v>
      </c>
    </row>
    <row r="1350" spans="1:49">
      <c r="A1350" s="1">
        <f>HYPERLINK("https://lsnyc.legalserver.org/matter/dynamic-profile/view/1905157","19-1905157")</f>
        <v>0</v>
      </c>
      <c r="B1350" t="s">
        <v>78</v>
      </c>
      <c r="C1350" t="s">
        <v>1196</v>
      </c>
      <c r="D1350" t="s">
        <v>2461</v>
      </c>
      <c r="E1350" t="s">
        <v>4302</v>
      </c>
      <c r="F1350" t="s">
        <v>5142</v>
      </c>
      <c r="G1350" t="s">
        <v>5638</v>
      </c>
      <c r="H1350">
        <v>10031</v>
      </c>
      <c r="I1350" t="s">
        <v>5695</v>
      </c>
      <c r="J1350" t="s">
        <v>5696</v>
      </c>
      <c r="K1350" t="s">
        <v>6345</v>
      </c>
      <c r="L1350" t="s">
        <v>6714</v>
      </c>
      <c r="M1350" t="s">
        <v>6736</v>
      </c>
      <c r="O1350" t="s">
        <v>6749</v>
      </c>
      <c r="P1350" t="s">
        <v>5697</v>
      </c>
      <c r="R1350" t="s">
        <v>6793</v>
      </c>
      <c r="T1350" t="s">
        <v>6814</v>
      </c>
      <c r="U1350">
        <v>855.5599999999999</v>
      </c>
      <c r="V1350" t="s">
        <v>6836</v>
      </c>
      <c r="W1350" t="s">
        <v>6839</v>
      </c>
      <c r="Y1350" t="s">
        <v>8135</v>
      </c>
      <c r="AA1350" t="s">
        <v>10170</v>
      </c>
      <c r="AB1350">
        <v>0</v>
      </c>
      <c r="AC1350" t="s">
        <v>10929</v>
      </c>
      <c r="AD1350" t="s">
        <v>5741</v>
      </c>
      <c r="AE1350">
        <v>34</v>
      </c>
      <c r="AF1350">
        <v>1</v>
      </c>
      <c r="AG1350">
        <v>0</v>
      </c>
      <c r="AH1350">
        <v>99.92</v>
      </c>
      <c r="AK1350" t="s">
        <v>10966</v>
      </c>
      <c r="AL1350">
        <v>12480</v>
      </c>
      <c r="AR1350">
        <v>7</v>
      </c>
      <c r="AS1350" t="s">
        <v>6826</v>
      </c>
      <c r="AT1350" t="s">
        <v>11218</v>
      </c>
      <c r="AU1350" t="s">
        <v>11228</v>
      </c>
      <c r="AV1350" t="s">
        <v>11231</v>
      </c>
      <c r="AW1350" t="s">
        <v>6814</v>
      </c>
    </row>
    <row r="1351" spans="1:49">
      <c r="A1351" s="1">
        <f>HYPERLINK("https://lsnyc.legalserver.org/matter/dynamic-profile/view/1902906","19-1902906")</f>
        <v>0</v>
      </c>
      <c r="B1351" t="s">
        <v>202</v>
      </c>
      <c r="C1351" t="s">
        <v>1197</v>
      </c>
      <c r="D1351" t="s">
        <v>2570</v>
      </c>
      <c r="E1351" t="s">
        <v>4303</v>
      </c>
      <c r="F1351" t="s">
        <v>5187</v>
      </c>
      <c r="G1351" t="s">
        <v>5635</v>
      </c>
      <c r="H1351">
        <v>10460</v>
      </c>
      <c r="I1351" t="s">
        <v>5696</v>
      </c>
      <c r="J1351" t="s">
        <v>5696</v>
      </c>
      <c r="L1351" t="s">
        <v>6714</v>
      </c>
      <c r="M1351" t="s">
        <v>6736</v>
      </c>
      <c r="O1351" t="s">
        <v>6747</v>
      </c>
      <c r="R1351" t="s">
        <v>6793</v>
      </c>
      <c r="U1351">
        <v>1400</v>
      </c>
      <c r="V1351" t="s">
        <v>6833</v>
      </c>
      <c r="W1351" t="s">
        <v>6849</v>
      </c>
      <c r="Y1351" t="s">
        <v>8136</v>
      </c>
      <c r="Z1351" t="s">
        <v>9022</v>
      </c>
      <c r="AA1351" t="s">
        <v>10171</v>
      </c>
      <c r="AB1351">
        <v>0</v>
      </c>
      <c r="AE1351">
        <v>10</v>
      </c>
      <c r="AF1351">
        <v>2</v>
      </c>
      <c r="AG1351">
        <v>4</v>
      </c>
      <c r="AH1351">
        <v>84.04000000000001</v>
      </c>
      <c r="AK1351" t="s">
        <v>10966</v>
      </c>
      <c r="AL1351">
        <v>29069.6</v>
      </c>
      <c r="AR1351">
        <v>14.5</v>
      </c>
      <c r="AS1351" t="s">
        <v>6808</v>
      </c>
      <c r="AT1351" t="s">
        <v>11217</v>
      </c>
      <c r="AV1351" t="s">
        <v>11231</v>
      </c>
      <c r="AW1351" t="s">
        <v>11131</v>
      </c>
    </row>
    <row r="1352" spans="1:49">
      <c r="A1352" s="1">
        <f>HYPERLINK("https://lsnyc.legalserver.org/matter/dynamic-profile/view/1901559","19-1901559")</f>
        <v>0</v>
      </c>
      <c r="B1352" t="s">
        <v>108</v>
      </c>
      <c r="C1352" t="s">
        <v>1198</v>
      </c>
      <c r="D1352" t="s">
        <v>577</v>
      </c>
      <c r="E1352" t="s">
        <v>4304</v>
      </c>
      <c r="F1352">
        <v>415</v>
      </c>
      <c r="G1352" t="s">
        <v>5635</v>
      </c>
      <c r="H1352">
        <v>10462</v>
      </c>
      <c r="I1352" t="s">
        <v>5695</v>
      </c>
      <c r="J1352" t="s">
        <v>5696</v>
      </c>
      <c r="K1352" t="s">
        <v>6346</v>
      </c>
      <c r="L1352" t="s">
        <v>6714</v>
      </c>
      <c r="M1352" t="s">
        <v>6736</v>
      </c>
      <c r="O1352" t="s">
        <v>6763</v>
      </c>
      <c r="P1352" t="s">
        <v>5697</v>
      </c>
      <c r="R1352" t="s">
        <v>6793</v>
      </c>
      <c r="S1352" t="s">
        <v>6802</v>
      </c>
      <c r="U1352">
        <v>1125.56</v>
      </c>
      <c r="V1352" t="s">
        <v>6833</v>
      </c>
      <c r="W1352" t="s">
        <v>6840</v>
      </c>
      <c r="Y1352" t="s">
        <v>8137</v>
      </c>
      <c r="Z1352" t="s">
        <v>9023</v>
      </c>
      <c r="AA1352" t="s">
        <v>10172</v>
      </c>
      <c r="AB1352">
        <v>100</v>
      </c>
      <c r="AC1352" t="s">
        <v>8953</v>
      </c>
      <c r="AD1352" t="s">
        <v>10952</v>
      </c>
      <c r="AE1352">
        <v>4</v>
      </c>
      <c r="AF1352">
        <v>1</v>
      </c>
      <c r="AG1352">
        <v>1</v>
      </c>
      <c r="AH1352">
        <v>65.77</v>
      </c>
      <c r="AK1352" t="s">
        <v>10966</v>
      </c>
      <c r="AL1352">
        <v>11122</v>
      </c>
      <c r="AR1352">
        <v>4.2</v>
      </c>
      <c r="AS1352" t="s">
        <v>6815</v>
      </c>
      <c r="AT1352" t="s">
        <v>11179</v>
      </c>
      <c r="AU1352" t="s">
        <v>11229</v>
      </c>
      <c r="AV1352" t="s">
        <v>11231</v>
      </c>
      <c r="AW1352" t="s">
        <v>11135</v>
      </c>
    </row>
    <row r="1353" spans="1:49">
      <c r="A1353" s="1">
        <f>HYPERLINK("https://lsnyc.legalserver.org/matter/dynamic-profile/view/1903713","19-1903713")</f>
        <v>0</v>
      </c>
      <c r="B1353" t="s">
        <v>129</v>
      </c>
      <c r="C1353" t="s">
        <v>1031</v>
      </c>
      <c r="D1353" t="s">
        <v>1865</v>
      </c>
      <c r="E1353" t="s">
        <v>4305</v>
      </c>
      <c r="F1353" t="s">
        <v>5489</v>
      </c>
      <c r="G1353" t="s">
        <v>5637</v>
      </c>
      <c r="H1353">
        <v>11226</v>
      </c>
      <c r="I1353" t="s">
        <v>5695</v>
      </c>
      <c r="J1353" t="s">
        <v>5696</v>
      </c>
      <c r="K1353" t="s">
        <v>6347</v>
      </c>
      <c r="L1353" t="s">
        <v>6714</v>
      </c>
      <c r="M1353" t="s">
        <v>6736</v>
      </c>
      <c r="O1353" t="s">
        <v>6755</v>
      </c>
      <c r="R1353" t="s">
        <v>6793</v>
      </c>
      <c r="U1353">
        <v>0</v>
      </c>
      <c r="V1353" t="s">
        <v>6835</v>
      </c>
      <c r="W1353" t="s">
        <v>6840</v>
      </c>
      <c r="Y1353" t="s">
        <v>8138</v>
      </c>
      <c r="AA1353" t="s">
        <v>10173</v>
      </c>
      <c r="AB1353">
        <v>42</v>
      </c>
      <c r="AE1353">
        <v>5</v>
      </c>
      <c r="AF1353">
        <v>2</v>
      </c>
      <c r="AG1353">
        <v>0</v>
      </c>
      <c r="AH1353">
        <v>153.76</v>
      </c>
      <c r="AK1353" t="s">
        <v>10966</v>
      </c>
      <c r="AL1353">
        <v>26000</v>
      </c>
      <c r="AR1353">
        <v>2.8</v>
      </c>
      <c r="AS1353" t="s">
        <v>6827</v>
      </c>
      <c r="AT1353" t="s">
        <v>11178</v>
      </c>
      <c r="AU1353" t="s">
        <v>11228</v>
      </c>
      <c r="AV1353" t="s">
        <v>11231</v>
      </c>
      <c r="AW1353" t="s">
        <v>6811</v>
      </c>
    </row>
    <row r="1354" spans="1:49">
      <c r="A1354" s="1">
        <f>HYPERLINK("https://lsnyc.legalserver.org/matter/dynamic-profile/view/1905069","19-1905069")</f>
        <v>0</v>
      </c>
      <c r="B1354" t="s">
        <v>245</v>
      </c>
      <c r="C1354" t="s">
        <v>881</v>
      </c>
      <c r="D1354" t="s">
        <v>2571</v>
      </c>
      <c r="E1354" t="s">
        <v>4306</v>
      </c>
      <c r="F1354" t="s">
        <v>5490</v>
      </c>
      <c r="G1354" t="s">
        <v>5638</v>
      </c>
      <c r="H1354">
        <v>10025</v>
      </c>
      <c r="I1354" t="s">
        <v>5695</v>
      </c>
      <c r="J1354" t="s">
        <v>5696</v>
      </c>
      <c r="K1354" t="s">
        <v>6348</v>
      </c>
      <c r="L1354" t="s">
        <v>6714</v>
      </c>
      <c r="M1354" t="s">
        <v>6736</v>
      </c>
      <c r="O1354" t="s">
        <v>6749</v>
      </c>
      <c r="P1354" t="s">
        <v>5697</v>
      </c>
      <c r="R1354" t="s">
        <v>6794</v>
      </c>
      <c r="T1354" t="s">
        <v>6814</v>
      </c>
      <c r="U1354">
        <v>283</v>
      </c>
      <c r="V1354" t="s">
        <v>6836</v>
      </c>
      <c r="W1354" t="s">
        <v>6840</v>
      </c>
      <c r="Y1354" t="s">
        <v>8139</v>
      </c>
      <c r="AA1354" t="s">
        <v>10174</v>
      </c>
      <c r="AB1354">
        <v>0</v>
      </c>
      <c r="AC1354" t="s">
        <v>10931</v>
      </c>
      <c r="AD1354" t="s">
        <v>5741</v>
      </c>
      <c r="AE1354">
        <v>4</v>
      </c>
      <c r="AF1354">
        <v>1</v>
      </c>
      <c r="AG1354">
        <v>1</v>
      </c>
      <c r="AH1354">
        <v>141.93</v>
      </c>
      <c r="AK1354" t="s">
        <v>10966</v>
      </c>
      <c r="AL1354">
        <v>24000</v>
      </c>
      <c r="AR1354">
        <v>1</v>
      </c>
      <c r="AS1354" t="s">
        <v>6821</v>
      </c>
      <c r="AT1354" t="s">
        <v>11218</v>
      </c>
      <c r="AU1354" t="s">
        <v>11228</v>
      </c>
      <c r="AV1354" t="s">
        <v>11231</v>
      </c>
      <c r="AW1354" t="s">
        <v>6814</v>
      </c>
    </row>
    <row r="1355" spans="1:49">
      <c r="A1355" s="1">
        <f>HYPERLINK("https://lsnyc.legalserver.org/matter/dynamic-profile/view/1904722","19-1904722")</f>
        <v>0</v>
      </c>
      <c r="B1355" t="s">
        <v>201</v>
      </c>
      <c r="C1355" t="s">
        <v>1199</v>
      </c>
      <c r="D1355" t="s">
        <v>2572</v>
      </c>
      <c r="E1355" t="s">
        <v>4146</v>
      </c>
      <c r="F1355" t="s">
        <v>5261</v>
      </c>
      <c r="G1355" t="s">
        <v>5635</v>
      </c>
      <c r="H1355">
        <v>10467</v>
      </c>
      <c r="I1355" t="s">
        <v>5695</v>
      </c>
      <c r="J1355" t="s">
        <v>5696</v>
      </c>
      <c r="K1355" t="s">
        <v>6349</v>
      </c>
      <c r="L1355" t="s">
        <v>6714</v>
      </c>
      <c r="M1355" t="s">
        <v>6736</v>
      </c>
      <c r="O1355" t="s">
        <v>6763</v>
      </c>
      <c r="P1355" t="s">
        <v>5697</v>
      </c>
      <c r="R1355" t="s">
        <v>6793</v>
      </c>
      <c r="U1355">
        <v>863</v>
      </c>
      <c r="V1355" t="s">
        <v>6833</v>
      </c>
      <c r="W1355" t="s">
        <v>6839</v>
      </c>
      <c r="Y1355" t="s">
        <v>8140</v>
      </c>
      <c r="AA1355" t="s">
        <v>10175</v>
      </c>
      <c r="AB1355">
        <v>135</v>
      </c>
      <c r="AC1355" t="s">
        <v>10929</v>
      </c>
      <c r="AD1355" t="s">
        <v>10946</v>
      </c>
      <c r="AE1355">
        <v>3</v>
      </c>
      <c r="AF1355">
        <v>1</v>
      </c>
      <c r="AG1355">
        <v>2</v>
      </c>
      <c r="AH1355">
        <v>30.15</v>
      </c>
      <c r="AK1355" t="s">
        <v>10966</v>
      </c>
      <c r="AL1355">
        <v>6430</v>
      </c>
      <c r="AR1355">
        <v>0</v>
      </c>
      <c r="AT1355" t="s">
        <v>11196</v>
      </c>
      <c r="AV1355" t="s">
        <v>11231</v>
      </c>
      <c r="AW1355" t="s">
        <v>6809</v>
      </c>
    </row>
    <row r="1356" spans="1:49">
      <c r="A1356" s="1">
        <f>HYPERLINK("https://lsnyc.legalserver.org/matter/dynamic-profile/view/1905495","19-1905495")</f>
        <v>0</v>
      </c>
      <c r="B1356" t="s">
        <v>190</v>
      </c>
      <c r="C1356" t="s">
        <v>445</v>
      </c>
      <c r="D1356" t="s">
        <v>2573</v>
      </c>
      <c r="E1356" t="s">
        <v>4307</v>
      </c>
      <c r="F1356" t="s">
        <v>5252</v>
      </c>
      <c r="G1356" t="s">
        <v>5635</v>
      </c>
      <c r="H1356">
        <v>10457</v>
      </c>
      <c r="I1356" t="s">
        <v>5695</v>
      </c>
      <c r="J1356" t="s">
        <v>5696</v>
      </c>
      <c r="K1356" t="s">
        <v>6350</v>
      </c>
      <c r="L1356" t="s">
        <v>6714</v>
      </c>
      <c r="M1356" t="s">
        <v>6736</v>
      </c>
      <c r="O1356" t="s">
        <v>6763</v>
      </c>
      <c r="R1356" t="s">
        <v>6793</v>
      </c>
      <c r="T1356" t="s">
        <v>6822</v>
      </c>
      <c r="U1356">
        <v>1500</v>
      </c>
      <c r="V1356" t="s">
        <v>6833</v>
      </c>
      <c r="Y1356" t="s">
        <v>8141</v>
      </c>
      <c r="AA1356" t="s">
        <v>10176</v>
      </c>
      <c r="AB1356">
        <v>0</v>
      </c>
      <c r="AE1356">
        <v>8</v>
      </c>
      <c r="AF1356">
        <v>2</v>
      </c>
      <c r="AG1356">
        <v>0</v>
      </c>
      <c r="AH1356">
        <v>118.27</v>
      </c>
      <c r="AK1356" t="s">
        <v>10966</v>
      </c>
      <c r="AL1356">
        <v>20000</v>
      </c>
      <c r="AR1356">
        <v>1.2</v>
      </c>
      <c r="AS1356" t="s">
        <v>6819</v>
      </c>
      <c r="AT1356" t="s">
        <v>11200</v>
      </c>
      <c r="AU1356" t="s">
        <v>11228</v>
      </c>
      <c r="AV1356" t="s">
        <v>11231</v>
      </c>
      <c r="AW1356" t="s">
        <v>6822</v>
      </c>
    </row>
    <row r="1357" spans="1:49">
      <c r="A1357" s="1">
        <f>HYPERLINK("https://lsnyc.legalserver.org/matter/dynamic-profile/view/1896969","19-1896969")</f>
        <v>0</v>
      </c>
      <c r="B1357" t="s">
        <v>101</v>
      </c>
      <c r="C1357" t="s">
        <v>495</v>
      </c>
      <c r="D1357" t="s">
        <v>2034</v>
      </c>
      <c r="E1357" t="s">
        <v>4308</v>
      </c>
      <c r="F1357" t="s">
        <v>5176</v>
      </c>
      <c r="G1357" t="s">
        <v>5636</v>
      </c>
      <c r="H1357">
        <v>10303</v>
      </c>
      <c r="I1357" t="s">
        <v>5696</v>
      </c>
      <c r="J1357" t="s">
        <v>5696</v>
      </c>
      <c r="K1357" t="s">
        <v>6351</v>
      </c>
      <c r="L1357" t="s">
        <v>6714</v>
      </c>
      <c r="M1357" t="s">
        <v>6736</v>
      </c>
      <c r="O1357" t="s">
        <v>6751</v>
      </c>
      <c r="P1357" t="s">
        <v>5697</v>
      </c>
      <c r="R1357" t="s">
        <v>6794</v>
      </c>
      <c r="S1357" t="s">
        <v>6801</v>
      </c>
      <c r="U1357">
        <v>228.6</v>
      </c>
      <c r="V1357" t="s">
        <v>6834</v>
      </c>
      <c r="W1357" t="s">
        <v>6839</v>
      </c>
      <c r="Y1357" t="s">
        <v>8142</v>
      </c>
      <c r="AA1357" t="s">
        <v>10177</v>
      </c>
      <c r="AB1357">
        <v>0</v>
      </c>
      <c r="AC1357" t="s">
        <v>10934</v>
      </c>
      <c r="AD1357" t="s">
        <v>5741</v>
      </c>
      <c r="AE1357">
        <v>25</v>
      </c>
      <c r="AF1357">
        <v>3</v>
      </c>
      <c r="AG1357">
        <v>0</v>
      </c>
      <c r="AH1357">
        <v>42.76</v>
      </c>
      <c r="AK1357" t="s">
        <v>10967</v>
      </c>
      <c r="AL1357">
        <v>9120</v>
      </c>
      <c r="AR1357">
        <v>10.35</v>
      </c>
      <c r="AS1357" t="s">
        <v>6810</v>
      </c>
      <c r="AT1357" t="s">
        <v>11177</v>
      </c>
      <c r="AV1357" t="s">
        <v>11231</v>
      </c>
      <c r="AW1357" t="s">
        <v>11121</v>
      </c>
    </row>
    <row r="1358" spans="1:49">
      <c r="A1358" s="1">
        <f>HYPERLINK("https://lsnyc.legalserver.org/matter/dynamic-profile/view/1900581","19-1900581")</f>
        <v>0</v>
      </c>
      <c r="B1358" t="s">
        <v>95</v>
      </c>
      <c r="C1358" t="s">
        <v>512</v>
      </c>
      <c r="D1358" t="s">
        <v>2261</v>
      </c>
      <c r="E1358" t="s">
        <v>3244</v>
      </c>
      <c r="F1358" t="s">
        <v>5491</v>
      </c>
      <c r="G1358" t="s">
        <v>5637</v>
      </c>
      <c r="H1358">
        <v>11236</v>
      </c>
      <c r="I1358" t="s">
        <v>5695</v>
      </c>
      <c r="J1358" t="s">
        <v>5696</v>
      </c>
      <c r="K1358" t="s">
        <v>6352</v>
      </c>
      <c r="L1358" t="s">
        <v>6714</v>
      </c>
      <c r="M1358" t="s">
        <v>6736</v>
      </c>
      <c r="O1358" t="s">
        <v>6746</v>
      </c>
      <c r="P1358" t="s">
        <v>5697</v>
      </c>
      <c r="R1358" t="s">
        <v>6794</v>
      </c>
      <c r="S1358" t="s">
        <v>6801</v>
      </c>
      <c r="T1358" t="s">
        <v>6811</v>
      </c>
      <c r="U1358">
        <v>414</v>
      </c>
      <c r="V1358" t="s">
        <v>6835</v>
      </c>
      <c r="W1358" t="s">
        <v>6839</v>
      </c>
      <c r="Y1358" t="s">
        <v>8143</v>
      </c>
      <c r="Z1358" t="s">
        <v>9024</v>
      </c>
      <c r="AA1358" t="s">
        <v>10178</v>
      </c>
      <c r="AB1358">
        <v>1610</v>
      </c>
      <c r="AC1358" t="s">
        <v>10931</v>
      </c>
      <c r="AD1358" t="s">
        <v>10944</v>
      </c>
      <c r="AE1358">
        <v>6</v>
      </c>
      <c r="AF1358">
        <v>1</v>
      </c>
      <c r="AG1358">
        <v>1</v>
      </c>
      <c r="AH1358">
        <v>82.81</v>
      </c>
      <c r="AK1358" t="s">
        <v>10966</v>
      </c>
      <c r="AL1358">
        <v>14004</v>
      </c>
      <c r="AR1358">
        <v>3.85</v>
      </c>
      <c r="AS1358" t="s">
        <v>6827</v>
      </c>
      <c r="AT1358" t="s">
        <v>11183</v>
      </c>
      <c r="AU1358" t="s">
        <v>11228</v>
      </c>
      <c r="AV1358" t="s">
        <v>11231</v>
      </c>
      <c r="AW1358" t="s">
        <v>6895</v>
      </c>
    </row>
    <row r="1359" spans="1:49">
      <c r="A1359" s="1">
        <f>HYPERLINK("https://lsnyc.legalserver.org/matter/dynamic-profile/view/1899081","19-1899081")</f>
        <v>0</v>
      </c>
      <c r="B1359" t="s">
        <v>196</v>
      </c>
      <c r="C1359" t="s">
        <v>1200</v>
      </c>
      <c r="D1359" t="s">
        <v>2543</v>
      </c>
      <c r="E1359" t="s">
        <v>4309</v>
      </c>
      <c r="F1359" t="s">
        <v>5492</v>
      </c>
      <c r="G1359" t="s">
        <v>5635</v>
      </c>
      <c r="H1359">
        <v>10456</v>
      </c>
      <c r="I1359" t="s">
        <v>5695</v>
      </c>
      <c r="J1359" t="s">
        <v>5696</v>
      </c>
      <c r="L1359" t="s">
        <v>6714</v>
      </c>
      <c r="M1359" t="s">
        <v>6736</v>
      </c>
      <c r="O1359" t="s">
        <v>6747</v>
      </c>
      <c r="R1359" t="s">
        <v>6793</v>
      </c>
      <c r="U1359">
        <v>1700</v>
      </c>
      <c r="V1359" t="s">
        <v>6833</v>
      </c>
      <c r="W1359" t="s">
        <v>6843</v>
      </c>
      <c r="Y1359" t="s">
        <v>8144</v>
      </c>
      <c r="AA1359" t="s">
        <v>10179</v>
      </c>
      <c r="AB1359">
        <v>0</v>
      </c>
      <c r="AD1359" t="s">
        <v>10944</v>
      </c>
      <c r="AE1359">
        <v>5</v>
      </c>
      <c r="AF1359">
        <v>2</v>
      </c>
      <c r="AG1359">
        <v>1</v>
      </c>
      <c r="AH1359">
        <v>77.64</v>
      </c>
      <c r="AK1359" t="s">
        <v>10966</v>
      </c>
      <c r="AL1359">
        <v>16560</v>
      </c>
      <c r="AM1359" t="s">
        <v>11064</v>
      </c>
      <c r="AR1359">
        <v>0</v>
      </c>
      <c r="AT1359" t="s">
        <v>11217</v>
      </c>
      <c r="AU1359" t="s">
        <v>11228</v>
      </c>
      <c r="AV1359" t="s">
        <v>11231</v>
      </c>
      <c r="AW1359" t="s">
        <v>11134</v>
      </c>
    </row>
    <row r="1360" spans="1:49">
      <c r="A1360" s="1">
        <f>HYPERLINK("https://lsnyc.legalserver.org/matter/dynamic-profile/view/1904447","19-1904447")</f>
        <v>0</v>
      </c>
      <c r="B1360" t="s">
        <v>170</v>
      </c>
      <c r="C1360" t="s">
        <v>1201</v>
      </c>
      <c r="D1360" t="s">
        <v>2574</v>
      </c>
      <c r="E1360" t="s">
        <v>4310</v>
      </c>
      <c r="F1360" t="s">
        <v>5493</v>
      </c>
      <c r="G1360" t="s">
        <v>5638</v>
      </c>
      <c r="H1360">
        <v>10023</v>
      </c>
      <c r="I1360" t="s">
        <v>5695</v>
      </c>
      <c r="J1360" t="s">
        <v>5696</v>
      </c>
      <c r="K1360" t="s">
        <v>6353</v>
      </c>
      <c r="L1360" t="s">
        <v>6714</v>
      </c>
      <c r="M1360" t="s">
        <v>6736</v>
      </c>
      <c r="O1360" t="s">
        <v>6759</v>
      </c>
      <c r="P1360" t="s">
        <v>5697</v>
      </c>
      <c r="R1360" t="s">
        <v>6793</v>
      </c>
      <c r="T1360" t="s">
        <v>6815</v>
      </c>
      <c r="U1360">
        <v>750</v>
      </c>
      <c r="V1360" t="s">
        <v>6836</v>
      </c>
      <c r="W1360" t="s">
        <v>6840</v>
      </c>
      <c r="Y1360" t="s">
        <v>8145</v>
      </c>
      <c r="AA1360" t="s">
        <v>10180</v>
      </c>
      <c r="AB1360">
        <v>0</v>
      </c>
      <c r="AC1360" t="s">
        <v>10929</v>
      </c>
      <c r="AD1360" t="s">
        <v>5741</v>
      </c>
      <c r="AE1360">
        <v>4</v>
      </c>
      <c r="AF1360">
        <v>1</v>
      </c>
      <c r="AG1360">
        <v>1</v>
      </c>
      <c r="AH1360">
        <v>153.76</v>
      </c>
      <c r="AK1360" t="s">
        <v>10966</v>
      </c>
      <c r="AL1360">
        <v>26000</v>
      </c>
      <c r="AR1360">
        <v>10.6</v>
      </c>
      <c r="AS1360" t="s">
        <v>6824</v>
      </c>
      <c r="AT1360" t="s">
        <v>11218</v>
      </c>
      <c r="AU1360" t="s">
        <v>11228</v>
      </c>
      <c r="AV1360" t="s">
        <v>11231</v>
      </c>
      <c r="AW1360" t="s">
        <v>6815</v>
      </c>
    </row>
    <row r="1361" spans="1:49">
      <c r="A1361" s="1">
        <f>HYPERLINK("https://lsnyc.legalserver.org/matter/dynamic-profile/view/1905940","19-1905940")</f>
        <v>0</v>
      </c>
      <c r="B1361" t="s">
        <v>243</v>
      </c>
      <c r="C1361" t="s">
        <v>415</v>
      </c>
      <c r="D1361" t="s">
        <v>1930</v>
      </c>
      <c r="E1361" t="s">
        <v>4311</v>
      </c>
      <c r="F1361" t="s">
        <v>5095</v>
      </c>
      <c r="G1361" t="s">
        <v>5644</v>
      </c>
      <c r="H1361">
        <v>11433</v>
      </c>
      <c r="I1361" t="s">
        <v>5695</v>
      </c>
      <c r="J1361" t="s">
        <v>5696</v>
      </c>
      <c r="K1361" t="s">
        <v>6354</v>
      </c>
      <c r="L1361" t="s">
        <v>6714</v>
      </c>
      <c r="M1361" t="s">
        <v>6736</v>
      </c>
      <c r="O1361" t="s">
        <v>6752</v>
      </c>
      <c r="P1361" t="s">
        <v>5697</v>
      </c>
      <c r="R1361" t="s">
        <v>6794</v>
      </c>
      <c r="T1361" t="s">
        <v>6826</v>
      </c>
      <c r="U1361">
        <v>245</v>
      </c>
      <c r="V1361" t="s">
        <v>6837</v>
      </c>
      <c r="W1361" t="s">
        <v>6843</v>
      </c>
      <c r="Y1361" t="s">
        <v>8146</v>
      </c>
      <c r="AA1361" t="s">
        <v>10181</v>
      </c>
      <c r="AB1361">
        <v>100</v>
      </c>
      <c r="AC1361" t="s">
        <v>10931</v>
      </c>
      <c r="AD1361" t="s">
        <v>5741</v>
      </c>
      <c r="AE1361">
        <v>2</v>
      </c>
      <c r="AF1361">
        <v>1</v>
      </c>
      <c r="AG1361">
        <v>1</v>
      </c>
      <c r="AH1361">
        <v>65.33</v>
      </c>
      <c r="AK1361" t="s">
        <v>10966</v>
      </c>
      <c r="AL1361">
        <v>11047.4</v>
      </c>
      <c r="AR1361">
        <v>2.7</v>
      </c>
      <c r="AS1361" t="s">
        <v>6826</v>
      </c>
      <c r="AT1361" t="s">
        <v>11182</v>
      </c>
      <c r="AU1361" t="s">
        <v>11228</v>
      </c>
      <c r="AV1361" t="s">
        <v>11231</v>
      </c>
      <c r="AW1361" t="s">
        <v>6826</v>
      </c>
    </row>
    <row r="1362" spans="1:49">
      <c r="A1362" s="1">
        <f>HYPERLINK("https://lsnyc.legalserver.org/matter/dynamic-profile/view/1904455","19-1904455")</f>
        <v>0</v>
      </c>
      <c r="B1362" t="s">
        <v>204</v>
      </c>
      <c r="C1362" t="s">
        <v>1202</v>
      </c>
      <c r="D1362" t="s">
        <v>2575</v>
      </c>
      <c r="E1362" t="s">
        <v>4312</v>
      </c>
      <c r="F1362" t="s">
        <v>5142</v>
      </c>
      <c r="G1362" t="s">
        <v>5681</v>
      </c>
      <c r="H1362">
        <v>11415</v>
      </c>
      <c r="I1362" t="s">
        <v>5695</v>
      </c>
      <c r="J1362" t="s">
        <v>5696</v>
      </c>
      <c r="K1362" t="s">
        <v>6355</v>
      </c>
      <c r="L1362" t="s">
        <v>6714</v>
      </c>
      <c r="M1362" t="s">
        <v>6736</v>
      </c>
      <c r="O1362" t="s">
        <v>6745</v>
      </c>
      <c r="P1362" t="s">
        <v>5697</v>
      </c>
      <c r="R1362" t="s">
        <v>6793</v>
      </c>
      <c r="S1362" t="s">
        <v>6804</v>
      </c>
      <c r="T1362" t="s">
        <v>6815</v>
      </c>
      <c r="U1362">
        <v>1650</v>
      </c>
      <c r="V1362" t="s">
        <v>6837</v>
      </c>
      <c r="W1362" t="s">
        <v>6839</v>
      </c>
      <c r="Y1362" t="s">
        <v>8147</v>
      </c>
      <c r="AA1362" t="s">
        <v>10182</v>
      </c>
      <c r="AB1362">
        <v>70</v>
      </c>
      <c r="AC1362" t="s">
        <v>10929</v>
      </c>
      <c r="AD1362" t="s">
        <v>5741</v>
      </c>
      <c r="AE1362">
        <v>1</v>
      </c>
      <c r="AF1362">
        <v>1</v>
      </c>
      <c r="AG1362">
        <v>0</v>
      </c>
      <c r="AH1362">
        <v>134.03</v>
      </c>
      <c r="AK1362" t="s">
        <v>10966</v>
      </c>
      <c r="AL1362">
        <v>16740</v>
      </c>
      <c r="AR1362">
        <v>6.3</v>
      </c>
      <c r="AS1362" t="s">
        <v>6822</v>
      </c>
      <c r="AT1362" t="s">
        <v>79</v>
      </c>
      <c r="AU1362" t="s">
        <v>11228</v>
      </c>
      <c r="AV1362" t="s">
        <v>11231</v>
      </c>
      <c r="AW1362" t="s">
        <v>6815</v>
      </c>
    </row>
    <row r="1363" spans="1:49">
      <c r="A1363" s="1">
        <f>HYPERLINK("https://lsnyc.legalserver.org/matter/dynamic-profile/view/1901506","19-1901506")</f>
        <v>0</v>
      </c>
      <c r="B1363" t="s">
        <v>185</v>
      </c>
      <c r="C1363" t="s">
        <v>1203</v>
      </c>
      <c r="D1363" t="s">
        <v>2576</v>
      </c>
      <c r="E1363" t="s">
        <v>4313</v>
      </c>
      <c r="F1363" t="s">
        <v>5298</v>
      </c>
      <c r="G1363" t="s">
        <v>5635</v>
      </c>
      <c r="H1363">
        <v>10467</v>
      </c>
      <c r="I1363" t="s">
        <v>5695</v>
      </c>
      <c r="J1363" t="s">
        <v>5696</v>
      </c>
      <c r="K1363" t="s">
        <v>6356</v>
      </c>
      <c r="L1363" t="s">
        <v>6714</v>
      </c>
      <c r="M1363" t="s">
        <v>6736</v>
      </c>
      <c r="O1363" t="s">
        <v>6763</v>
      </c>
      <c r="P1363" t="s">
        <v>5697</v>
      </c>
      <c r="R1363" t="s">
        <v>6793</v>
      </c>
      <c r="U1363">
        <v>1246</v>
      </c>
      <c r="V1363" t="s">
        <v>6833</v>
      </c>
      <c r="Y1363" t="s">
        <v>8148</v>
      </c>
      <c r="AA1363" t="s">
        <v>10183</v>
      </c>
      <c r="AB1363">
        <v>9669</v>
      </c>
      <c r="AE1363">
        <v>0</v>
      </c>
      <c r="AF1363">
        <v>1</v>
      </c>
      <c r="AG1363">
        <v>2</v>
      </c>
      <c r="AH1363">
        <v>205.39</v>
      </c>
      <c r="AK1363" t="s">
        <v>10966</v>
      </c>
      <c r="AL1363">
        <v>43810</v>
      </c>
      <c r="AM1363" t="s">
        <v>11065</v>
      </c>
      <c r="AR1363">
        <v>1.75</v>
      </c>
      <c r="AS1363" t="s">
        <v>11136</v>
      </c>
      <c r="AT1363" t="s">
        <v>288</v>
      </c>
      <c r="AU1363" t="s">
        <v>11228</v>
      </c>
      <c r="AV1363" t="s">
        <v>11231</v>
      </c>
      <c r="AW1363" t="s">
        <v>11135</v>
      </c>
    </row>
    <row r="1364" spans="1:49">
      <c r="A1364" s="1">
        <f>HYPERLINK("https://lsnyc.legalserver.org/matter/dynamic-profile/view/1903512","19-1903512")</f>
        <v>0</v>
      </c>
      <c r="B1364" t="s">
        <v>184</v>
      </c>
      <c r="C1364" t="s">
        <v>1204</v>
      </c>
      <c r="D1364" t="s">
        <v>2577</v>
      </c>
      <c r="E1364" t="s">
        <v>4314</v>
      </c>
      <c r="F1364" t="s">
        <v>5110</v>
      </c>
      <c r="G1364" t="s">
        <v>5670</v>
      </c>
      <c r="H1364">
        <v>11101</v>
      </c>
      <c r="I1364" t="s">
        <v>5696</v>
      </c>
      <c r="J1364" t="s">
        <v>5696</v>
      </c>
      <c r="K1364" t="s">
        <v>6357</v>
      </c>
      <c r="L1364" t="s">
        <v>6714</v>
      </c>
      <c r="M1364" t="s">
        <v>6736</v>
      </c>
      <c r="O1364" t="s">
        <v>6745</v>
      </c>
      <c r="P1364" t="s">
        <v>5697</v>
      </c>
      <c r="R1364" t="s">
        <v>6793</v>
      </c>
      <c r="U1364">
        <v>1800</v>
      </c>
      <c r="V1364" t="s">
        <v>6837</v>
      </c>
      <c r="W1364" t="s">
        <v>6841</v>
      </c>
      <c r="Y1364" t="s">
        <v>8149</v>
      </c>
      <c r="AA1364" t="s">
        <v>10184</v>
      </c>
      <c r="AB1364">
        <v>6</v>
      </c>
      <c r="AC1364" t="s">
        <v>10930</v>
      </c>
      <c r="AD1364" t="s">
        <v>5741</v>
      </c>
      <c r="AE1364">
        <v>2</v>
      </c>
      <c r="AF1364">
        <v>2</v>
      </c>
      <c r="AG1364">
        <v>2</v>
      </c>
      <c r="AH1364">
        <v>167.77</v>
      </c>
      <c r="AK1364" t="s">
        <v>10967</v>
      </c>
      <c r="AL1364">
        <v>43200</v>
      </c>
      <c r="AR1364">
        <v>2.85</v>
      </c>
      <c r="AS1364" t="s">
        <v>6829</v>
      </c>
      <c r="AT1364" t="s">
        <v>11189</v>
      </c>
      <c r="AV1364" t="s">
        <v>11231</v>
      </c>
      <c r="AW1364" t="s">
        <v>11147</v>
      </c>
    </row>
    <row r="1365" spans="1:49">
      <c r="A1365" s="1">
        <f>HYPERLINK("https://lsnyc.legalserver.org/matter/dynamic-profile/view/1904048","19-1904048")</f>
        <v>0</v>
      </c>
      <c r="B1365" t="s">
        <v>59</v>
      </c>
      <c r="C1365" t="s">
        <v>1009</v>
      </c>
      <c r="D1365" t="s">
        <v>2463</v>
      </c>
      <c r="E1365" t="s">
        <v>4315</v>
      </c>
      <c r="F1365">
        <v>11</v>
      </c>
      <c r="G1365" t="s">
        <v>5644</v>
      </c>
      <c r="H1365">
        <v>11435</v>
      </c>
      <c r="I1365" t="s">
        <v>5695</v>
      </c>
      <c r="J1365" t="s">
        <v>5696</v>
      </c>
      <c r="K1365" t="s">
        <v>6358</v>
      </c>
      <c r="L1365" t="s">
        <v>6714</v>
      </c>
      <c r="M1365" t="s">
        <v>6736</v>
      </c>
      <c r="O1365" t="s">
        <v>6750</v>
      </c>
      <c r="P1365" t="s">
        <v>5697</v>
      </c>
      <c r="R1365" t="s">
        <v>6793</v>
      </c>
      <c r="S1365" t="s">
        <v>6801</v>
      </c>
      <c r="T1365" t="s">
        <v>6817</v>
      </c>
      <c r="U1365">
        <v>802</v>
      </c>
      <c r="V1365" t="s">
        <v>6837</v>
      </c>
      <c r="W1365" t="s">
        <v>6840</v>
      </c>
      <c r="Y1365" t="s">
        <v>8150</v>
      </c>
      <c r="AA1365" t="s">
        <v>10185</v>
      </c>
      <c r="AB1365">
        <v>0</v>
      </c>
      <c r="AC1365" t="s">
        <v>10929</v>
      </c>
      <c r="AE1365">
        <v>35</v>
      </c>
      <c r="AF1365">
        <v>1</v>
      </c>
      <c r="AG1365">
        <v>0</v>
      </c>
      <c r="AH1365">
        <v>0</v>
      </c>
      <c r="AK1365" t="s">
        <v>10966</v>
      </c>
      <c r="AL1365">
        <v>0</v>
      </c>
      <c r="AR1365">
        <v>11</v>
      </c>
      <c r="AS1365" t="s">
        <v>6822</v>
      </c>
      <c r="AT1365" t="s">
        <v>59</v>
      </c>
      <c r="AU1365" t="s">
        <v>11228</v>
      </c>
      <c r="AV1365" t="s">
        <v>11231</v>
      </c>
      <c r="AW1365" t="s">
        <v>6818</v>
      </c>
    </row>
    <row r="1366" spans="1:49">
      <c r="A1366" s="1">
        <f>HYPERLINK("https://lsnyc.legalserver.org/matter/dynamic-profile/view/1900929","19-1900929")</f>
        <v>0</v>
      </c>
      <c r="B1366" t="s">
        <v>185</v>
      </c>
      <c r="C1366" t="s">
        <v>620</v>
      </c>
      <c r="D1366" t="s">
        <v>1839</v>
      </c>
      <c r="E1366" t="s">
        <v>4316</v>
      </c>
      <c r="F1366">
        <v>20</v>
      </c>
      <c r="G1366" t="s">
        <v>5635</v>
      </c>
      <c r="H1366">
        <v>10460</v>
      </c>
      <c r="I1366" t="s">
        <v>5696</v>
      </c>
      <c r="J1366" t="s">
        <v>5696</v>
      </c>
      <c r="K1366" t="s">
        <v>6359</v>
      </c>
      <c r="L1366" t="s">
        <v>6714</v>
      </c>
      <c r="M1366" t="s">
        <v>6736</v>
      </c>
      <c r="O1366" t="s">
        <v>6763</v>
      </c>
      <c r="P1366" t="s">
        <v>5697</v>
      </c>
      <c r="R1366" t="s">
        <v>6796</v>
      </c>
      <c r="S1366" t="s">
        <v>6801</v>
      </c>
      <c r="U1366">
        <v>0</v>
      </c>
      <c r="V1366" t="s">
        <v>6833</v>
      </c>
      <c r="W1366" t="s">
        <v>6843</v>
      </c>
      <c r="Y1366" t="s">
        <v>8151</v>
      </c>
      <c r="AA1366" t="s">
        <v>10186</v>
      </c>
      <c r="AB1366">
        <v>0</v>
      </c>
      <c r="AC1366" t="s">
        <v>10934</v>
      </c>
      <c r="AE1366">
        <v>0</v>
      </c>
      <c r="AF1366">
        <v>2</v>
      </c>
      <c r="AG1366">
        <v>0</v>
      </c>
      <c r="AH1366">
        <v>195.15</v>
      </c>
      <c r="AK1366" t="s">
        <v>10966</v>
      </c>
      <c r="AL1366">
        <v>33000</v>
      </c>
      <c r="AR1366">
        <v>1.7</v>
      </c>
      <c r="AS1366" t="s">
        <v>11117</v>
      </c>
      <c r="AT1366" t="s">
        <v>185</v>
      </c>
      <c r="AV1366" t="s">
        <v>11231</v>
      </c>
      <c r="AW1366" t="s">
        <v>11120</v>
      </c>
    </row>
    <row r="1367" spans="1:49">
      <c r="A1367" s="1">
        <f>HYPERLINK("https://lsnyc.legalserver.org/matter/dynamic-profile/view/1904967","19-1904967")</f>
        <v>0</v>
      </c>
      <c r="B1367" t="s">
        <v>256</v>
      </c>
      <c r="C1367" t="s">
        <v>1205</v>
      </c>
      <c r="D1367" t="s">
        <v>1862</v>
      </c>
      <c r="E1367" t="s">
        <v>4317</v>
      </c>
      <c r="F1367" t="s">
        <v>5494</v>
      </c>
      <c r="G1367" t="s">
        <v>5644</v>
      </c>
      <c r="H1367">
        <v>11434</v>
      </c>
      <c r="I1367" t="s">
        <v>5695</v>
      </c>
      <c r="J1367" t="s">
        <v>5696</v>
      </c>
      <c r="K1367" t="s">
        <v>6360</v>
      </c>
      <c r="L1367" t="s">
        <v>6714</v>
      </c>
      <c r="M1367" t="s">
        <v>6736</v>
      </c>
      <c r="O1367" t="s">
        <v>6752</v>
      </c>
      <c r="P1367" t="s">
        <v>5697</v>
      </c>
      <c r="R1367" t="s">
        <v>6793</v>
      </c>
      <c r="S1367" t="s">
        <v>6801</v>
      </c>
      <c r="T1367" t="s">
        <v>6816</v>
      </c>
      <c r="U1367">
        <v>1466.85</v>
      </c>
      <c r="V1367" t="s">
        <v>6837</v>
      </c>
      <c r="W1367" t="s">
        <v>6840</v>
      </c>
      <c r="Y1367" t="s">
        <v>8152</v>
      </c>
      <c r="AA1367" t="s">
        <v>10187</v>
      </c>
      <c r="AB1367">
        <v>273</v>
      </c>
      <c r="AC1367" t="s">
        <v>10935</v>
      </c>
      <c r="AD1367" t="s">
        <v>5741</v>
      </c>
      <c r="AE1367">
        <v>37</v>
      </c>
      <c r="AF1367">
        <v>1</v>
      </c>
      <c r="AG1367">
        <v>0</v>
      </c>
      <c r="AH1367">
        <v>192.15</v>
      </c>
      <c r="AK1367" t="s">
        <v>10966</v>
      </c>
      <c r="AL1367">
        <v>24000</v>
      </c>
      <c r="AR1367">
        <v>15.2</v>
      </c>
      <c r="AS1367" t="s">
        <v>6820</v>
      </c>
      <c r="AT1367" t="s">
        <v>256</v>
      </c>
      <c r="AV1367" t="s">
        <v>11231</v>
      </c>
      <c r="AW1367" t="s">
        <v>6812</v>
      </c>
    </row>
    <row r="1368" spans="1:49">
      <c r="A1368" s="1">
        <f>HYPERLINK("https://lsnyc.legalserver.org/matter/dynamic-profile/view/1904279","19-1904279")</f>
        <v>0</v>
      </c>
      <c r="B1368" t="s">
        <v>101</v>
      </c>
      <c r="C1368" t="s">
        <v>1206</v>
      </c>
      <c r="D1368" t="s">
        <v>2578</v>
      </c>
      <c r="E1368" t="s">
        <v>4318</v>
      </c>
      <c r="F1368" t="s">
        <v>5495</v>
      </c>
      <c r="G1368" t="s">
        <v>5636</v>
      </c>
      <c r="H1368">
        <v>10310</v>
      </c>
      <c r="I1368" t="s">
        <v>5695</v>
      </c>
      <c r="J1368" t="s">
        <v>5696</v>
      </c>
      <c r="K1368" t="s">
        <v>6361</v>
      </c>
      <c r="L1368" t="s">
        <v>6714</v>
      </c>
      <c r="M1368" t="s">
        <v>6736</v>
      </c>
      <c r="O1368" t="s">
        <v>6762</v>
      </c>
      <c r="P1368" t="s">
        <v>5697</v>
      </c>
      <c r="R1368" t="s">
        <v>6794</v>
      </c>
      <c r="S1368" t="s">
        <v>6801</v>
      </c>
      <c r="T1368" t="s">
        <v>6813</v>
      </c>
      <c r="U1368">
        <v>283</v>
      </c>
      <c r="V1368" t="s">
        <v>6834</v>
      </c>
      <c r="Y1368" t="s">
        <v>8153</v>
      </c>
      <c r="AA1368" t="s">
        <v>10188</v>
      </c>
      <c r="AB1368">
        <v>0</v>
      </c>
      <c r="AC1368" t="s">
        <v>10931</v>
      </c>
      <c r="AD1368" t="s">
        <v>10944</v>
      </c>
      <c r="AE1368">
        <v>1</v>
      </c>
      <c r="AF1368">
        <v>1</v>
      </c>
      <c r="AG1368">
        <v>2</v>
      </c>
      <c r="AH1368">
        <v>0</v>
      </c>
      <c r="AK1368" t="s">
        <v>10966</v>
      </c>
      <c r="AL1368">
        <v>0</v>
      </c>
      <c r="AR1368">
        <v>0.4</v>
      </c>
      <c r="AS1368" t="s">
        <v>6822</v>
      </c>
      <c r="AT1368" t="s">
        <v>11223</v>
      </c>
      <c r="AU1368" t="s">
        <v>11228</v>
      </c>
      <c r="AV1368" t="s">
        <v>11231</v>
      </c>
      <c r="AW1368" t="s">
        <v>6813</v>
      </c>
    </row>
    <row r="1369" spans="1:49">
      <c r="A1369" s="1">
        <f>HYPERLINK("https://lsnyc.legalserver.org/matter/dynamic-profile/view/1902841","19-1902841")</f>
        <v>0</v>
      </c>
      <c r="B1369" t="s">
        <v>254</v>
      </c>
      <c r="C1369" t="s">
        <v>1207</v>
      </c>
      <c r="D1369" t="s">
        <v>2119</v>
      </c>
      <c r="E1369" t="s">
        <v>4319</v>
      </c>
      <c r="F1369" t="s">
        <v>5100</v>
      </c>
      <c r="G1369" t="s">
        <v>5635</v>
      </c>
      <c r="H1369">
        <v>10452</v>
      </c>
      <c r="I1369" t="s">
        <v>5695</v>
      </c>
      <c r="J1369" t="s">
        <v>5696</v>
      </c>
      <c r="K1369" t="s">
        <v>6362</v>
      </c>
      <c r="L1369" t="s">
        <v>6714</v>
      </c>
      <c r="M1369" t="s">
        <v>6736</v>
      </c>
      <c r="O1369" t="s">
        <v>6745</v>
      </c>
      <c r="P1369" t="s">
        <v>5697</v>
      </c>
      <c r="R1369" t="s">
        <v>6793</v>
      </c>
      <c r="T1369" t="s">
        <v>6811</v>
      </c>
      <c r="U1369">
        <v>950</v>
      </c>
      <c r="V1369" t="s">
        <v>6833</v>
      </c>
      <c r="W1369" t="s">
        <v>6838</v>
      </c>
      <c r="Y1369" t="s">
        <v>8154</v>
      </c>
      <c r="AA1369" t="s">
        <v>10189</v>
      </c>
      <c r="AB1369">
        <v>9</v>
      </c>
      <c r="AC1369" t="s">
        <v>10929</v>
      </c>
      <c r="AD1369" t="s">
        <v>5741</v>
      </c>
      <c r="AE1369">
        <v>4</v>
      </c>
      <c r="AF1369">
        <v>1</v>
      </c>
      <c r="AG1369">
        <v>2</v>
      </c>
      <c r="AH1369">
        <v>97.27</v>
      </c>
      <c r="AK1369" t="s">
        <v>10966</v>
      </c>
      <c r="AL1369">
        <v>20748</v>
      </c>
      <c r="AR1369">
        <v>0</v>
      </c>
      <c r="AT1369" t="s">
        <v>11176</v>
      </c>
      <c r="AU1369" t="s">
        <v>11228</v>
      </c>
      <c r="AV1369" t="s">
        <v>11231</v>
      </c>
      <c r="AW1369" t="s">
        <v>11131</v>
      </c>
    </row>
    <row r="1370" spans="1:49">
      <c r="A1370" s="1">
        <f>HYPERLINK("https://lsnyc.legalserver.org/matter/dynamic-profile/view/1903654","19-1903654")</f>
        <v>0</v>
      </c>
      <c r="B1370" t="s">
        <v>205</v>
      </c>
      <c r="C1370" t="s">
        <v>1208</v>
      </c>
      <c r="D1370" t="s">
        <v>2579</v>
      </c>
      <c r="E1370" t="s">
        <v>4320</v>
      </c>
      <c r="F1370" t="s">
        <v>5105</v>
      </c>
      <c r="G1370" t="s">
        <v>5637</v>
      </c>
      <c r="H1370">
        <v>11225</v>
      </c>
      <c r="I1370" t="s">
        <v>5695</v>
      </c>
      <c r="J1370" t="s">
        <v>5696</v>
      </c>
      <c r="K1370" t="s">
        <v>6363</v>
      </c>
      <c r="L1370" t="s">
        <v>6714</v>
      </c>
      <c r="M1370" t="s">
        <v>6736</v>
      </c>
      <c r="O1370" t="s">
        <v>6745</v>
      </c>
      <c r="P1370" t="s">
        <v>5697</v>
      </c>
      <c r="R1370" t="s">
        <v>6793</v>
      </c>
      <c r="S1370" t="s">
        <v>6804</v>
      </c>
      <c r="T1370" t="s">
        <v>6815</v>
      </c>
      <c r="U1370">
        <v>678</v>
      </c>
      <c r="V1370" t="s">
        <v>6835</v>
      </c>
      <c r="W1370" t="s">
        <v>6843</v>
      </c>
      <c r="Y1370" t="s">
        <v>7015</v>
      </c>
      <c r="Z1370" t="s">
        <v>5741</v>
      </c>
      <c r="AA1370" t="s">
        <v>10190</v>
      </c>
      <c r="AB1370">
        <v>26</v>
      </c>
      <c r="AD1370" t="s">
        <v>10943</v>
      </c>
      <c r="AE1370">
        <v>19</v>
      </c>
      <c r="AF1370">
        <v>2</v>
      </c>
      <c r="AG1370">
        <v>3</v>
      </c>
      <c r="AH1370">
        <v>95.66</v>
      </c>
      <c r="AJ1370" t="s">
        <v>10965</v>
      </c>
      <c r="AK1370" t="s">
        <v>10966</v>
      </c>
      <c r="AL1370">
        <v>28860</v>
      </c>
      <c r="AR1370">
        <v>1.5</v>
      </c>
      <c r="AS1370" t="s">
        <v>6826</v>
      </c>
      <c r="AT1370" t="s">
        <v>69</v>
      </c>
      <c r="AU1370" t="s">
        <v>11228</v>
      </c>
      <c r="AV1370" t="s">
        <v>11231</v>
      </c>
      <c r="AW1370" t="s">
        <v>11144</v>
      </c>
    </row>
    <row r="1371" spans="1:49">
      <c r="A1371" s="1">
        <f>HYPERLINK("https://lsnyc.legalserver.org/matter/dynamic-profile/view/1904287","19-1904287")</f>
        <v>0</v>
      </c>
      <c r="B1371" t="s">
        <v>51</v>
      </c>
      <c r="C1371" t="s">
        <v>367</v>
      </c>
      <c r="D1371" t="s">
        <v>1757</v>
      </c>
      <c r="E1371" t="s">
        <v>4321</v>
      </c>
      <c r="F1371" t="s">
        <v>5105</v>
      </c>
      <c r="G1371" t="s">
        <v>5636</v>
      </c>
      <c r="H1371">
        <v>10303</v>
      </c>
      <c r="I1371" t="s">
        <v>5695</v>
      </c>
      <c r="J1371" t="s">
        <v>5696</v>
      </c>
      <c r="K1371" t="s">
        <v>6364</v>
      </c>
      <c r="L1371" t="s">
        <v>6714</v>
      </c>
      <c r="M1371" t="s">
        <v>6736</v>
      </c>
      <c r="O1371" t="s">
        <v>6762</v>
      </c>
      <c r="P1371" t="s">
        <v>5697</v>
      </c>
      <c r="R1371" t="s">
        <v>6794</v>
      </c>
      <c r="S1371" t="s">
        <v>6801</v>
      </c>
      <c r="T1371" t="s">
        <v>6813</v>
      </c>
      <c r="U1371">
        <v>1038</v>
      </c>
      <c r="V1371" t="s">
        <v>6834</v>
      </c>
      <c r="W1371" t="s">
        <v>6839</v>
      </c>
      <c r="Y1371" t="s">
        <v>8155</v>
      </c>
      <c r="AA1371" t="s">
        <v>10191</v>
      </c>
      <c r="AB1371">
        <v>0</v>
      </c>
      <c r="AC1371" t="s">
        <v>10931</v>
      </c>
      <c r="AD1371" t="s">
        <v>10944</v>
      </c>
      <c r="AE1371">
        <v>13</v>
      </c>
      <c r="AF1371">
        <v>2</v>
      </c>
      <c r="AG1371">
        <v>1</v>
      </c>
      <c r="AH1371">
        <v>75.56999999999999</v>
      </c>
      <c r="AK1371" t="s">
        <v>10966</v>
      </c>
      <c r="AL1371">
        <v>16119.96</v>
      </c>
      <c r="AR1371">
        <v>1</v>
      </c>
      <c r="AS1371" t="s">
        <v>6828</v>
      </c>
      <c r="AT1371" t="s">
        <v>11223</v>
      </c>
      <c r="AU1371" t="s">
        <v>11228</v>
      </c>
      <c r="AV1371" t="s">
        <v>11231</v>
      </c>
      <c r="AW1371" t="s">
        <v>6813</v>
      </c>
    </row>
    <row r="1372" spans="1:49">
      <c r="A1372" s="1">
        <f>HYPERLINK("https://lsnyc.legalserver.org/matter/dynamic-profile/view/1903850","19-1903850")</f>
        <v>0</v>
      </c>
      <c r="B1372" t="s">
        <v>191</v>
      </c>
      <c r="C1372" t="s">
        <v>1209</v>
      </c>
      <c r="D1372" t="s">
        <v>2580</v>
      </c>
      <c r="E1372" t="s">
        <v>4322</v>
      </c>
      <c r="F1372" t="s">
        <v>5215</v>
      </c>
      <c r="G1372" t="s">
        <v>5649</v>
      </c>
      <c r="H1372">
        <v>11385</v>
      </c>
      <c r="I1372" t="s">
        <v>5695</v>
      </c>
      <c r="J1372" t="s">
        <v>5696</v>
      </c>
      <c r="K1372" t="s">
        <v>6365</v>
      </c>
      <c r="L1372" t="s">
        <v>6714</v>
      </c>
      <c r="M1372" t="s">
        <v>6736</v>
      </c>
      <c r="O1372" t="s">
        <v>6752</v>
      </c>
      <c r="P1372" t="s">
        <v>5697</v>
      </c>
      <c r="Q1372" t="s">
        <v>6752</v>
      </c>
      <c r="R1372" t="s">
        <v>6793</v>
      </c>
      <c r="T1372" t="s">
        <v>6807</v>
      </c>
      <c r="U1372">
        <v>1044</v>
      </c>
      <c r="V1372" t="s">
        <v>6837</v>
      </c>
      <c r="W1372" t="s">
        <v>6840</v>
      </c>
      <c r="Y1372" t="s">
        <v>8156</v>
      </c>
      <c r="AA1372" t="s">
        <v>10192</v>
      </c>
      <c r="AB1372">
        <v>6</v>
      </c>
      <c r="AC1372" t="s">
        <v>8953</v>
      </c>
      <c r="AD1372" t="s">
        <v>5741</v>
      </c>
      <c r="AE1372">
        <v>23</v>
      </c>
      <c r="AF1372">
        <v>1</v>
      </c>
      <c r="AG1372">
        <v>0</v>
      </c>
      <c r="AH1372">
        <v>0</v>
      </c>
      <c r="AK1372" t="s">
        <v>10967</v>
      </c>
      <c r="AL1372">
        <v>0</v>
      </c>
      <c r="AR1372">
        <v>19.9</v>
      </c>
      <c r="AS1372" t="s">
        <v>6827</v>
      </c>
      <c r="AT1372" t="s">
        <v>11182</v>
      </c>
      <c r="AU1372" t="s">
        <v>11228</v>
      </c>
      <c r="AV1372" t="s">
        <v>11231</v>
      </c>
      <c r="AW1372" t="s">
        <v>6807</v>
      </c>
    </row>
    <row r="1373" spans="1:49">
      <c r="A1373" s="1">
        <f>HYPERLINK("https://lsnyc.legalserver.org/matter/dynamic-profile/view/1905078","19-1905078")</f>
        <v>0</v>
      </c>
      <c r="B1373" t="s">
        <v>95</v>
      </c>
      <c r="C1373" t="s">
        <v>1210</v>
      </c>
      <c r="D1373" t="s">
        <v>441</v>
      </c>
      <c r="E1373" t="s">
        <v>4323</v>
      </c>
      <c r="F1373" t="s">
        <v>5496</v>
      </c>
      <c r="G1373" t="s">
        <v>5637</v>
      </c>
      <c r="H1373">
        <v>11221</v>
      </c>
      <c r="I1373" t="s">
        <v>5695</v>
      </c>
      <c r="J1373" t="s">
        <v>5696</v>
      </c>
      <c r="K1373" t="s">
        <v>6366</v>
      </c>
      <c r="L1373" t="s">
        <v>6714</v>
      </c>
      <c r="M1373" t="s">
        <v>6736</v>
      </c>
      <c r="O1373" t="s">
        <v>6755</v>
      </c>
      <c r="R1373" t="s">
        <v>6794</v>
      </c>
      <c r="U1373">
        <v>663</v>
      </c>
      <c r="V1373" t="s">
        <v>6835</v>
      </c>
      <c r="Y1373" t="s">
        <v>8157</v>
      </c>
      <c r="AA1373" t="s">
        <v>10193</v>
      </c>
      <c r="AB1373">
        <v>180</v>
      </c>
      <c r="AE1373">
        <v>20</v>
      </c>
      <c r="AF1373">
        <v>2</v>
      </c>
      <c r="AG1373">
        <v>3</v>
      </c>
      <c r="AH1373">
        <v>34.37</v>
      </c>
      <c r="AK1373" t="s">
        <v>10966</v>
      </c>
      <c r="AL1373">
        <v>10368</v>
      </c>
      <c r="AR1373">
        <v>0</v>
      </c>
      <c r="AT1373" t="s">
        <v>11190</v>
      </c>
      <c r="AU1373" t="s">
        <v>11228</v>
      </c>
      <c r="AV1373" t="s">
        <v>11231</v>
      </c>
      <c r="AW1373" t="s">
        <v>6814</v>
      </c>
    </row>
    <row r="1374" spans="1:49">
      <c r="A1374" s="1">
        <f>HYPERLINK("https://lsnyc.legalserver.org/matter/dynamic-profile/view/1897095","19-1897095")</f>
        <v>0</v>
      </c>
      <c r="B1374" t="s">
        <v>78</v>
      </c>
      <c r="C1374" t="s">
        <v>1211</v>
      </c>
      <c r="D1374" t="s">
        <v>2463</v>
      </c>
      <c r="E1374" t="s">
        <v>4324</v>
      </c>
      <c r="F1374" t="s">
        <v>5347</v>
      </c>
      <c r="G1374" t="s">
        <v>5638</v>
      </c>
      <c r="H1374">
        <v>10024</v>
      </c>
      <c r="I1374" t="s">
        <v>5695</v>
      </c>
      <c r="J1374" t="s">
        <v>5695</v>
      </c>
      <c r="L1374" t="s">
        <v>6714</v>
      </c>
      <c r="M1374" t="s">
        <v>6736</v>
      </c>
      <c r="O1374" t="s">
        <v>6749</v>
      </c>
      <c r="P1374" t="s">
        <v>5697</v>
      </c>
      <c r="R1374" t="s">
        <v>6794</v>
      </c>
      <c r="U1374">
        <v>858</v>
      </c>
      <c r="V1374" t="s">
        <v>6836</v>
      </c>
      <c r="Y1374" t="s">
        <v>8158</v>
      </c>
      <c r="AA1374" t="s">
        <v>10194</v>
      </c>
      <c r="AB1374">
        <v>0</v>
      </c>
      <c r="AE1374">
        <v>7</v>
      </c>
      <c r="AF1374">
        <v>1</v>
      </c>
      <c r="AG1374">
        <v>1</v>
      </c>
      <c r="AH1374">
        <v>276.76</v>
      </c>
      <c r="AI1374" t="s">
        <v>10961</v>
      </c>
      <c r="AJ1374" t="s">
        <v>10963</v>
      </c>
      <c r="AK1374" t="s">
        <v>10966</v>
      </c>
      <c r="AL1374">
        <v>46800</v>
      </c>
      <c r="AR1374">
        <v>72.25</v>
      </c>
      <c r="AS1374" t="s">
        <v>6823</v>
      </c>
      <c r="AT1374" t="s">
        <v>11199</v>
      </c>
      <c r="AV1374" t="s">
        <v>11231</v>
      </c>
      <c r="AW1374" t="s">
        <v>11121</v>
      </c>
    </row>
    <row r="1375" spans="1:49">
      <c r="A1375" s="1">
        <f>HYPERLINK("https://lsnyc.legalserver.org/matter/dynamic-profile/view/1902860","19-1902860")</f>
        <v>0</v>
      </c>
      <c r="B1375" t="s">
        <v>199</v>
      </c>
      <c r="C1375" t="s">
        <v>493</v>
      </c>
      <c r="D1375" t="s">
        <v>2358</v>
      </c>
      <c r="E1375" t="s">
        <v>4325</v>
      </c>
      <c r="F1375" t="s">
        <v>5436</v>
      </c>
      <c r="G1375" t="s">
        <v>5635</v>
      </c>
      <c r="H1375">
        <v>10467</v>
      </c>
      <c r="I1375" t="s">
        <v>5695</v>
      </c>
      <c r="J1375" t="s">
        <v>5696</v>
      </c>
      <c r="K1375" t="s">
        <v>6367</v>
      </c>
      <c r="L1375" t="s">
        <v>6714</v>
      </c>
      <c r="M1375" t="s">
        <v>6736</v>
      </c>
      <c r="O1375" t="s">
        <v>6763</v>
      </c>
      <c r="P1375" t="s">
        <v>5697</v>
      </c>
      <c r="R1375" t="s">
        <v>6793</v>
      </c>
      <c r="U1375">
        <v>1500</v>
      </c>
      <c r="V1375" t="s">
        <v>6833</v>
      </c>
      <c r="Y1375" t="s">
        <v>8159</v>
      </c>
      <c r="AA1375" t="s">
        <v>10195</v>
      </c>
      <c r="AB1375">
        <v>0</v>
      </c>
      <c r="AC1375" t="s">
        <v>10929</v>
      </c>
      <c r="AE1375">
        <v>0</v>
      </c>
      <c r="AF1375">
        <v>2</v>
      </c>
      <c r="AG1375">
        <v>0</v>
      </c>
      <c r="AH1375">
        <v>123</v>
      </c>
      <c r="AK1375" t="s">
        <v>10966</v>
      </c>
      <c r="AL1375">
        <v>20800</v>
      </c>
      <c r="AR1375">
        <v>1</v>
      </c>
      <c r="AS1375" t="s">
        <v>6817</v>
      </c>
      <c r="AT1375" t="s">
        <v>288</v>
      </c>
      <c r="AU1375" t="s">
        <v>11228</v>
      </c>
      <c r="AV1375" t="s">
        <v>11231</v>
      </c>
      <c r="AW1375" t="s">
        <v>11131</v>
      </c>
    </row>
    <row r="1376" spans="1:49">
      <c r="A1376" s="1">
        <f>HYPERLINK("https://lsnyc.legalserver.org/matter/dynamic-profile/view/1905775","19-1905775")</f>
        <v>0</v>
      </c>
      <c r="B1376" t="s">
        <v>170</v>
      </c>
      <c r="C1376" t="s">
        <v>1212</v>
      </c>
      <c r="D1376" t="s">
        <v>2581</v>
      </c>
      <c r="E1376" t="s">
        <v>4326</v>
      </c>
      <c r="F1376" t="s">
        <v>5497</v>
      </c>
      <c r="G1376" t="s">
        <v>5638</v>
      </c>
      <c r="H1376">
        <v>10027</v>
      </c>
      <c r="I1376" t="s">
        <v>5695</v>
      </c>
      <c r="J1376" t="s">
        <v>5696</v>
      </c>
      <c r="K1376" t="s">
        <v>6368</v>
      </c>
      <c r="L1376" t="s">
        <v>6714</v>
      </c>
      <c r="M1376" t="s">
        <v>6736</v>
      </c>
      <c r="O1376" t="s">
        <v>6749</v>
      </c>
      <c r="P1376" t="s">
        <v>5697</v>
      </c>
      <c r="R1376" t="s">
        <v>6794</v>
      </c>
      <c r="T1376" t="s">
        <v>6823</v>
      </c>
      <c r="U1376">
        <v>903</v>
      </c>
      <c r="V1376" t="s">
        <v>6836</v>
      </c>
      <c r="W1376" t="s">
        <v>6840</v>
      </c>
      <c r="Y1376" t="s">
        <v>8160</v>
      </c>
      <c r="Z1376" t="s">
        <v>9025</v>
      </c>
      <c r="AA1376" t="s">
        <v>10196</v>
      </c>
      <c r="AB1376">
        <v>814</v>
      </c>
      <c r="AC1376" t="s">
        <v>10931</v>
      </c>
      <c r="AD1376" t="s">
        <v>5741</v>
      </c>
      <c r="AE1376">
        <v>-1</v>
      </c>
      <c r="AF1376">
        <v>1</v>
      </c>
      <c r="AG1376">
        <v>1</v>
      </c>
      <c r="AH1376">
        <v>56.35</v>
      </c>
      <c r="AK1376" t="s">
        <v>10966</v>
      </c>
      <c r="AL1376">
        <v>9528</v>
      </c>
      <c r="AR1376">
        <v>1</v>
      </c>
      <c r="AS1376" t="s">
        <v>6823</v>
      </c>
      <c r="AT1376" t="s">
        <v>11218</v>
      </c>
      <c r="AU1376" t="s">
        <v>11229</v>
      </c>
      <c r="AV1376" t="s">
        <v>11231</v>
      </c>
      <c r="AW1376" t="s">
        <v>6823</v>
      </c>
    </row>
    <row r="1377" spans="1:49">
      <c r="A1377" s="1">
        <f>HYPERLINK("https://lsnyc.legalserver.org/matter/dynamic-profile/view/1896882","19-1896882")</f>
        <v>0</v>
      </c>
      <c r="B1377" t="s">
        <v>275</v>
      </c>
      <c r="C1377" t="s">
        <v>1213</v>
      </c>
      <c r="D1377" t="s">
        <v>1423</v>
      </c>
      <c r="E1377" t="s">
        <v>4327</v>
      </c>
      <c r="F1377" t="s">
        <v>5498</v>
      </c>
      <c r="G1377" t="s">
        <v>5637</v>
      </c>
      <c r="H1377">
        <v>11225</v>
      </c>
      <c r="I1377" t="s">
        <v>5697</v>
      </c>
      <c r="J1377" t="s">
        <v>5697</v>
      </c>
      <c r="K1377" t="s">
        <v>6369</v>
      </c>
      <c r="L1377" t="s">
        <v>6714</v>
      </c>
      <c r="M1377" t="s">
        <v>6736</v>
      </c>
      <c r="O1377" t="s">
        <v>6755</v>
      </c>
      <c r="R1377" t="s">
        <v>6793</v>
      </c>
      <c r="U1377">
        <v>975.76</v>
      </c>
      <c r="V1377" t="s">
        <v>6835</v>
      </c>
      <c r="W1377" t="s">
        <v>6843</v>
      </c>
      <c r="Y1377" t="s">
        <v>8161</v>
      </c>
      <c r="AA1377" t="s">
        <v>10197</v>
      </c>
      <c r="AB1377">
        <v>60</v>
      </c>
      <c r="AC1377" t="s">
        <v>10929</v>
      </c>
      <c r="AD1377" t="s">
        <v>10946</v>
      </c>
      <c r="AE1377">
        <v>21</v>
      </c>
      <c r="AF1377">
        <v>1</v>
      </c>
      <c r="AG1377">
        <v>3</v>
      </c>
      <c r="AH1377">
        <v>0</v>
      </c>
      <c r="AK1377" t="s">
        <v>10966</v>
      </c>
      <c r="AL1377">
        <v>0</v>
      </c>
      <c r="AR1377">
        <v>6.4</v>
      </c>
      <c r="AS1377" t="s">
        <v>11140</v>
      </c>
      <c r="AT1377" t="s">
        <v>11190</v>
      </c>
      <c r="AV1377" t="s">
        <v>11231</v>
      </c>
      <c r="AW1377" t="s">
        <v>11130</v>
      </c>
    </row>
    <row r="1378" spans="1:49">
      <c r="A1378" s="1">
        <f>HYPERLINK("https://lsnyc.legalserver.org/matter/dynamic-profile/view/1902338","19-1902338")</f>
        <v>0</v>
      </c>
      <c r="B1378" t="s">
        <v>204</v>
      </c>
      <c r="C1378" t="s">
        <v>472</v>
      </c>
      <c r="D1378" t="s">
        <v>2113</v>
      </c>
      <c r="E1378" t="s">
        <v>4328</v>
      </c>
      <c r="G1378" t="s">
        <v>5647</v>
      </c>
      <c r="H1378">
        <v>11691</v>
      </c>
      <c r="I1378" t="s">
        <v>5695</v>
      </c>
      <c r="J1378" t="s">
        <v>5696</v>
      </c>
      <c r="K1378" t="s">
        <v>6370</v>
      </c>
      <c r="L1378" t="s">
        <v>6714</v>
      </c>
      <c r="M1378" t="s">
        <v>6736</v>
      </c>
      <c r="O1378" t="s">
        <v>6745</v>
      </c>
      <c r="P1378" t="s">
        <v>5697</v>
      </c>
      <c r="R1378" t="s">
        <v>6793</v>
      </c>
      <c r="S1378" t="s">
        <v>6801</v>
      </c>
      <c r="T1378" t="s">
        <v>6815</v>
      </c>
      <c r="U1378">
        <v>1075</v>
      </c>
      <c r="V1378" t="s">
        <v>6837</v>
      </c>
      <c r="W1378" t="s">
        <v>6841</v>
      </c>
      <c r="Y1378" t="s">
        <v>8162</v>
      </c>
      <c r="AA1378" t="s">
        <v>10198</v>
      </c>
      <c r="AB1378">
        <v>0</v>
      </c>
      <c r="AE1378">
        <v>3</v>
      </c>
      <c r="AF1378">
        <v>1</v>
      </c>
      <c r="AG1378">
        <v>0</v>
      </c>
      <c r="AH1378">
        <v>258.54</v>
      </c>
      <c r="AK1378" t="s">
        <v>10967</v>
      </c>
      <c r="AL1378">
        <v>32292</v>
      </c>
      <c r="AR1378">
        <v>0.5</v>
      </c>
      <c r="AS1378" t="s">
        <v>6815</v>
      </c>
      <c r="AT1378" t="s">
        <v>247</v>
      </c>
      <c r="AU1378" t="s">
        <v>11228</v>
      </c>
      <c r="AV1378" t="s">
        <v>11231</v>
      </c>
      <c r="AW1378" t="s">
        <v>11140</v>
      </c>
    </row>
    <row r="1379" spans="1:49">
      <c r="A1379" s="1">
        <f>HYPERLINK("https://lsnyc.legalserver.org/matter/dynamic-profile/view/1900489","19-1900489")</f>
        <v>0</v>
      </c>
      <c r="B1379" t="s">
        <v>220</v>
      </c>
      <c r="C1379" t="s">
        <v>1071</v>
      </c>
      <c r="D1379" t="s">
        <v>2582</v>
      </c>
      <c r="E1379" t="s">
        <v>4329</v>
      </c>
      <c r="F1379">
        <v>323</v>
      </c>
      <c r="G1379" t="s">
        <v>5635</v>
      </c>
      <c r="H1379">
        <v>10457</v>
      </c>
      <c r="I1379" t="s">
        <v>5695</v>
      </c>
      <c r="J1379" t="s">
        <v>5696</v>
      </c>
      <c r="K1379" t="s">
        <v>6371</v>
      </c>
      <c r="L1379" t="s">
        <v>6714</v>
      </c>
      <c r="M1379" t="s">
        <v>6736</v>
      </c>
      <c r="O1379" t="s">
        <v>6763</v>
      </c>
      <c r="R1379" t="s">
        <v>6793</v>
      </c>
      <c r="U1379">
        <v>2393</v>
      </c>
      <c r="V1379" t="s">
        <v>6833</v>
      </c>
      <c r="Y1379" t="s">
        <v>8163</v>
      </c>
      <c r="Z1379" t="s">
        <v>9026</v>
      </c>
      <c r="AA1379" t="s">
        <v>10199</v>
      </c>
      <c r="AB1379">
        <v>0</v>
      </c>
      <c r="AC1379" t="s">
        <v>10941</v>
      </c>
      <c r="AD1379" t="s">
        <v>10944</v>
      </c>
      <c r="AE1379">
        <v>30</v>
      </c>
      <c r="AF1379">
        <v>2</v>
      </c>
      <c r="AG1379">
        <v>0</v>
      </c>
      <c r="AH1379">
        <v>14.76</v>
      </c>
      <c r="AK1379" t="s">
        <v>10966</v>
      </c>
      <c r="AL1379">
        <v>2496</v>
      </c>
      <c r="AR1379">
        <v>3.35</v>
      </c>
      <c r="AS1379" t="s">
        <v>6820</v>
      </c>
      <c r="AT1379" t="s">
        <v>288</v>
      </c>
      <c r="AU1379" t="s">
        <v>11228</v>
      </c>
      <c r="AV1379" t="s">
        <v>11231</v>
      </c>
      <c r="AW1379" t="s">
        <v>11160</v>
      </c>
    </row>
    <row r="1380" spans="1:49">
      <c r="A1380" s="1">
        <f>HYPERLINK("https://lsnyc.legalserver.org/matter/dynamic-profile/view/1904403","19-1904403")</f>
        <v>0</v>
      </c>
      <c r="B1380" t="s">
        <v>258</v>
      </c>
      <c r="C1380" t="s">
        <v>1214</v>
      </c>
      <c r="D1380" t="s">
        <v>2583</v>
      </c>
      <c r="E1380" t="s">
        <v>4330</v>
      </c>
      <c r="F1380" t="s">
        <v>5499</v>
      </c>
      <c r="G1380" t="s">
        <v>5638</v>
      </c>
      <c r="H1380">
        <v>10026</v>
      </c>
      <c r="I1380" t="s">
        <v>5695</v>
      </c>
      <c r="J1380" t="s">
        <v>5696</v>
      </c>
      <c r="K1380" t="s">
        <v>6372</v>
      </c>
      <c r="L1380" t="s">
        <v>6714</v>
      </c>
      <c r="M1380" t="s">
        <v>6736</v>
      </c>
      <c r="O1380" t="s">
        <v>6749</v>
      </c>
      <c r="P1380" t="s">
        <v>5697</v>
      </c>
      <c r="R1380" t="s">
        <v>6793</v>
      </c>
      <c r="T1380" t="s">
        <v>6815</v>
      </c>
      <c r="U1380">
        <v>644</v>
      </c>
      <c r="V1380" t="s">
        <v>6836</v>
      </c>
      <c r="W1380" t="s">
        <v>6839</v>
      </c>
      <c r="Y1380" t="s">
        <v>8164</v>
      </c>
      <c r="AA1380" t="s">
        <v>10200</v>
      </c>
      <c r="AB1380">
        <v>0</v>
      </c>
      <c r="AC1380" t="s">
        <v>10938</v>
      </c>
      <c r="AD1380" t="s">
        <v>5741</v>
      </c>
      <c r="AE1380">
        <v>21</v>
      </c>
      <c r="AF1380">
        <v>1</v>
      </c>
      <c r="AG1380">
        <v>0</v>
      </c>
      <c r="AH1380">
        <v>96.08</v>
      </c>
      <c r="AK1380" t="s">
        <v>10966</v>
      </c>
      <c r="AL1380">
        <v>12000</v>
      </c>
      <c r="AR1380">
        <v>0</v>
      </c>
      <c r="AT1380" t="s">
        <v>11218</v>
      </c>
      <c r="AU1380" t="s">
        <v>11228</v>
      </c>
      <c r="AV1380" t="s">
        <v>11231</v>
      </c>
      <c r="AW1380" t="s">
        <v>6815</v>
      </c>
    </row>
    <row r="1381" spans="1:49">
      <c r="A1381" s="1">
        <f>HYPERLINK("https://lsnyc.legalserver.org/matter/dynamic-profile/view/1900369","19-1900369")</f>
        <v>0</v>
      </c>
      <c r="B1381" t="s">
        <v>237</v>
      </c>
      <c r="C1381" t="s">
        <v>1215</v>
      </c>
      <c r="D1381" t="s">
        <v>2584</v>
      </c>
      <c r="E1381" t="s">
        <v>4331</v>
      </c>
      <c r="F1381" t="s">
        <v>5187</v>
      </c>
      <c r="G1381" t="s">
        <v>5644</v>
      </c>
      <c r="H1381">
        <v>11435</v>
      </c>
      <c r="I1381" t="s">
        <v>5696</v>
      </c>
      <c r="J1381" t="s">
        <v>5696</v>
      </c>
      <c r="L1381" t="s">
        <v>6714</v>
      </c>
      <c r="M1381" t="s">
        <v>6736</v>
      </c>
      <c r="O1381" t="s">
        <v>6770</v>
      </c>
      <c r="R1381" t="s">
        <v>6793</v>
      </c>
      <c r="U1381">
        <v>1025</v>
      </c>
      <c r="V1381" t="s">
        <v>6837</v>
      </c>
      <c r="W1381" t="s">
        <v>6852</v>
      </c>
      <c r="Y1381" t="s">
        <v>8165</v>
      </c>
      <c r="AA1381" t="s">
        <v>10201</v>
      </c>
      <c r="AB1381">
        <v>60</v>
      </c>
      <c r="AC1381" t="s">
        <v>10929</v>
      </c>
      <c r="AE1381">
        <v>25</v>
      </c>
      <c r="AF1381">
        <v>1</v>
      </c>
      <c r="AG1381">
        <v>0</v>
      </c>
      <c r="AH1381">
        <v>32.03</v>
      </c>
      <c r="AK1381" t="s">
        <v>10967</v>
      </c>
      <c r="AL1381">
        <v>4000</v>
      </c>
      <c r="AR1381">
        <v>18.7</v>
      </c>
      <c r="AS1381" t="s">
        <v>6824</v>
      </c>
      <c r="AT1381" t="s">
        <v>237</v>
      </c>
      <c r="AV1381" t="s">
        <v>11231</v>
      </c>
      <c r="AW1381" t="s">
        <v>11155</v>
      </c>
    </row>
    <row r="1382" spans="1:49">
      <c r="A1382" s="1">
        <f>HYPERLINK("https://lsnyc.legalserver.org/matter/dynamic-profile/view/1903144","19-1903144")</f>
        <v>0</v>
      </c>
      <c r="B1382" t="s">
        <v>56</v>
      </c>
      <c r="C1382" t="s">
        <v>325</v>
      </c>
      <c r="D1382" t="s">
        <v>2585</v>
      </c>
      <c r="E1382" t="s">
        <v>4332</v>
      </c>
      <c r="F1382" t="s">
        <v>5099</v>
      </c>
      <c r="G1382" t="s">
        <v>5637</v>
      </c>
      <c r="H1382">
        <v>11226</v>
      </c>
      <c r="I1382" t="s">
        <v>5696</v>
      </c>
      <c r="J1382" t="s">
        <v>5696</v>
      </c>
      <c r="K1382" t="s">
        <v>6373</v>
      </c>
      <c r="L1382" t="s">
        <v>6714</v>
      </c>
      <c r="M1382" t="s">
        <v>6736</v>
      </c>
      <c r="O1382" t="s">
        <v>6758</v>
      </c>
      <c r="R1382" t="s">
        <v>6793</v>
      </c>
      <c r="U1382">
        <v>1323</v>
      </c>
      <c r="V1382" t="s">
        <v>6835</v>
      </c>
      <c r="W1382" t="s">
        <v>6843</v>
      </c>
      <c r="Y1382" t="s">
        <v>8051</v>
      </c>
      <c r="AA1382" t="s">
        <v>10202</v>
      </c>
      <c r="AB1382">
        <v>36</v>
      </c>
      <c r="AC1382" t="s">
        <v>8953</v>
      </c>
      <c r="AD1382" t="s">
        <v>10944</v>
      </c>
      <c r="AE1382">
        <v>9</v>
      </c>
      <c r="AF1382">
        <v>1</v>
      </c>
      <c r="AG1382">
        <v>0</v>
      </c>
      <c r="AH1382">
        <v>336.29</v>
      </c>
      <c r="AK1382" t="s">
        <v>10966</v>
      </c>
      <c r="AL1382">
        <v>42003</v>
      </c>
      <c r="AR1382">
        <v>14.6</v>
      </c>
      <c r="AS1382" t="s">
        <v>6821</v>
      </c>
      <c r="AT1382" t="s">
        <v>11180</v>
      </c>
      <c r="AV1382" t="s">
        <v>11231</v>
      </c>
      <c r="AW1382" t="s">
        <v>10953</v>
      </c>
    </row>
    <row r="1383" spans="1:49">
      <c r="A1383" s="1">
        <f>HYPERLINK("https://lsnyc.legalserver.org/matter/dynamic-profile/view/1905430","19-1905430")</f>
        <v>0</v>
      </c>
      <c r="B1383" t="s">
        <v>103</v>
      </c>
      <c r="C1383" t="s">
        <v>1216</v>
      </c>
      <c r="D1383" t="s">
        <v>2024</v>
      </c>
      <c r="E1383" t="s">
        <v>4333</v>
      </c>
      <c r="F1383" t="s">
        <v>5162</v>
      </c>
      <c r="G1383" t="s">
        <v>5635</v>
      </c>
      <c r="H1383">
        <v>10457</v>
      </c>
      <c r="I1383" t="s">
        <v>5695</v>
      </c>
      <c r="J1383" t="s">
        <v>5696</v>
      </c>
      <c r="K1383" t="s">
        <v>6374</v>
      </c>
      <c r="L1383" t="s">
        <v>6714</v>
      </c>
      <c r="M1383" t="s">
        <v>6736</v>
      </c>
      <c r="O1383" t="s">
        <v>6747</v>
      </c>
      <c r="P1383" t="s">
        <v>5697</v>
      </c>
      <c r="R1383" t="s">
        <v>6793</v>
      </c>
      <c r="T1383" t="s">
        <v>6822</v>
      </c>
      <c r="U1383">
        <v>1500</v>
      </c>
      <c r="V1383" t="s">
        <v>6833</v>
      </c>
      <c r="W1383" t="s">
        <v>6839</v>
      </c>
      <c r="Y1383" t="s">
        <v>8166</v>
      </c>
      <c r="AA1383" t="s">
        <v>10203</v>
      </c>
      <c r="AB1383">
        <v>152</v>
      </c>
      <c r="AC1383" t="s">
        <v>10929</v>
      </c>
      <c r="AD1383" t="s">
        <v>10944</v>
      </c>
      <c r="AE1383">
        <v>6</v>
      </c>
      <c r="AF1383">
        <v>1</v>
      </c>
      <c r="AG1383">
        <v>2</v>
      </c>
      <c r="AH1383">
        <v>40.56</v>
      </c>
      <c r="AK1383" t="s">
        <v>10966</v>
      </c>
      <c r="AL1383">
        <v>8652</v>
      </c>
      <c r="AR1383">
        <v>0.4</v>
      </c>
      <c r="AS1383" t="s">
        <v>6819</v>
      </c>
      <c r="AT1383" t="s">
        <v>11187</v>
      </c>
      <c r="AU1383" t="s">
        <v>11228</v>
      </c>
      <c r="AV1383" t="s">
        <v>11231</v>
      </c>
      <c r="AW1383" t="s">
        <v>6822</v>
      </c>
    </row>
    <row r="1384" spans="1:49">
      <c r="A1384" s="1">
        <f>HYPERLINK("https://lsnyc.legalserver.org/matter/dynamic-profile/view/1904790","19-1904790")</f>
        <v>0</v>
      </c>
      <c r="B1384" t="s">
        <v>82</v>
      </c>
      <c r="C1384" t="s">
        <v>1217</v>
      </c>
      <c r="D1384" t="s">
        <v>2586</v>
      </c>
      <c r="E1384" t="s">
        <v>4334</v>
      </c>
      <c r="F1384" t="s">
        <v>5158</v>
      </c>
      <c r="G1384" t="s">
        <v>5637</v>
      </c>
      <c r="H1384">
        <v>11218</v>
      </c>
      <c r="I1384" t="s">
        <v>5695</v>
      </c>
      <c r="J1384" t="s">
        <v>5696</v>
      </c>
      <c r="K1384" t="s">
        <v>6375</v>
      </c>
      <c r="L1384" t="s">
        <v>6714</v>
      </c>
      <c r="M1384" t="s">
        <v>6736</v>
      </c>
      <c r="O1384" t="s">
        <v>6746</v>
      </c>
      <c r="R1384" t="s">
        <v>6793</v>
      </c>
      <c r="U1384">
        <v>1500</v>
      </c>
      <c r="V1384" t="s">
        <v>6835</v>
      </c>
      <c r="W1384" t="s">
        <v>6840</v>
      </c>
      <c r="Y1384" t="s">
        <v>8167</v>
      </c>
      <c r="AA1384" t="s">
        <v>10204</v>
      </c>
      <c r="AB1384">
        <v>57</v>
      </c>
      <c r="AE1384">
        <v>13</v>
      </c>
      <c r="AF1384">
        <v>1</v>
      </c>
      <c r="AG1384">
        <v>0</v>
      </c>
      <c r="AH1384">
        <v>0</v>
      </c>
      <c r="AL1384">
        <v>0</v>
      </c>
      <c r="AR1384">
        <v>4.1</v>
      </c>
      <c r="AS1384" t="s">
        <v>6823</v>
      </c>
      <c r="AT1384" t="s">
        <v>11178</v>
      </c>
      <c r="AU1384" t="s">
        <v>11228</v>
      </c>
      <c r="AV1384" t="s">
        <v>11231</v>
      </c>
      <c r="AW1384" t="s">
        <v>6816</v>
      </c>
    </row>
    <row r="1385" spans="1:49">
      <c r="A1385" s="1">
        <f>HYPERLINK("https://lsnyc.legalserver.org/matter/dynamic-profile/view/1904749","19-1904749")</f>
        <v>0</v>
      </c>
      <c r="B1385" t="s">
        <v>218</v>
      </c>
      <c r="C1385" t="s">
        <v>893</v>
      </c>
      <c r="D1385" t="s">
        <v>2587</v>
      </c>
      <c r="E1385" t="s">
        <v>4335</v>
      </c>
      <c r="F1385" t="s">
        <v>5148</v>
      </c>
      <c r="G1385" t="s">
        <v>5635</v>
      </c>
      <c r="H1385">
        <v>10462</v>
      </c>
      <c r="I1385" t="s">
        <v>5695</v>
      </c>
      <c r="J1385" t="s">
        <v>5696</v>
      </c>
      <c r="K1385" t="s">
        <v>6376</v>
      </c>
      <c r="L1385" t="s">
        <v>6714</v>
      </c>
      <c r="M1385" t="s">
        <v>6736</v>
      </c>
      <c r="O1385" t="s">
        <v>6763</v>
      </c>
      <c r="P1385" t="s">
        <v>5697</v>
      </c>
      <c r="R1385" t="s">
        <v>6793</v>
      </c>
      <c r="T1385" t="s">
        <v>6815</v>
      </c>
      <c r="U1385">
        <v>1173.94</v>
      </c>
      <c r="V1385" t="s">
        <v>6833</v>
      </c>
      <c r="W1385" t="s">
        <v>6839</v>
      </c>
      <c r="Y1385" t="s">
        <v>8168</v>
      </c>
      <c r="Z1385" t="s">
        <v>9027</v>
      </c>
      <c r="AA1385" t="s">
        <v>10205</v>
      </c>
      <c r="AB1385">
        <v>0</v>
      </c>
      <c r="AC1385" t="s">
        <v>10934</v>
      </c>
      <c r="AD1385" t="s">
        <v>10944</v>
      </c>
      <c r="AE1385">
        <v>10</v>
      </c>
      <c r="AF1385">
        <v>2</v>
      </c>
      <c r="AG1385">
        <v>1</v>
      </c>
      <c r="AH1385">
        <v>105.8</v>
      </c>
      <c r="AK1385" t="s">
        <v>10966</v>
      </c>
      <c r="AL1385">
        <v>22568</v>
      </c>
      <c r="AR1385">
        <v>1</v>
      </c>
      <c r="AS1385" t="s">
        <v>6808</v>
      </c>
      <c r="AT1385" t="s">
        <v>11222</v>
      </c>
      <c r="AU1385" t="s">
        <v>11229</v>
      </c>
      <c r="AV1385" t="s">
        <v>11231</v>
      </c>
      <c r="AW1385" t="s">
        <v>6815</v>
      </c>
    </row>
    <row r="1386" spans="1:49">
      <c r="A1386" s="1">
        <f>HYPERLINK("https://lsnyc.legalserver.org/matter/dynamic-profile/view/1900456","19-1900456")</f>
        <v>0</v>
      </c>
      <c r="B1386" t="s">
        <v>200</v>
      </c>
      <c r="C1386" t="s">
        <v>1218</v>
      </c>
      <c r="D1386" t="s">
        <v>2588</v>
      </c>
      <c r="E1386" t="s">
        <v>4336</v>
      </c>
      <c r="F1386" t="s">
        <v>5500</v>
      </c>
      <c r="G1386" t="s">
        <v>5646</v>
      </c>
      <c r="H1386">
        <v>11367</v>
      </c>
      <c r="I1386" t="s">
        <v>5695</v>
      </c>
      <c r="J1386" t="s">
        <v>5696</v>
      </c>
      <c r="K1386" t="s">
        <v>6377</v>
      </c>
      <c r="L1386" t="s">
        <v>6714</v>
      </c>
      <c r="M1386" t="s">
        <v>6736</v>
      </c>
      <c r="O1386" t="s">
        <v>6750</v>
      </c>
      <c r="P1386" t="s">
        <v>5697</v>
      </c>
      <c r="R1386" t="s">
        <v>6793</v>
      </c>
      <c r="S1386" t="s">
        <v>6801</v>
      </c>
      <c r="U1386">
        <v>1396.94</v>
      </c>
      <c r="V1386" t="s">
        <v>6837</v>
      </c>
      <c r="Y1386" t="s">
        <v>8169</v>
      </c>
      <c r="AA1386" t="s">
        <v>10206</v>
      </c>
      <c r="AB1386">
        <v>174</v>
      </c>
      <c r="AC1386" t="s">
        <v>10929</v>
      </c>
      <c r="AE1386">
        <v>6</v>
      </c>
      <c r="AF1386">
        <v>1</v>
      </c>
      <c r="AG1386">
        <v>0</v>
      </c>
      <c r="AH1386">
        <v>117.12</v>
      </c>
      <c r="AK1386" t="s">
        <v>10966</v>
      </c>
      <c r="AL1386">
        <v>14628</v>
      </c>
      <c r="AR1386">
        <v>19.55</v>
      </c>
      <c r="AS1386" t="s">
        <v>6811</v>
      </c>
      <c r="AT1386" t="s">
        <v>80</v>
      </c>
      <c r="AU1386" t="s">
        <v>11228</v>
      </c>
      <c r="AV1386" t="s">
        <v>11231</v>
      </c>
      <c r="AW1386" t="s">
        <v>11160</v>
      </c>
    </row>
    <row r="1387" spans="1:49">
      <c r="A1387" s="1">
        <f>HYPERLINK("https://lsnyc.legalserver.org/matter/dynamic-profile/view/1900189","19-1900189")</f>
        <v>0</v>
      </c>
      <c r="B1387" t="s">
        <v>118</v>
      </c>
      <c r="C1387" t="s">
        <v>1219</v>
      </c>
      <c r="D1387" t="s">
        <v>2589</v>
      </c>
      <c r="E1387" t="s">
        <v>4337</v>
      </c>
      <c r="F1387" t="s">
        <v>5501</v>
      </c>
      <c r="G1387" t="s">
        <v>5637</v>
      </c>
      <c r="H1387">
        <v>11204</v>
      </c>
      <c r="I1387" t="s">
        <v>5695</v>
      </c>
      <c r="J1387" t="s">
        <v>5696</v>
      </c>
      <c r="K1387" t="s">
        <v>6378</v>
      </c>
      <c r="L1387" t="s">
        <v>6714</v>
      </c>
      <c r="M1387" t="s">
        <v>6736</v>
      </c>
      <c r="O1387" t="s">
        <v>6786</v>
      </c>
      <c r="R1387" t="s">
        <v>6793</v>
      </c>
      <c r="U1387">
        <v>996</v>
      </c>
      <c r="V1387" t="s">
        <v>6835</v>
      </c>
      <c r="Y1387" t="s">
        <v>8170</v>
      </c>
      <c r="AA1387" t="s">
        <v>10207</v>
      </c>
      <c r="AB1387">
        <v>60</v>
      </c>
      <c r="AE1387">
        <v>10</v>
      </c>
      <c r="AF1387">
        <v>1</v>
      </c>
      <c r="AG1387">
        <v>0</v>
      </c>
      <c r="AH1387">
        <v>187.35</v>
      </c>
      <c r="AK1387" t="s">
        <v>10966</v>
      </c>
      <c r="AL1387">
        <v>23400</v>
      </c>
      <c r="AR1387">
        <v>12.8</v>
      </c>
      <c r="AS1387" t="s">
        <v>6813</v>
      </c>
      <c r="AT1387" t="s">
        <v>11192</v>
      </c>
      <c r="AU1387" t="s">
        <v>11228</v>
      </c>
      <c r="AV1387" t="s">
        <v>11231</v>
      </c>
      <c r="AW1387" t="s">
        <v>11127</v>
      </c>
    </row>
    <row r="1388" spans="1:49">
      <c r="A1388" s="1">
        <f>HYPERLINK("https://lsnyc.legalserver.org/matter/dynamic-profile/view/1900235","19-1900235")</f>
        <v>0</v>
      </c>
      <c r="B1388" t="s">
        <v>99</v>
      </c>
      <c r="C1388" t="s">
        <v>1220</v>
      </c>
      <c r="D1388" t="s">
        <v>2020</v>
      </c>
      <c r="E1388" t="s">
        <v>4338</v>
      </c>
      <c r="F1388" t="s">
        <v>5502</v>
      </c>
      <c r="G1388" t="s">
        <v>5637</v>
      </c>
      <c r="H1388">
        <v>11204</v>
      </c>
      <c r="I1388" t="s">
        <v>5695</v>
      </c>
      <c r="J1388" t="s">
        <v>5696</v>
      </c>
      <c r="K1388" t="s">
        <v>6379</v>
      </c>
      <c r="L1388" t="s">
        <v>6714</v>
      </c>
      <c r="M1388" t="s">
        <v>6736</v>
      </c>
      <c r="O1388" t="s">
        <v>6754</v>
      </c>
      <c r="R1388" t="s">
        <v>6793</v>
      </c>
      <c r="U1388">
        <v>689.02</v>
      </c>
      <c r="V1388" t="s">
        <v>6835</v>
      </c>
      <c r="W1388" t="s">
        <v>6843</v>
      </c>
      <c r="Y1388" t="s">
        <v>8171</v>
      </c>
      <c r="AA1388" t="s">
        <v>10208</v>
      </c>
      <c r="AB1388">
        <v>4</v>
      </c>
      <c r="AC1388" t="s">
        <v>10929</v>
      </c>
      <c r="AE1388">
        <v>38</v>
      </c>
      <c r="AF1388">
        <v>1</v>
      </c>
      <c r="AG1388">
        <v>0</v>
      </c>
      <c r="AH1388">
        <v>156.22</v>
      </c>
      <c r="AK1388" t="s">
        <v>10967</v>
      </c>
      <c r="AL1388">
        <v>19512</v>
      </c>
      <c r="AR1388">
        <v>9.050000000000001</v>
      </c>
      <c r="AS1388" t="s">
        <v>6812</v>
      </c>
      <c r="AT1388" t="s">
        <v>11198</v>
      </c>
      <c r="AU1388" t="s">
        <v>11228</v>
      </c>
      <c r="AV1388" t="s">
        <v>11231</v>
      </c>
      <c r="AW1388" t="s">
        <v>11127</v>
      </c>
    </row>
    <row r="1389" spans="1:49">
      <c r="A1389" s="1">
        <f>HYPERLINK("https://lsnyc.legalserver.org/matter/dynamic-profile/view/1904771","19-1904771")</f>
        <v>0</v>
      </c>
      <c r="B1389" t="s">
        <v>66</v>
      </c>
      <c r="C1389" t="s">
        <v>392</v>
      </c>
      <c r="D1389" t="s">
        <v>1375</v>
      </c>
      <c r="E1389" t="s">
        <v>4339</v>
      </c>
      <c r="F1389" t="s">
        <v>5116</v>
      </c>
      <c r="G1389" t="s">
        <v>5635</v>
      </c>
      <c r="H1389">
        <v>10457</v>
      </c>
      <c r="I1389" t="s">
        <v>5695</v>
      </c>
      <c r="J1389" t="s">
        <v>5696</v>
      </c>
      <c r="K1389" t="s">
        <v>6380</v>
      </c>
      <c r="L1389" t="s">
        <v>6714</v>
      </c>
      <c r="M1389" t="s">
        <v>6736</v>
      </c>
      <c r="O1389" t="s">
        <v>6747</v>
      </c>
      <c r="P1389" t="s">
        <v>5697</v>
      </c>
      <c r="R1389" t="s">
        <v>6793</v>
      </c>
      <c r="U1389">
        <v>848.87</v>
      </c>
      <c r="V1389" t="s">
        <v>6833</v>
      </c>
      <c r="W1389" t="s">
        <v>6841</v>
      </c>
      <c r="Y1389" t="s">
        <v>8172</v>
      </c>
      <c r="AA1389" t="s">
        <v>10209</v>
      </c>
      <c r="AB1389">
        <v>48</v>
      </c>
      <c r="AC1389" t="s">
        <v>10929</v>
      </c>
      <c r="AD1389" t="s">
        <v>10944</v>
      </c>
      <c r="AE1389">
        <v>45</v>
      </c>
      <c r="AF1389">
        <v>2</v>
      </c>
      <c r="AG1389">
        <v>2</v>
      </c>
      <c r="AH1389">
        <v>35.93</v>
      </c>
      <c r="AK1389" t="s">
        <v>10966</v>
      </c>
      <c r="AL1389">
        <v>9252</v>
      </c>
      <c r="AR1389">
        <v>0.8</v>
      </c>
      <c r="AS1389" t="s">
        <v>6819</v>
      </c>
      <c r="AT1389" t="s">
        <v>11187</v>
      </c>
      <c r="AU1389" t="s">
        <v>11229</v>
      </c>
      <c r="AV1389" t="s">
        <v>11231</v>
      </c>
      <c r="AW1389" t="s">
        <v>6816</v>
      </c>
    </row>
    <row r="1390" spans="1:49">
      <c r="A1390" s="1">
        <f>HYPERLINK("https://lsnyc.legalserver.org/matter/dynamic-profile/view/1897901","19-1897901")</f>
        <v>0</v>
      </c>
      <c r="B1390" t="s">
        <v>233</v>
      </c>
      <c r="C1390" t="s">
        <v>1221</v>
      </c>
      <c r="D1390" t="s">
        <v>1746</v>
      </c>
      <c r="E1390" t="s">
        <v>4340</v>
      </c>
      <c r="F1390">
        <v>3</v>
      </c>
      <c r="G1390" t="s">
        <v>5637</v>
      </c>
      <c r="H1390">
        <v>11236</v>
      </c>
      <c r="I1390" t="s">
        <v>5696</v>
      </c>
      <c r="J1390" t="s">
        <v>5696</v>
      </c>
      <c r="K1390" t="s">
        <v>6381</v>
      </c>
      <c r="L1390" t="s">
        <v>6714</v>
      </c>
      <c r="M1390" t="s">
        <v>6736</v>
      </c>
      <c r="O1390" t="s">
        <v>6753</v>
      </c>
      <c r="P1390" t="s">
        <v>5697</v>
      </c>
      <c r="R1390" t="s">
        <v>6793</v>
      </c>
      <c r="S1390" t="s">
        <v>6801</v>
      </c>
      <c r="U1390">
        <v>0</v>
      </c>
      <c r="V1390" t="s">
        <v>6835</v>
      </c>
      <c r="Y1390" t="s">
        <v>8173</v>
      </c>
      <c r="AA1390" t="s">
        <v>10210</v>
      </c>
      <c r="AB1390">
        <v>0</v>
      </c>
      <c r="AC1390" t="s">
        <v>10929</v>
      </c>
      <c r="AE1390">
        <v>11</v>
      </c>
      <c r="AF1390">
        <v>2</v>
      </c>
      <c r="AG1390">
        <v>1</v>
      </c>
      <c r="AH1390">
        <v>304.74</v>
      </c>
      <c r="AI1390" t="s">
        <v>10959</v>
      </c>
      <c r="AJ1390" t="s">
        <v>10963</v>
      </c>
      <c r="AK1390" t="s">
        <v>10966</v>
      </c>
      <c r="AL1390">
        <v>65000</v>
      </c>
      <c r="AR1390">
        <v>22.7</v>
      </c>
      <c r="AS1390" t="s">
        <v>6826</v>
      </c>
      <c r="AT1390" t="s">
        <v>11178</v>
      </c>
      <c r="AV1390" t="s">
        <v>11231</v>
      </c>
      <c r="AW1390" t="s">
        <v>10961</v>
      </c>
    </row>
    <row r="1391" spans="1:49">
      <c r="A1391" s="1">
        <f>HYPERLINK("https://lsnyc.legalserver.org/matter/dynamic-profile/view/1903763","19-1903763")</f>
        <v>0</v>
      </c>
      <c r="B1391" t="s">
        <v>76</v>
      </c>
      <c r="C1391" t="s">
        <v>415</v>
      </c>
      <c r="D1391" t="s">
        <v>2590</v>
      </c>
      <c r="E1391" t="s">
        <v>4341</v>
      </c>
      <c r="F1391" t="s">
        <v>5122</v>
      </c>
      <c r="G1391" t="s">
        <v>5635</v>
      </c>
      <c r="H1391">
        <v>10468</v>
      </c>
      <c r="I1391" t="s">
        <v>5695</v>
      </c>
      <c r="J1391" t="s">
        <v>5696</v>
      </c>
      <c r="K1391" t="s">
        <v>6382</v>
      </c>
      <c r="L1391" t="s">
        <v>6714</v>
      </c>
      <c r="M1391" t="s">
        <v>6736</v>
      </c>
      <c r="O1391" t="s">
        <v>6763</v>
      </c>
      <c r="P1391" t="s">
        <v>5697</v>
      </c>
      <c r="R1391" t="s">
        <v>6793</v>
      </c>
      <c r="S1391" t="s">
        <v>6802</v>
      </c>
      <c r="T1391" t="s">
        <v>6818</v>
      </c>
      <c r="U1391">
        <v>1501</v>
      </c>
      <c r="V1391" t="s">
        <v>6833</v>
      </c>
      <c r="W1391" t="s">
        <v>6839</v>
      </c>
      <c r="Y1391" t="s">
        <v>8174</v>
      </c>
      <c r="Z1391" t="s">
        <v>9028</v>
      </c>
      <c r="AA1391" t="s">
        <v>10211</v>
      </c>
      <c r="AB1391">
        <v>0</v>
      </c>
      <c r="AC1391" t="s">
        <v>10940</v>
      </c>
      <c r="AD1391" t="s">
        <v>10944</v>
      </c>
      <c r="AE1391">
        <v>8</v>
      </c>
      <c r="AF1391">
        <v>1</v>
      </c>
      <c r="AG1391">
        <v>2</v>
      </c>
      <c r="AH1391">
        <v>53.28</v>
      </c>
      <c r="AK1391" t="s">
        <v>10966</v>
      </c>
      <c r="AL1391">
        <v>11364</v>
      </c>
      <c r="AR1391">
        <v>2.5</v>
      </c>
      <c r="AS1391" t="s">
        <v>6820</v>
      </c>
      <c r="AT1391" t="s">
        <v>11222</v>
      </c>
      <c r="AU1391" t="s">
        <v>11229</v>
      </c>
      <c r="AV1391" t="s">
        <v>11231</v>
      </c>
      <c r="AW1391" t="s">
        <v>11144</v>
      </c>
    </row>
    <row r="1392" spans="1:49">
      <c r="A1392" s="1">
        <f>HYPERLINK("https://lsnyc.legalserver.org/matter/dynamic-profile/view/1901641","19-1901641")</f>
        <v>0</v>
      </c>
      <c r="B1392" t="s">
        <v>255</v>
      </c>
      <c r="C1392" t="s">
        <v>491</v>
      </c>
      <c r="D1392" t="s">
        <v>927</v>
      </c>
      <c r="E1392" t="s">
        <v>4342</v>
      </c>
      <c r="F1392" t="s">
        <v>5105</v>
      </c>
      <c r="G1392" t="s">
        <v>5637</v>
      </c>
      <c r="H1392">
        <v>11226</v>
      </c>
      <c r="I1392" t="s">
        <v>5696</v>
      </c>
      <c r="J1392" t="s">
        <v>5696</v>
      </c>
      <c r="K1392" t="s">
        <v>6383</v>
      </c>
      <c r="L1392" t="s">
        <v>6714</v>
      </c>
      <c r="M1392" t="s">
        <v>6736</v>
      </c>
      <c r="O1392" t="s">
        <v>6755</v>
      </c>
      <c r="P1392" t="s">
        <v>5697</v>
      </c>
      <c r="R1392" t="s">
        <v>6793</v>
      </c>
      <c r="S1392" t="s">
        <v>6801</v>
      </c>
      <c r="U1392">
        <v>1378.1</v>
      </c>
      <c r="V1392" t="s">
        <v>6835</v>
      </c>
      <c r="W1392" t="s">
        <v>6843</v>
      </c>
      <c r="Y1392" t="s">
        <v>8175</v>
      </c>
      <c r="AA1392" t="s">
        <v>10212</v>
      </c>
      <c r="AB1392">
        <v>0</v>
      </c>
      <c r="AC1392" t="s">
        <v>10929</v>
      </c>
      <c r="AD1392" t="s">
        <v>10944</v>
      </c>
      <c r="AE1392">
        <v>35</v>
      </c>
      <c r="AF1392">
        <v>2</v>
      </c>
      <c r="AG1392">
        <v>2</v>
      </c>
      <c r="AH1392">
        <v>0</v>
      </c>
      <c r="AK1392" t="s">
        <v>10966</v>
      </c>
      <c r="AL1392">
        <v>0</v>
      </c>
      <c r="AR1392">
        <v>3.7</v>
      </c>
      <c r="AS1392" t="s">
        <v>11138</v>
      </c>
      <c r="AT1392" t="s">
        <v>255</v>
      </c>
      <c r="AV1392" t="s">
        <v>11231</v>
      </c>
      <c r="AW1392" t="s">
        <v>11124</v>
      </c>
    </row>
    <row r="1393" spans="1:49">
      <c r="A1393" s="1">
        <f>HYPERLINK("https://lsnyc.legalserver.org/matter/dynamic-profile/view/1904071","19-1904071")</f>
        <v>0</v>
      </c>
      <c r="B1393" t="s">
        <v>103</v>
      </c>
      <c r="C1393" t="s">
        <v>1222</v>
      </c>
      <c r="D1393" t="s">
        <v>2591</v>
      </c>
      <c r="E1393" t="s">
        <v>4343</v>
      </c>
      <c r="F1393">
        <v>45</v>
      </c>
      <c r="G1393" t="s">
        <v>5635</v>
      </c>
      <c r="H1393">
        <v>10468</v>
      </c>
      <c r="I1393" t="s">
        <v>5695</v>
      </c>
      <c r="J1393" t="s">
        <v>5696</v>
      </c>
      <c r="K1393" t="s">
        <v>6384</v>
      </c>
      <c r="L1393" t="s">
        <v>6714</v>
      </c>
      <c r="M1393" t="s">
        <v>6736</v>
      </c>
      <c r="O1393" t="s">
        <v>6763</v>
      </c>
      <c r="P1393" t="s">
        <v>5697</v>
      </c>
      <c r="R1393" t="s">
        <v>6793</v>
      </c>
      <c r="S1393" t="s">
        <v>6801</v>
      </c>
      <c r="U1393">
        <v>1956</v>
      </c>
      <c r="V1393" t="s">
        <v>6833</v>
      </c>
      <c r="Y1393" t="s">
        <v>8176</v>
      </c>
      <c r="Z1393">
        <v>1674428</v>
      </c>
      <c r="AA1393" t="s">
        <v>10213</v>
      </c>
      <c r="AB1393">
        <v>26</v>
      </c>
      <c r="AC1393" t="s">
        <v>10930</v>
      </c>
      <c r="AD1393" t="s">
        <v>10949</v>
      </c>
      <c r="AE1393">
        <v>3</v>
      </c>
      <c r="AF1393">
        <v>1</v>
      </c>
      <c r="AG1393">
        <v>3</v>
      </c>
      <c r="AH1393">
        <v>16.96</v>
      </c>
      <c r="AL1393">
        <v>4368</v>
      </c>
      <c r="AR1393">
        <v>1.7</v>
      </c>
      <c r="AS1393" t="s">
        <v>6814</v>
      </c>
      <c r="AT1393" t="s">
        <v>288</v>
      </c>
      <c r="AU1393" t="s">
        <v>11228</v>
      </c>
      <c r="AV1393" t="s">
        <v>11231</v>
      </c>
      <c r="AW1393" t="s">
        <v>6817</v>
      </c>
    </row>
    <row r="1394" spans="1:49">
      <c r="A1394" s="1">
        <f>HYPERLINK("https://lsnyc.legalserver.org/matter/dynamic-profile/view/1893596","19-1893596")</f>
        <v>0</v>
      </c>
      <c r="B1394" t="s">
        <v>60</v>
      </c>
      <c r="C1394" t="s">
        <v>1223</v>
      </c>
      <c r="D1394" t="s">
        <v>1229</v>
      </c>
      <c r="E1394" t="s">
        <v>3175</v>
      </c>
      <c r="F1394" t="s">
        <v>5503</v>
      </c>
      <c r="G1394" t="s">
        <v>5636</v>
      </c>
      <c r="H1394">
        <v>10303</v>
      </c>
      <c r="I1394" t="s">
        <v>5695</v>
      </c>
      <c r="J1394" t="s">
        <v>5695</v>
      </c>
      <c r="K1394" t="s">
        <v>6385</v>
      </c>
      <c r="L1394" t="s">
        <v>6714</v>
      </c>
      <c r="M1394" t="s">
        <v>6736</v>
      </c>
      <c r="O1394" t="s">
        <v>6762</v>
      </c>
      <c r="P1394" t="s">
        <v>5697</v>
      </c>
      <c r="R1394" t="s">
        <v>6796</v>
      </c>
      <c r="S1394" t="s">
        <v>6801</v>
      </c>
      <c r="U1394">
        <v>971</v>
      </c>
      <c r="V1394" t="s">
        <v>6834</v>
      </c>
      <c r="W1394" t="s">
        <v>6839</v>
      </c>
      <c r="Y1394" t="s">
        <v>8177</v>
      </c>
      <c r="AA1394" t="s">
        <v>10214</v>
      </c>
      <c r="AB1394">
        <v>130</v>
      </c>
      <c r="AC1394" t="s">
        <v>10934</v>
      </c>
      <c r="AD1394" t="s">
        <v>10944</v>
      </c>
      <c r="AE1394">
        <v>4</v>
      </c>
      <c r="AF1394">
        <v>2</v>
      </c>
      <c r="AG1394">
        <v>0</v>
      </c>
      <c r="AH1394">
        <v>254.62</v>
      </c>
      <c r="AI1394" t="s">
        <v>10962</v>
      </c>
      <c r="AJ1394" t="s">
        <v>10963</v>
      </c>
      <c r="AK1394" t="s">
        <v>10966</v>
      </c>
      <c r="AL1394">
        <v>43056</v>
      </c>
      <c r="AR1394">
        <v>9.6</v>
      </c>
      <c r="AS1394" t="s">
        <v>6814</v>
      </c>
      <c r="AT1394" t="s">
        <v>11177</v>
      </c>
      <c r="AV1394" t="s">
        <v>11231</v>
      </c>
      <c r="AW1394" t="s">
        <v>11119</v>
      </c>
    </row>
    <row r="1395" spans="1:49">
      <c r="A1395" s="1">
        <f>HYPERLINK("https://lsnyc.legalserver.org/matter/dynamic-profile/view/1894814","19-1894814")</f>
        <v>0</v>
      </c>
      <c r="B1395" t="s">
        <v>269</v>
      </c>
      <c r="C1395" t="s">
        <v>453</v>
      </c>
      <c r="D1395" t="s">
        <v>2224</v>
      </c>
      <c r="E1395" t="s">
        <v>4344</v>
      </c>
      <c r="F1395" t="s">
        <v>5243</v>
      </c>
      <c r="G1395" t="s">
        <v>5636</v>
      </c>
      <c r="H1395">
        <v>10301</v>
      </c>
      <c r="I1395" t="s">
        <v>5695</v>
      </c>
      <c r="J1395" t="s">
        <v>5695</v>
      </c>
      <c r="K1395" t="s">
        <v>6386</v>
      </c>
      <c r="L1395" t="s">
        <v>6714</v>
      </c>
      <c r="M1395" t="s">
        <v>6736</v>
      </c>
      <c r="O1395" t="s">
        <v>6745</v>
      </c>
      <c r="P1395" t="s">
        <v>5697</v>
      </c>
      <c r="R1395" t="s">
        <v>6793</v>
      </c>
      <c r="S1395" t="s">
        <v>6801</v>
      </c>
      <c r="U1395">
        <v>2037</v>
      </c>
      <c r="V1395" t="s">
        <v>6834</v>
      </c>
      <c r="W1395" t="s">
        <v>6839</v>
      </c>
      <c r="Y1395" t="s">
        <v>8178</v>
      </c>
      <c r="AA1395" t="s">
        <v>10215</v>
      </c>
      <c r="AB1395">
        <v>3</v>
      </c>
      <c r="AC1395" t="s">
        <v>10930</v>
      </c>
      <c r="AD1395" t="s">
        <v>5741</v>
      </c>
      <c r="AE1395">
        <v>1</v>
      </c>
      <c r="AF1395">
        <v>2</v>
      </c>
      <c r="AG1395">
        <v>5</v>
      </c>
      <c r="AH1395">
        <v>79.98</v>
      </c>
      <c r="AK1395" t="s">
        <v>10967</v>
      </c>
      <c r="AL1395">
        <v>31200</v>
      </c>
      <c r="AR1395">
        <v>7.5</v>
      </c>
      <c r="AS1395" t="s">
        <v>6895</v>
      </c>
      <c r="AT1395" t="s">
        <v>11177</v>
      </c>
      <c r="AV1395" t="s">
        <v>11231</v>
      </c>
      <c r="AW1395" t="s">
        <v>10960</v>
      </c>
    </row>
    <row r="1396" spans="1:49">
      <c r="A1396" s="1">
        <f>HYPERLINK("https://lsnyc.legalserver.org/matter/dynamic-profile/view/1903463","19-1903463")</f>
        <v>0</v>
      </c>
      <c r="B1396" t="s">
        <v>251</v>
      </c>
      <c r="C1396" t="s">
        <v>880</v>
      </c>
      <c r="D1396" t="s">
        <v>2592</v>
      </c>
      <c r="E1396" t="s">
        <v>4345</v>
      </c>
      <c r="F1396" t="s">
        <v>5242</v>
      </c>
      <c r="G1396" t="s">
        <v>5649</v>
      </c>
      <c r="H1396">
        <v>11385</v>
      </c>
      <c r="I1396" t="s">
        <v>5696</v>
      </c>
      <c r="J1396" t="s">
        <v>5696</v>
      </c>
      <c r="K1396" t="s">
        <v>6387</v>
      </c>
      <c r="L1396" t="s">
        <v>6714</v>
      </c>
      <c r="M1396" t="s">
        <v>6736</v>
      </c>
      <c r="O1396" t="s">
        <v>6752</v>
      </c>
      <c r="P1396" t="s">
        <v>5697</v>
      </c>
      <c r="R1396" t="s">
        <v>6793</v>
      </c>
      <c r="S1396" t="s">
        <v>6803</v>
      </c>
      <c r="U1396">
        <v>1123.4</v>
      </c>
      <c r="V1396" t="s">
        <v>6837</v>
      </c>
      <c r="W1396" t="s">
        <v>6839</v>
      </c>
      <c r="Y1396" t="s">
        <v>8179</v>
      </c>
      <c r="AA1396" t="s">
        <v>10216</v>
      </c>
      <c r="AB1396">
        <v>6</v>
      </c>
      <c r="AC1396" t="s">
        <v>10929</v>
      </c>
      <c r="AE1396">
        <v>27</v>
      </c>
      <c r="AF1396">
        <v>1</v>
      </c>
      <c r="AG1396">
        <v>0</v>
      </c>
      <c r="AH1396">
        <v>116.16</v>
      </c>
      <c r="AK1396" t="s">
        <v>10966</v>
      </c>
      <c r="AL1396">
        <v>14508</v>
      </c>
      <c r="AR1396">
        <v>13.8</v>
      </c>
      <c r="AS1396" t="s">
        <v>6828</v>
      </c>
      <c r="AT1396" t="s">
        <v>11181</v>
      </c>
      <c r="AV1396" t="s">
        <v>11231</v>
      </c>
      <c r="AW1396" t="s">
        <v>11136</v>
      </c>
    </row>
    <row r="1397" spans="1:49">
      <c r="A1397" s="1">
        <f>HYPERLINK("https://lsnyc.legalserver.org/matter/dynamic-profile/view/1901593","19-1901593")</f>
        <v>0</v>
      </c>
      <c r="B1397" t="s">
        <v>66</v>
      </c>
      <c r="C1397" t="s">
        <v>1224</v>
      </c>
      <c r="D1397" t="s">
        <v>2463</v>
      </c>
      <c r="E1397" t="s">
        <v>4346</v>
      </c>
      <c r="F1397" t="s">
        <v>5105</v>
      </c>
      <c r="G1397" t="s">
        <v>5635</v>
      </c>
      <c r="H1397">
        <v>10457</v>
      </c>
      <c r="I1397" t="s">
        <v>5695</v>
      </c>
      <c r="J1397" t="s">
        <v>5696</v>
      </c>
      <c r="K1397" t="s">
        <v>6388</v>
      </c>
      <c r="L1397" t="s">
        <v>6714</v>
      </c>
      <c r="M1397" t="s">
        <v>6736</v>
      </c>
      <c r="O1397" t="s">
        <v>6763</v>
      </c>
      <c r="P1397" t="s">
        <v>5697</v>
      </c>
      <c r="R1397" t="s">
        <v>6793</v>
      </c>
      <c r="S1397" t="s">
        <v>6802</v>
      </c>
      <c r="U1397">
        <v>1534</v>
      </c>
      <c r="V1397" t="s">
        <v>6833</v>
      </c>
      <c r="W1397" t="s">
        <v>6839</v>
      </c>
      <c r="Y1397" t="s">
        <v>8180</v>
      </c>
      <c r="Z1397" t="s">
        <v>9029</v>
      </c>
      <c r="AA1397" t="s">
        <v>10217</v>
      </c>
      <c r="AB1397">
        <v>27</v>
      </c>
      <c r="AC1397" t="s">
        <v>10929</v>
      </c>
      <c r="AD1397" t="s">
        <v>10946</v>
      </c>
      <c r="AE1397">
        <v>5</v>
      </c>
      <c r="AF1397">
        <v>1</v>
      </c>
      <c r="AG1397">
        <v>2</v>
      </c>
      <c r="AH1397">
        <v>66.16</v>
      </c>
      <c r="AK1397" t="s">
        <v>10966</v>
      </c>
      <c r="AL1397">
        <v>14112</v>
      </c>
      <c r="AR1397">
        <v>4</v>
      </c>
      <c r="AS1397" t="s">
        <v>6826</v>
      </c>
      <c r="AT1397" t="s">
        <v>11187</v>
      </c>
      <c r="AU1397" t="s">
        <v>11228</v>
      </c>
      <c r="AV1397" t="s">
        <v>11231</v>
      </c>
      <c r="AW1397" t="s">
        <v>11124</v>
      </c>
    </row>
    <row r="1398" spans="1:49">
      <c r="A1398" s="1">
        <f>HYPERLINK("https://lsnyc.legalserver.org/matter/dynamic-profile/view/1902290","19-1902290")</f>
        <v>0</v>
      </c>
      <c r="B1398" t="s">
        <v>251</v>
      </c>
      <c r="C1398" t="s">
        <v>491</v>
      </c>
      <c r="D1398" t="s">
        <v>2593</v>
      </c>
      <c r="E1398" t="s">
        <v>4347</v>
      </c>
      <c r="F1398" t="s">
        <v>5237</v>
      </c>
      <c r="G1398" t="s">
        <v>5644</v>
      </c>
      <c r="H1398">
        <v>11433</v>
      </c>
      <c r="I1398" t="s">
        <v>5696</v>
      </c>
      <c r="J1398" t="s">
        <v>5696</v>
      </c>
      <c r="K1398" t="s">
        <v>6389</v>
      </c>
      <c r="L1398" t="s">
        <v>6714</v>
      </c>
      <c r="M1398" t="s">
        <v>6736</v>
      </c>
      <c r="O1398" t="s">
        <v>6752</v>
      </c>
      <c r="R1398" t="s">
        <v>6793</v>
      </c>
      <c r="U1398">
        <v>250</v>
      </c>
      <c r="V1398" t="s">
        <v>6837</v>
      </c>
      <c r="Y1398" t="s">
        <v>8181</v>
      </c>
      <c r="AA1398" t="s">
        <v>10218</v>
      </c>
      <c r="AB1398">
        <v>56</v>
      </c>
      <c r="AC1398" t="s">
        <v>10931</v>
      </c>
      <c r="AE1398">
        <v>4</v>
      </c>
      <c r="AF1398">
        <v>1</v>
      </c>
      <c r="AG1398">
        <v>0</v>
      </c>
      <c r="AH1398">
        <v>0</v>
      </c>
      <c r="AK1398" t="s">
        <v>10966</v>
      </c>
      <c r="AL1398">
        <v>0</v>
      </c>
      <c r="AR1398">
        <v>2</v>
      </c>
      <c r="AS1398" t="s">
        <v>11140</v>
      </c>
      <c r="AT1398" t="s">
        <v>11192</v>
      </c>
      <c r="AV1398" t="s">
        <v>11231</v>
      </c>
      <c r="AW1398" t="s">
        <v>11140</v>
      </c>
    </row>
    <row r="1399" spans="1:49">
      <c r="A1399" s="1">
        <f>HYPERLINK("https://lsnyc.legalserver.org/matter/dynamic-profile/view/1896531","19-1896531")</f>
        <v>0</v>
      </c>
      <c r="B1399" t="s">
        <v>216</v>
      </c>
      <c r="C1399" t="s">
        <v>663</v>
      </c>
      <c r="D1399" t="s">
        <v>866</v>
      </c>
      <c r="E1399" t="s">
        <v>4348</v>
      </c>
      <c r="F1399">
        <v>4</v>
      </c>
      <c r="G1399" t="s">
        <v>5638</v>
      </c>
      <c r="H1399">
        <v>10027</v>
      </c>
      <c r="I1399" t="s">
        <v>5695</v>
      </c>
      <c r="J1399" t="s">
        <v>5695</v>
      </c>
      <c r="K1399" t="s">
        <v>6390</v>
      </c>
      <c r="L1399" t="s">
        <v>6714</v>
      </c>
      <c r="M1399" t="s">
        <v>6736</v>
      </c>
      <c r="O1399" t="s">
        <v>6749</v>
      </c>
      <c r="P1399" t="s">
        <v>5697</v>
      </c>
      <c r="R1399" t="s">
        <v>6793</v>
      </c>
      <c r="U1399">
        <v>0</v>
      </c>
      <c r="V1399" t="s">
        <v>6836</v>
      </c>
      <c r="W1399" t="s">
        <v>6840</v>
      </c>
      <c r="Y1399" t="s">
        <v>8182</v>
      </c>
      <c r="AA1399" t="s">
        <v>10219</v>
      </c>
      <c r="AB1399">
        <v>0</v>
      </c>
      <c r="AC1399" t="s">
        <v>10929</v>
      </c>
      <c r="AD1399" t="s">
        <v>5741</v>
      </c>
      <c r="AE1399">
        <v>9</v>
      </c>
      <c r="AF1399">
        <v>2</v>
      </c>
      <c r="AG1399">
        <v>0</v>
      </c>
      <c r="AH1399">
        <v>156.12</v>
      </c>
      <c r="AK1399" t="s">
        <v>10966</v>
      </c>
      <c r="AL1399">
        <v>26400</v>
      </c>
      <c r="AR1399">
        <v>34.3</v>
      </c>
      <c r="AS1399" t="s">
        <v>6822</v>
      </c>
      <c r="AT1399" t="s">
        <v>305</v>
      </c>
      <c r="AV1399" t="s">
        <v>11231</v>
      </c>
      <c r="AW1399" t="s">
        <v>11154</v>
      </c>
    </row>
    <row r="1400" spans="1:49">
      <c r="A1400" s="1">
        <f>HYPERLINK("https://lsnyc.legalserver.org/matter/dynamic-profile/view/1904328","19-1904328")</f>
        <v>0</v>
      </c>
      <c r="B1400" t="s">
        <v>117</v>
      </c>
      <c r="C1400" t="s">
        <v>1225</v>
      </c>
      <c r="D1400" t="s">
        <v>2594</v>
      </c>
      <c r="E1400" t="s">
        <v>4349</v>
      </c>
      <c r="F1400" t="s">
        <v>5504</v>
      </c>
      <c r="G1400" t="s">
        <v>5637</v>
      </c>
      <c r="H1400">
        <v>11212</v>
      </c>
      <c r="I1400" t="s">
        <v>5696</v>
      </c>
      <c r="J1400" t="s">
        <v>5696</v>
      </c>
      <c r="K1400" t="s">
        <v>6391</v>
      </c>
      <c r="L1400" t="s">
        <v>6714</v>
      </c>
      <c r="M1400" t="s">
        <v>6736</v>
      </c>
      <c r="O1400" t="s">
        <v>6754</v>
      </c>
      <c r="P1400" t="s">
        <v>5697</v>
      </c>
      <c r="R1400" t="s">
        <v>6793</v>
      </c>
      <c r="S1400" t="s">
        <v>6805</v>
      </c>
      <c r="U1400">
        <v>442</v>
      </c>
      <c r="V1400" t="s">
        <v>6835</v>
      </c>
      <c r="W1400" t="s">
        <v>6839</v>
      </c>
      <c r="Y1400" t="s">
        <v>8183</v>
      </c>
      <c r="AA1400" t="s">
        <v>10220</v>
      </c>
      <c r="AB1400">
        <v>20</v>
      </c>
      <c r="AC1400" t="s">
        <v>10934</v>
      </c>
      <c r="AD1400" t="s">
        <v>10944</v>
      </c>
      <c r="AE1400">
        <v>12</v>
      </c>
      <c r="AF1400">
        <v>1</v>
      </c>
      <c r="AG1400">
        <v>0</v>
      </c>
      <c r="AH1400">
        <v>115.29</v>
      </c>
      <c r="AK1400" t="s">
        <v>10966</v>
      </c>
      <c r="AL1400">
        <v>14400</v>
      </c>
      <c r="AR1400">
        <v>15.25</v>
      </c>
      <c r="AS1400" t="s">
        <v>6819</v>
      </c>
      <c r="AT1400" t="s">
        <v>117</v>
      </c>
      <c r="AV1400" t="s">
        <v>11231</v>
      </c>
      <c r="AW1400" t="s">
        <v>6813</v>
      </c>
    </row>
    <row r="1401" spans="1:49">
      <c r="A1401" s="1">
        <f>HYPERLINK("https://lsnyc.legalserver.org/matter/dynamic-profile/view/1902823","19-1902823")</f>
        <v>0</v>
      </c>
      <c r="B1401" t="s">
        <v>233</v>
      </c>
      <c r="C1401" t="s">
        <v>372</v>
      </c>
      <c r="D1401" t="s">
        <v>1679</v>
      </c>
      <c r="E1401" t="s">
        <v>4350</v>
      </c>
      <c r="F1401" t="s">
        <v>5505</v>
      </c>
      <c r="G1401" t="s">
        <v>5637</v>
      </c>
      <c r="H1401">
        <v>11213</v>
      </c>
      <c r="I1401" t="s">
        <v>5695</v>
      </c>
      <c r="J1401" t="s">
        <v>5696</v>
      </c>
      <c r="K1401" t="s">
        <v>6392</v>
      </c>
      <c r="L1401" t="s">
        <v>6714</v>
      </c>
      <c r="M1401" t="s">
        <v>6736</v>
      </c>
      <c r="O1401" t="s">
        <v>6746</v>
      </c>
      <c r="R1401" t="s">
        <v>6793</v>
      </c>
      <c r="S1401" t="s">
        <v>6801</v>
      </c>
      <c r="U1401">
        <v>777</v>
      </c>
      <c r="V1401" t="s">
        <v>6835</v>
      </c>
      <c r="Y1401" t="s">
        <v>8184</v>
      </c>
      <c r="Z1401" t="s">
        <v>9030</v>
      </c>
      <c r="AA1401" t="s">
        <v>10221</v>
      </c>
      <c r="AB1401">
        <v>248</v>
      </c>
      <c r="AC1401" t="s">
        <v>10934</v>
      </c>
      <c r="AD1401" t="s">
        <v>10944</v>
      </c>
      <c r="AE1401">
        <v>8</v>
      </c>
      <c r="AF1401">
        <v>1</v>
      </c>
      <c r="AG1401">
        <v>3</v>
      </c>
      <c r="AH1401">
        <v>151.46</v>
      </c>
      <c r="AK1401" t="s">
        <v>10966</v>
      </c>
      <c r="AL1401">
        <v>39000</v>
      </c>
      <c r="AR1401">
        <v>4.2</v>
      </c>
      <c r="AS1401" t="s">
        <v>6823</v>
      </c>
      <c r="AT1401" t="s">
        <v>11224</v>
      </c>
      <c r="AU1401" t="s">
        <v>11228</v>
      </c>
      <c r="AV1401" t="s">
        <v>11231</v>
      </c>
      <c r="AW1401" t="s">
        <v>11133</v>
      </c>
    </row>
    <row r="1402" spans="1:49">
      <c r="A1402" s="1">
        <f>HYPERLINK("https://lsnyc.legalserver.org/matter/dynamic-profile/view/1898681","19-1898681")</f>
        <v>0</v>
      </c>
      <c r="B1402" t="s">
        <v>184</v>
      </c>
      <c r="C1402" t="s">
        <v>1226</v>
      </c>
      <c r="D1402" t="s">
        <v>2595</v>
      </c>
      <c r="E1402" t="s">
        <v>4351</v>
      </c>
      <c r="F1402" t="s">
        <v>5190</v>
      </c>
      <c r="G1402" t="s">
        <v>5644</v>
      </c>
      <c r="H1402">
        <v>11432</v>
      </c>
      <c r="I1402" t="s">
        <v>5695</v>
      </c>
      <c r="J1402" t="s">
        <v>5695</v>
      </c>
      <c r="K1402" t="s">
        <v>6393</v>
      </c>
      <c r="L1402" t="s">
        <v>6714</v>
      </c>
      <c r="M1402" t="s">
        <v>6736</v>
      </c>
      <c r="O1402" t="s">
        <v>6745</v>
      </c>
      <c r="P1402" t="s">
        <v>5697</v>
      </c>
      <c r="R1402" t="s">
        <v>6793</v>
      </c>
      <c r="S1402" t="s">
        <v>6802</v>
      </c>
      <c r="T1402" t="s">
        <v>6829</v>
      </c>
      <c r="U1402">
        <v>1486</v>
      </c>
      <c r="V1402" t="s">
        <v>6837</v>
      </c>
      <c r="W1402" t="s">
        <v>6840</v>
      </c>
      <c r="Y1402" t="s">
        <v>7554</v>
      </c>
      <c r="AA1402" t="s">
        <v>10222</v>
      </c>
      <c r="AB1402">
        <v>7</v>
      </c>
      <c r="AC1402" t="s">
        <v>10929</v>
      </c>
      <c r="AD1402" t="s">
        <v>5741</v>
      </c>
      <c r="AE1402">
        <v>6</v>
      </c>
      <c r="AF1402">
        <v>1</v>
      </c>
      <c r="AG1402">
        <v>3</v>
      </c>
      <c r="AH1402">
        <v>107.18</v>
      </c>
      <c r="AK1402" t="s">
        <v>10966</v>
      </c>
      <c r="AL1402">
        <v>27600</v>
      </c>
      <c r="AR1402">
        <v>8.699999999999999</v>
      </c>
      <c r="AS1402" t="s">
        <v>6829</v>
      </c>
      <c r="AT1402" t="s">
        <v>11182</v>
      </c>
      <c r="AU1402" t="s">
        <v>11228</v>
      </c>
      <c r="AV1402" t="s">
        <v>11231</v>
      </c>
      <c r="AW1402" t="s">
        <v>11152</v>
      </c>
    </row>
    <row r="1403" spans="1:49">
      <c r="A1403" s="1">
        <f>HYPERLINK("https://lsnyc.legalserver.org/matter/dynamic-profile/view/1904426","19-1904426")</f>
        <v>0</v>
      </c>
      <c r="B1403" t="s">
        <v>102</v>
      </c>
      <c r="C1403" t="s">
        <v>995</v>
      </c>
      <c r="D1403" t="s">
        <v>2596</v>
      </c>
      <c r="E1403" t="s">
        <v>4352</v>
      </c>
      <c r="F1403" t="s">
        <v>5248</v>
      </c>
      <c r="G1403" t="s">
        <v>5638</v>
      </c>
      <c r="H1403">
        <v>10031</v>
      </c>
      <c r="I1403" t="s">
        <v>5695</v>
      </c>
      <c r="J1403" t="s">
        <v>5696</v>
      </c>
      <c r="K1403" t="s">
        <v>6394</v>
      </c>
      <c r="L1403" t="s">
        <v>6714</v>
      </c>
      <c r="M1403" t="s">
        <v>6736</v>
      </c>
      <c r="O1403" t="s">
        <v>6749</v>
      </c>
      <c r="P1403" t="s">
        <v>5697</v>
      </c>
      <c r="R1403" t="s">
        <v>6793</v>
      </c>
      <c r="S1403" t="s">
        <v>6801</v>
      </c>
      <c r="T1403" t="s">
        <v>6815</v>
      </c>
      <c r="U1403">
        <v>713.02</v>
      </c>
      <c r="V1403" t="s">
        <v>6836</v>
      </c>
      <c r="W1403" t="s">
        <v>6839</v>
      </c>
      <c r="Y1403" t="s">
        <v>8072</v>
      </c>
      <c r="AA1403" t="s">
        <v>10223</v>
      </c>
      <c r="AB1403">
        <v>0</v>
      </c>
      <c r="AC1403" t="s">
        <v>10929</v>
      </c>
      <c r="AD1403" t="s">
        <v>10944</v>
      </c>
      <c r="AE1403">
        <v>9</v>
      </c>
      <c r="AF1403">
        <v>4</v>
      </c>
      <c r="AG1403">
        <v>0</v>
      </c>
      <c r="AH1403">
        <v>130.67</v>
      </c>
      <c r="AK1403" t="s">
        <v>10966</v>
      </c>
      <c r="AL1403">
        <v>33648</v>
      </c>
      <c r="AR1403">
        <v>2.2</v>
      </c>
      <c r="AS1403" t="s">
        <v>6814</v>
      </c>
      <c r="AT1403" t="s">
        <v>305</v>
      </c>
      <c r="AU1403" t="s">
        <v>11228</v>
      </c>
      <c r="AV1403" t="s">
        <v>11231</v>
      </c>
      <c r="AW1403" t="s">
        <v>6815</v>
      </c>
    </row>
    <row r="1404" spans="1:49">
      <c r="A1404" s="1">
        <f>HYPERLINK("https://lsnyc.legalserver.org/matter/dynamic-profile/view/1905213","19-1905213")</f>
        <v>0</v>
      </c>
      <c r="B1404" t="s">
        <v>193</v>
      </c>
      <c r="C1404" t="s">
        <v>809</v>
      </c>
      <c r="D1404" t="s">
        <v>2034</v>
      </c>
      <c r="E1404" t="s">
        <v>4353</v>
      </c>
      <c r="F1404" t="s">
        <v>5506</v>
      </c>
      <c r="G1404" t="s">
        <v>5635</v>
      </c>
      <c r="H1404">
        <v>10467</v>
      </c>
      <c r="I1404" t="s">
        <v>5695</v>
      </c>
      <c r="J1404" t="s">
        <v>5696</v>
      </c>
      <c r="K1404" t="s">
        <v>6395</v>
      </c>
      <c r="L1404" t="s">
        <v>6714</v>
      </c>
      <c r="M1404" t="s">
        <v>6736</v>
      </c>
      <c r="O1404" t="s">
        <v>6747</v>
      </c>
      <c r="P1404" t="s">
        <v>5697</v>
      </c>
      <c r="R1404" t="s">
        <v>6793</v>
      </c>
      <c r="T1404" t="s">
        <v>6808</v>
      </c>
      <c r="U1404">
        <v>1477</v>
      </c>
      <c r="V1404" t="s">
        <v>6833</v>
      </c>
      <c r="W1404" t="s">
        <v>6840</v>
      </c>
      <c r="Y1404" t="s">
        <v>8185</v>
      </c>
      <c r="AA1404" t="s">
        <v>10224</v>
      </c>
      <c r="AB1404">
        <v>85</v>
      </c>
      <c r="AC1404" t="s">
        <v>10929</v>
      </c>
      <c r="AD1404" t="s">
        <v>10944</v>
      </c>
      <c r="AE1404">
        <v>22</v>
      </c>
      <c r="AF1404">
        <v>2</v>
      </c>
      <c r="AG1404">
        <v>2</v>
      </c>
      <c r="AH1404">
        <v>35.18</v>
      </c>
      <c r="AK1404" t="s">
        <v>10966</v>
      </c>
      <c r="AL1404">
        <v>9060</v>
      </c>
      <c r="AR1404">
        <v>6.2</v>
      </c>
      <c r="AS1404" t="s">
        <v>6827</v>
      </c>
      <c r="AT1404" t="s">
        <v>11187</v>
      </c>
      <c r="AU1404" t="s">
        <v>11228</v>
      </c>
      <c r="AV1404" t="s">
        <v>11231</v>
      </c>
      <c r="AW1404" t="s">
        <v>6808</v>
      </c>
    </row>
    <row r="1405" spans="1:49">
      <c r="A1405" s="1">
        <f>HYPERLINK("https://lsnyc.legalserver.org/matter/dynamic-profile/view/1905978","19-1905978")</f>
        <v>0</v>
      </c>
      <c r="B1405" t="s">
        <v>63</v>
      </c>
      <c r="C1405" t="s">
        <v>1084</v>
      </c>
      <c r="D1405" t="s">
        <v>2597</v>
      </c>
      <c r="E1405" t="s">
        <v>4354</v>
      </c>
      <c r="F1405">
        <v>311</v>
      </c>
      <c r="G1405" t="s">
        <v>5644</v>
      </c>
      <c r="H1405">
        <v>11434</v>
      </c>
      <c r="I1405" t="s">
        <v>5695</v>
      </c>
      <c r="J1405" t="s">
        <v>5696</v>
      </c>
      <c r="K1405" t="s">
        <v>6396</v>
      </c>
      <c r="L1405" t="s">
        <v>6714</v>
      </c>
      <c r="M1405" t="s">
        <v>6736</v>
      </c>
      <c r="O1405" t="s">
        <v>6752</v>
      </c>
      <c r="P1405" t="s">
        <v>5697</v>
      </c>
      <c r="R1405" t="s">
        <v>6794</v>
      </c>
      <c r="S1405" t="s">
        <v>6804</v>
      </c>
      <c r="U1405">
        <v>150</v>
      </c>
      <c r="V1405" t="s">
        <v>6837</v>
      </c>
      <c r="W1405" t="s">
        <v>6839</v>
      </c>
      <c r="Y1405" t="s">
        <v>8186</v>
      </c>
      <c r="AA1405" t="s">
        <v>10225</v>
      </c>
      <c r="AB1405">
        <v>1</v>
      </c>
      <c r="AC1405" t="s">
        <v>10931</v>
      </c>
      <c r="AD1405" t="s">
        <v>5741</v>
      </c>
      <c r="AE1405">
        <v>47</v>
      </c>
      <c r="AF1405">
        <v>1</v>
      </c>
      <c r="AG1405">
        <v>0</v>
      </c>
      <c r="AH1405">
        <v>108.25</v>
      </c>
      <c r="AK1405" t="s">
        <v>10966</v>
      </c>
      <c r="AL1405">
        <v>13520</v>
      </c>
      <c r="AR1405">
        <v>1.15</v>
      </c>
      <c r="AS1405" t="s">
        <v>6826</v>
      </c>
      <c r="AT1405" t="s">
        <v>63</v>
      </c>
      <c r="AU1405" t="s">
        <v>11228</v>
      </c>
      <c r="AV1405" t="s">
        <v>11231</v>
      </c>
      <c r="AW1405" t="s">
        <v>6826</v>
      </c>
    </row>
    <row r="1406" spans="1:49">
      <c r="A1406" s="1">
        <f>HYPERLINK("https://lsnyc.legalserver.org/matter/dynamic-profile/view/1898474","19-1898474")</f>
        <v>0</v>
      </c>
      <c r="B1406" t="s">
        <v>192</v>
      </c>
      <c r="C1406" t="s">
        <v>1227</v>
      </c>
      <c r="D1406" t="s">
        <v>2598</v>
      </c>
      <c r="E1406" t="s">
        <v>4355</v>
      </c>
      <c r="F1406" t="s">
        <v>5507</v>
      </c>
      <c r="G1406" t="s">
        <v>5635</v>
      </c>
      <c r="H1406">
        <v>10468</v>
      </c>
      <c r="I1406" t="s">
        <v>5695</v>
      </c>
      <c r="J1406" t="s">
        <v>5697</v>
      </c>
      <c r="K1406" t="s">
        <v>6397</v>
      </c>
      <c r="L1406" t="s">
        <v>6714</v>
      </c>
      <c r="M1406" t="s">
        <v>6736</v>
      </c>
      <c r="O1406" t="s">
        <v>6763</v>
      </c>
      <c r="P1406" t="s">
        <v>5697</v>
      </c>
      <c r="R1406" t="s">
        <v>6793</v>
      </c>
      <c r="U1406">
        <v>0</v>
      </c>
      <c r="V1406" t="s">
        <v>6833</v>
      </c>
      <c r="W1406" t="s">
        <v>6839</v>
      </c>
      <c r="Y1406" t="s">
        <v>8187</v>
      </c>
      <c r="AA1406" t="s">
        <v>10226</v>
      </c>
      <c r="AB1406">
        <v>56</v>
      </c>
      <c r="AD1406" t="s">
        <v>5741</v>
      </c>
      <c r="AE1406">
        <v>0</v>
      </c>
      <c r="AF1406">
        <v>1</v>
      </c>
      <c r="AG1406">
        <v>0</v>
      </c>
      <c r="AH1406">
        <v>187.35</v>
      </c>
      <c r="AK1406" t="s">
        <v>10967</v>
      </c>
      <c r="AL1406">
        <v>23400</v>
      </c>
      <c r="AM1406" t="s">
        <v>11066</v>
      </c>
      <c r="AR1406">
        <v>5.4</v>
      </c>
      <c r="AS1406" t="s">
        <v>6817</v>
      </c>
      <c r="AT1406" t="s">
        <v>11187</v>
      </c>
      <c r="AV1406" t="s">
        <v>11231</v>
      </c>
      <c r="AW1406" t="s">
        <v>11141</v>
      </c>
    </row>
    <row r="1407" spans="1:49">
      <c r="A1407" s="1">
        <f>HYPERLINK("https://lsnyc.legalserver.org/matter/dynamic-profile/view/1905236","19-1905236")</f>
        <v>0</v>
      </c>
      <c r="B1407" t="s">
        <v>117</v>
      </c>
      <c r="C1407" t="s">
        <v>1228</v>
      </c>
      <c r="D1407" t="s">
        <v>2599</v>
      </c>
      <c r="E1407" t="s">
        <v>4356</v>
      </c>
      <c r="F1407" t="s">
        <v>5427</v>
      </c>
      <c r="G1407" t="s">
        <v>5637</v>
      </c>
      <c r="H1407">
        <v>11225</v>
      </c>
      <c r="I1407" t="s">
        <v>5696</v>
      </c>
      <c r="J1407" t="s">
        <v>5696</v>
      </c>
      <c r="K1407" t="s">
        <v>6398</v>
      </c>
      <c r="L1407" t="s">
        <v>6714</v>
      </c>
      <c r="M1407" t="s">
        <v>6736</v>
      </c>
      <c r="O1407" t="s">
        <v>6754</v>
      </c>
      <c r="P1407" t="s">
        <v>5697</v>
      </c>
      <c r="R1407" t="s">
        <v>6793</v>
      </c>
      <c r="S1407" t="s">
        <v>6801</v>
      </c>
      <c r="U1407">
        <v>1179</v>
      </c>
      <c r="V1407" t="s">
        <v>6835</v>
      </c>
      <c r="W1407" t="s">
        <v>6842</v>
      </c>
      <c r="Y1407" t="s">
        <v>7044</v>
      </c>
      <c r="AA1407" t="s">
        <v>10227</v>
      </c>
      <c r="AB1407">
        <v>60</v>
      </c>
      <c r="AC1407" t="s">
        <v>10929</v>
      </c>
      <c r="AE1407">
        <v>20</v>
      </c>
      <c r="AF1407">
        <v>2</v>
      </c>
      <c r="AG1407">
        <v>0</v>
      </c>
      <c r="AH1407">
        <v>49.67</v>
      </c>
      <c r="AK1407" t="s">
        <v>10967</v>
      </c>
      <c r="AL1407">
        <v>8400</v>
      </c>
      <c r="AR1407">
        <v>3</v>
      </c>
      <c r="AS1407" t="s">
        <v>6808</v>
      </c>
      <c r="AT1407" t="s">
        <v>117</v>
      </c>
      <c r="AV1407" t="s">
        <v>11231</v>
      </c>
      <c r="AW1407" t="s">
        <v>6808</v>
      </c>
    </row>
    <row r="1408" spans="1:49">
      <c r="A1408" s="1">
        <f>HYPERLINK("https://lsnyc.legalserver.org/matter/dynamic-profile/view/1898158","19-1898158")</f>
        <v>0</v>
      </c>
      <c r="B1408" t="s">
        <v>74</v>
      </c>
      <c r="C1408" t="s">
        <v>1229</v>
      </c>
      <c r="D1408" t="s">
        <v>2600</v>
      </c>
      <c r="E1408" t="s">
        <v>4357</v>
      </c>
      <c r="F1408">
        <v>1</v>
      </c>
      <c r="G1408" t="s">
        <v>5635</v>
      </c>
      <c r="H1408">
        <v>10461</v>
      </c>
      <c r="I1408" t="s">
        <v>5695</v>
      </c>
      <c r="J1408" t="s">
        <v>5695</v>
      </c>
      <c r="K1408" t="s">
        <v>6399</v>
      </c>
      <c r="L1408" t="s">
        <v>6714</v>
      </c>
      <c r="M1408" t="s">
        <v>6736</v>
      </c>
      <c r="O1408" t="s">
        <v>6747</v>
      </c>
      <c r="P1408" t="s">
        <v>5697</v>
      </c>
      <c r="R1408" t="s">
        <v>6793</v>
      </c>
      <c r="S1408" t="s">
        <v>6801</v>
      </c>
      <c r="U1408">
        <v>1050</v>
      </c>
      <c r="V1408" t="s">
        <v>6833</v>
      </c>
      <c r="W1408" t="s">
        <v>6843</v>
      </c>
      <c r="Y1408" t="s">
        <v>8188</v>
      </c>
      <c r="AA1408" t="s">
        <v>10228</v>
      </c>
      <c r="AB1408">
        <v>2</v>
      </c>
      <c r="AC1408" t="s">
        <v>8953</v>
      </c>
      <c r="AD1408" t="s">
        <v>5741</v>
      </c>
      <c r="AE1408">
        <v>0</v>
      </c>
      <c r="AF1408">
        <v>2</v>
      </c>
      <c r="AG1408">
        <v>0</v>
      </c>
      <c r="AH1408">
        <v>59.4</v>
      </c>
      <c r="AL1408">
        <v>10044</v>
      </c>
      <c r="AM1408" t="s">
        <v>11062</v>
      </c>
      <c r="AR1408">
        <v>8.300000000000001</v>
      </c>
      <c r="AS1408" t="s">
        <v>6807</v>
      </c>
      <c r="AT1408" t="s">
        <v>11216</v>
      </c>
      <c r="AU1408" t="s">
        <v>11228</v>
      </c>
      <c r="AV1408" t="s">
        <v>11231</v>
      </c>
      <c r="AW1408" t="s">
        <v>10961</v>
      </c>
    </row>
    <row r="1409" spans="1:49">
      <c r="A1409" s="1">
        <f>HYPERLINK("https://lsnyc.legalserver.org/matter/dynamic-profile/view/1901268","19-1901268")</f>
        <v>0</v>
      </c>
      <c r="B1409" t="s">
        <v>196</v>
      </c>
      <c r="C1409" t="s">
        <v>1230</v>
      </c>
      <c r="D1409" t="s">
        <v>2601</v>
      </c>
      <c r="E1409" t="s">
        <v>4358</v>
      </c>
      <c r="F1409" t="s">
        <v>5212</v>
      </c>
      <c r="G1409" t="s">
        <v>5635</v>
      </c>
      <c r="H1409">
        <v>10457</v>
      </c>
      <c r="I1409" t="s">
        <v>5695</v>
      </c>
      <c r="J1409" t="s">
        <v>5696</v>
      </c>
      <c r="K1409" t="s">
        <v>6400</v>
      </c>
      <c r="L1409" t="s">
        <v>6714</v>
      </c>
      <c r="M1409" t="s">
        <v>6736</v>
      </c>
      <c r="O1409" t="s">
        <v>6763</v>
      </c>
      <c r="P1409" t="s">
        <v>5697</v>
      </c>
      <c r="R1409" t="s">
        <v>6793</v>
      </c>
      <c r="S1409" t="s">
        <v>6801</v>
      </c>
      <c r="U1409">
        <v>1089</v>
      </c>
      <c r="V1409" t="s">
        <v>6833</v>
      </c>
      <c r="Y1409" t="s">
        <v>8189</v>
      </c>
      <c r="AA1409" t="s">
        <v>10229</v>
      </c>
      <c r="AB1409">
        <v>55</v>
      </c>
      <c r="AC1409" t="s">
        <v>10929</v>
      </c>
      <c r="AE1409">
        <v>2</v>
      </c>
      <c r="AF1409">
        <v>1</v>
      </c>
      <c r="AG1409">
        <v>1</v>
      </c>
      <c r="AH1409">
        <v>179.18</v>
      </c>
      <c r="AK1409" t="s">
        <v>10966</v>
      </c>
      <c r="AL1409">
        <v>30300</v>
      </c>
      <c r="AR1409">
        <v>11.3</v>
      </c>
      <c r="AS1409" t="s">
        <v>6825</v>
      </c>
      <c r="AT1409" t="s">
        <v>288</v>
      </c>
      <c r="AU1409" t="s">
        <v>11228</v>
      </c>
      <c r="AV1409" t="s">
        <v>11231</v>
      </c>
      <c r="AW1409" t="s">
        <v>11162</v>
      </c>
    </row>
    <row r="1410" spans="1:49">
      <c r="A1410" s="1">
        <f>HYPERLINK("https://lsnyc.legalserver.org/matter/dynamic-profile/view/1903709","19-1903709")</f>
        <v>0</v>
      </c>
      <c r="B1410" t="s">
        <v>201</v>
      </c>
      <c r="C1410" t="s">
        <v>1231</v>
      </c>
      <c r="D1410" t="s">
        <v>2090</v>
      </c>
      <c r="E1410" t="s">
        <v>4359</v>
      </c>
      <c r="F1410" t="s">
        <v>5508</v>
      </c>
      <c r="G1410" t="s">
        <v>5635</v>
      </c>
      <c r="H1410">
        <v>10468</v>
      </c>
      <c r="I1410" t="s">
        <v>5695</v>
      </c>
      <c r="J1410" t="s">
        <v>5696</v>
      </c>
      <c r="K1410" t="s">
        <v>6401</v>
      </c>
      <c r="L1410" t="s">
        <v>6714</v>
      </c>
      <c r="M1410" t="s">
        <v>6736</v>
      </c>
      <c r="O1410" t="s">
        <v>6763</v>
      </c>
      <c r="P1410" t="s">
        <v>5697</v>
      </c>
      <c r="R1410" t="s">
        <v>6793</v>
      </c>
      <c r="T1410" t="s">
        <v>6811</v>
      </c>
      <c r="U1410">
        <v>871.26</v>
      </c>
      <c r="V1410" t="s">
        <v>6833</v>
      </c>
      <c r="W1410" t="s">
        <v>6843</v>
      </c>
      <c r="Y1410" t="s">
        <v>8190</v>
      </c>
      <c r="Z1410" t="s">
        <v>9031</v>
      </c>
      <c r="AA1410" t="s">
        <v>10230</v>
      </c>
      <c r="AB1410">
        <v>0</v>
      </c>
      <c r="AC1410" t="s">
        <v>8953</v>
      </c>
      <c r="AD1410" t="s">
        <v>10945</v>
      </c>
      <c r="AE1410">
        <v>26</v>
      </c>
      <c r="AF1410">
        <v>1</v>
      </c>
      <c r="AG1410">
        <v>1</v>
      </c>
      <c r="AH1410">
        <v>67.77</v>
      </c>
      <c r="AK1410" t="s">
        <v>10967</v>
      </c>
      <c r="AL1410">
        <v>11460</v>
      </c>
      <c r="AR1410">
        <v>0</v>
      </c>
      <c r="AT1410" t="s">
        <v>11196</v>
      </c>
      <c r="AU1410" t="s">
        <v>11229</v>
      </c>
      <c r="AV1410" t="s">
        <v>11231</v>
      </c>
      <c r="AW1410" t="s">
        <v>6811</v>
      </c>
    </row>
    <row r="1411" spans="1:49">
      <c r="A1411" s="1">
        <f>HYPERLINK("https://lsnyc.legalserver.org/matter/dynamic-profile/view/1903698","19-1903698")</f>
        <v>0</v>
      </c>
      <c r="B1411" t="s">
        <v>233</v>
      </c>
      <c r="C1411" t="s">
        <v>1056</v>
      </c>
      <c r="D1411" t="s">
        <v>2406</v>
      </c>
      <c r="E1411" t="s">
        <v>4083</v>
      </c>
      <c r="F1411" t="s">
        <v>5100</v>
      </c>
      <c r="G1411" t="s">
        <v>5637</v>
      </c>
      <c r="H1411">
        <v>11216</v>
      </c>
      <c r="I1411" t="s">
        <v>5695</v>
      </c>
      <c r="J1411" t="s">
        <v>5696</v>
      </c>
      <c r="K1411" t="s">
        <v>6131</v>
      </c>
      <c r="L1411" t="s">
        <v>6714</v>
      </c>
      <c r="M1411" t="s">
        <v>6736</v>
      </c>
      <c r="O1411" t="s">
        <v>6755</v>
      </c>
      <c r="P1411" t="s">
        <v>5697</v>
      </c>
      <c r="R1411" t="s">
        <v>6793</v>
      </c>
      <c r="U1411">
        <v>900</v>
      </c>
      <c r="V1411" t="s">
        <v>6835</v>
      </c>
      <c r="W1411" t="s">
        <v>6854</v>
      </c>
      <c r="Y1411" t="s">
        <v>7883</v>
      </c>
      <c r="AA1411" t="s">
        <v>9927</v>
      </c>
      <c r="AB1411">
        <v>0</v>
      </c>
      <c r="AE1411">
        <v>34</v>
      </c>
      <c r="AF1411">
        <v>1</v>
      </c>
      <c r="AG1411">
        <v>0</v>
      </c>
      <c r="AH1411">
        <v>67.25</v>
      </c>
      <c r="AK1411" t="s">
        <v>10966</v>
      </c>
      <c r="AL1411">
        <v>8400</v>
      </c>
      <c r="AR1411">
        <v>2.2</v>
      </c>
      <c r="AS1411" t="s">
        <v>6820</v>
      </c>
      <c r="AT1411" t="s">
        <v>11197</v>
      </c>
      <c r="AU1411" t="s">
        <v>11228</v>
      </c>
      <c r="AV1411" t="s">
        <v>11231</v>
      </c>
      <c r="AW1411" t="s">
        <v>6811</v>
      </c>
    </row>
    <row r="1412" spans="1:49">
      <c r="A1412" s="1">
        <f>HYPERLINK("https://lsnyc.legalserver.org/matter/dynamic-profile/view/1899587","19-1899587")</f>
        <v>0</v>
      </c>
      <c r="B1412" t="s">
        <v>186</v>
      </c>
      <c r="C1412" t="s">
        <v>1232</v>
      </c>
      <c r="D1412" t="s">
        <v>2602</v>
      </c>
      <c r="E1412" t="s">
        <v>4360</v>
      </c>
      <c r="F1412" t="s">
        <v>5301</v>
      </c>
      <c r="G1412" t="s">
        <v>5644</v>
      </c>
      <c r="H1412">
        <v>11434</v>
      </c>
      <c r="I1412" t="s">
        <v>5695</v>
      </c>
      <c r="J1412" t="s">
        <v>5696</v>
      </c>
      <c r="K1412" t="s">
        <v>6402</v>
      </c>
      <c r="L1412" t="s">
        <v>6714</v>
      </c>
      <c r="M1412" t="s">
        <v>6736</v>
      </c>
      <c r="O1412" t="s">
        <v>6752</v>
      </c>
      <c r="P1412" t="s">
        <v>5697</v>
      </c>
      <c r="R1412" t="s">
        <v>6793</v>
      </c>
      <c r="U1412">
        <v>1023</v>
      </c>
      <c r="V1412" t="s">
        <v>6837</v>
      </c>
      <c r="Y1412" t="s">
        <v>8191</v>
      </c>
      <c r="AA1412" t="s">
        <v>10231</v>
      </c>
      <c r="AB1412">
        <v>77</v>
      </c>
      <c r="AC1412" t="s">
        <v>10931</v>
      </c>
      <c r="AD1412" t="s">
        <v>5741</v>
      </c>
      <c r="AE1412">
        <v>28</v>
      </c>
      <c r="AF1412">
        <v>1</v>
      </c>
      <c r="AG1412">
        <v>1</v>
      </c>
      <c r="AH1412">
        <v>0</v>
      </c>
      <c r="AK1412" t="s">
        <v>10966</v>
      </c>
      <c r="AL1412">
        <v>0</v>
      </c>
      <c r="AR1412">
        <v>3.45</v>
      </c>
      <c r="AS1412" t="s">
        <v>6827</v>
      </c>
      <c r="AT1412" t="s">
        <v>186</v>
      </c>
      <c r="AV1412" t="s">
        <v>11231</v>
      </c>
      <c r="AW1412" t="s">
        <v>11128</v>
      </c>
    </row>
    <row r="1413" spans="1:49">
      <c r="A1413" s="1">
        <f>HYPERLINK("https://lsnyc.legalserver.org/matter/dynamic-profile/view/1901735","19-1901735")</f>
        <v>0</v>
      </c>
      <c r="B1413" t="s">
        <v>243</v>
      </c>
      <c r="C1413" t="s">
        <v>1233</v>
      </c>
      <c r="D1413" t="s">
        <v>2603</v>
      </c>
      <c r="E1413" t="s">
        <v>4361</v>
      </c>
      <c r="F1413" t="s">
        <v>5261</v>
      </c>
      <c r="G1413" t="s">
        <v>5644</v>
      </c>
      <c r="H1413">
        <v>11434</v>
      </c>
      <c r="I1413" t="s">
        <v>5697</v>
      </c>
      <c r="J1413" t="s">
        <v>5696</v>
      </c>
      <c r="K1413" t="s">
        <v>6403</v>
      </c>
      <c r="L1413" t="s">
        <v>6714</v>
      </c>
      <c r="M1413" t="s">
        <v>6736</v>
      </c>
      <c r="O1413" t="s">
        <v>6752</v>
      </c>
      <c r="P1413" t="s">
        <v>5695</v>
      </c>
      <c r="R1413" t="s">
        <v>6793</v>
      </c>
      <c r="U1413">
        <v>743</v>
      </c>
      <c r="V1413" t="s">
        <v>6837</v>
      </c>
      <c r="Y1413" t="s">
        <v>8192</v>
      </c>
      <c r="Z1413" t="s">
        <v>5741</v>
      </c>
      <c r="AA1413" t="s">
        <v>10232</v>
      </c>
      <c r="AB1413">
        <v>5860</v>
      </c>
      <c r="AC1413" t="s">
        <v>8953</v>
      </c>
      <c r="AD1413" t="s">
        <v>5741</v>
      </c>
      <c r="AE1413">
        <v>14</v>
      </c>
      <c r="AF1413">
        <v>1</v>
      </c>
      <c r="AG1413">
        <v>0</v>
      </c>
      <c r="AH1413">
        <v>0</v>
      </c>
      <c r="AK1413" t="s">
        <v>10966</v>
      </c>
      <c r="AL1413">
        <v>0</v>
      </c>
      <c r="AR1413">
        <v>7.85</v>
      </c>
      <c r="AS1413" t="s">
        <v>6815</v>
      </c>
      <c r="AT1413" t="s">
        <v>11184</v>
      </c>
      <c r="AU1413" t="s">
        <v>5741</v>
      </c>
      <c r="AV1413" t="s">
        <v>11231</v>
      </c>
      <c r="AW1413" t="s">
        <v>11149</v>
      </c>
    </row>
    <row r="1414" spans="1:49">
      <c r="A1414" s="1">
        <f>HYPERLINK("https://lsnyc.legalserver.org/matter/dynamic-profile/view/1906150","19-1906150")</f>
        <v>0</v>
      </c>
      <c r="B1414" t="s">
        <v>92</v>
      </c>
      <c r="C1414" t="s">
        <v>1234</v>
      </c>
      <c r="D1414" t="s">
        <v>1934</v>
      </c>
      <c r="E1414" t="s">
        <v>4362</v>
      </c>
      <c r="F1414" t="s">
        <v>5380</v>
      </c>
      <c r="G1414" t="s">
        <v>5637</v>
      </c>
      <c r="H1414">
        <v>11221</v>
      </c>
      <c r="I1414" t="s">
        <v>5695</v>
      </c>
      <c r="J1414" t="s">
        <v>5696</v>
      </c>
      <c r="K1414" t="s">
        <v>6404</v>
      </c>
      <c r="L1414" t="s">
        <v>6714</v>
      </c>
      <c r="M1414" t="s">
        <v>6736</v>
      </c>
      <c r="O1414" t="s">
        <v>6755</v>
      </c>
      <c r="P1414" t="s">
        <v>5697</v>
      </c>
      <c r="R1414" t="s">
        <v>6793</v>
      </c>
      <c r="S1414" t="s">
        <v>6801</v>
      </c>
      <c r="T1414" t="s">
        <v>6820</v>
      </c>
      <c r="U1414">
        <v>821</v>
      </c>
      <c r="V1414" t="s">
        <v>6835</v>
      </c>
      <c r="W1414" t="s">
        <v>6854</v>
      </c>
      <c r="Y1414" t="s">
        <v>8193</v>
      </c>
      <c r="Z1414" t="s">
        <v>5741</v>
      </c>
      <c r="AA1414" t="s">
        <v>10233</v>
      </c>
      <c r="AB1414">
        <v>6</v>
      </c>
      <c r="AC1414" t="s">
        <v>10929</v>
      </c>
      <c r="AD1414" t="s">
        <v>10944</v>
      </c>
      <c r="AE1414">
        <v>12</v>
      </c>
      <c r="AF1414">
        <v>1</v>
      </c>
      <c r="AG1414">
        <v>0</v>
      </c>
      <c r="AH1414">
        <v>0</v>
      </c>
      <c r="AK1414" t="s">
        <v>10966</v>
      </c>
      <c r="AL1414">
        <v>0</v>
      </c>
      <c r="AR1414">
        <v>0.6</v>
      </c>
      <c r="AS1414" t="s">
        <v>6821</v>
      </c>
      <c r="AT1414" t="s">
        <v>11190</v>
      </c>
      <c r="AU1414" t="s">
        <v>11228</v>
      </c>
      <c r="AV1414" t="s">
        <v>11231</v>
      </c>
      <c r="AW1414" t="s">
        <v>6821</v>
      </c>
    </row>
    <row r="1415" spans="1:49">
      <c r="A1415" s="1">
        <f>HYPERLINK("https://lsnyc.legalserver.org/matter/dynamic-profile/view/1904284","19-1904284")</f>
        <v>0</v>
      </c>
      <c r="B1415" t="s">
        <v>101</v>
      </c>
      <c r="C1415" t="s">
        <v>1235</v>
      </c>
      <c r="D1415" t="s">
        <v>2276</v>
      </c>
      <c r="E1415" t="s">
        <v>4363</v>
      </c>
      <c r="F1415" t="s">
        <v>5187</v>
      </c>
      <c r="G1415" t="s">
        <v>5636</v>
      </c>
      <c r="H1415">
        <v>10314</v>
      </c>
      <c r="I1415" t="s">
        <v>5695</v>
      </c>
      <c r="J1415" t="s">
        <v>5696</v>
      </c>
      <c r="K1415" t="s">
        <v>6405</v>
      </c>
      <c r="L1415" t="s">
        <v>6714</v>
      </c>
      <c r="M1415" t="s">
        <v>6736</v>
      </c>
      <c r="O1415" t="s">
        <v>6762</v>
      </c>
      <c r="P1415" t="s">
        <v>5697</v>
      </c>
      <c r="R1415" t="s">
        <v>6794</v>
      </c>
      <c r="S1415" t="s">
        <v>6801</v>
      </c>
      <c r="T1415" t="s">
        <v>6813</v>
      </c>
      <c r="U1415">
        <v>897</v>
      </c>
      <c r="V1415" t="s">
        <v>6834</v>
      </c>
      <c r="W1415" t="s">
        <v>6839</v>
      </c>
      <c r="Y1415" t="s">
        <v>8194</v>
      </c>
      <c r="AA1415" t="s">
        <v>10234</v>
      </c>
      <c r="AB1415">
        <v>0</v>
      </c>
      <c r="AC1415" t="s">
        <v>10931</v>
      </c>
      <c r="AD1415" t="s">
        <v>10944</v>
      </c>
      <c r="AE1415">
        <v>5</v>
      </c>
      <c r="AF1415">
        <v>1</v>
      </c>
      <c r="AG1415">
        <v>1</v>
      </c>
      <c r="AH1415">
        <v>158.95</v>
      </c>
      <c r="AK1415" t="s">
        <v>10966</v>
      </c>
      <c r="AL1415">
        <v>26878.8</v>
      </c>
      <c r="AR1415">
        <v>1.2</v>
      </c>
      <c r="AS1415" t="s">
        <v>6828</v>
      </c>
      <c r="AT1415" t="s">
        <v>11223</v>
      </c>
      <c r="AU1415" t="s">
        <v>11228</v>
      </c>
      <c r="AV1415" t="s">
        <v>11231</v>
      </c>
      <c r="AW1415" t="s">
        <v>6813</v>
      </c>
    </row>
    <row r="1416" spans="1:49">
      <c r="A1416" s="1">
        <f>HYPERLINK("https://lsnyc.legalserver.org/matter/dynamic-profile/view/1896202","19-1896202")</f>
        <v>0</v>
      </c>
      <c r="B1416" t="s">
        <v>78</v>
      </c>
      <c r="C1416" t="s">
        <v>1236</v>
      </c>
      <c r="D1416" t="s">
        <v>2247</v>
      </c>
      <c r="E1416" t="s">
        <v>4364</v>
      </c>
      <c r="G1416" t="s">
        <v>5638</v>
      </c>
      <c r="H1416">
        <v>10025</v>
      </c>
      <c r="I1416" t="s">
        <v>5696</v>
      </c>
      <c r="J1416" t="s">
        <v>5696</v>
      </c>
      <c r="L1416" t="s">
        <v>6714</v>
      </c>
      <c r="M1416" t="s">
        <v>6736</v>
      </c>
      <c r="O1416" t="s">
        <v>6749</v>
      </c>
      <c r="R1416" t="s">
        <v>6793</v>
      </c>
      <c r="U1416">
        <v>353</v>
      </c>
      <c r="V1416" t="s">
        <v>6836</v>
      </c>
      <c r="Y1416" t="s">
        <v>8195</v>
      </c>
      <c r="AA1416" t="s">
        <v>10235</v>
      </c>
      <c r="AB1416">
        <v>0</v>
      </c>
      <c r="AC1416" t="s">
        <v>10931</v>
      </c>
      <c r="AD1416" t="s">
        <v>5741</v>
      </c>
      <c r="AE1416">
        <v>0</v>
      </c>
      <c r="AF1416">
        <v>5</v>
      </c>
      <c r="AG1416">
        <v>0</v>
      </c>
      <c r="AH1416">
        <v>49.72</v>
      </c>
      <c r="AK1416" t="s">
        <v>10981</v>
      </c>
      <c r="AL1416">
        <v>15000</v>
      </c>
      <c r="AR1416">
        <v>18.15</v>
      </c>
      <c r="AS1416" t="s">
        <v>6808</v>
      </c>
      <c r="AT1416" t="s">
        <v>301</v>
      </c>
      <c r="AV1416" t="s">
        <v>11231</v>
      </c>
      <c r="AW1416" t="s">
        <v>11167</v>
      </c>
    </row>
    <row r="1417" spans="1:49">
      <c r="A1417" s="1">
        <f>HYPERLINK("https://lsnyc.legalserver.org/matter/dynamic-profile/view/1906169","19-1906169")</f>
        <v>0</v>
      </c>
      <c r="B1417" t="s">
        <v>92</v>
      </c>
      <c r="C1417" t="s">
        <v>367</v>
      </c>
      <c r="D1417" t="s">
        <v>1658</v>
      </c>
      <c r="E1417" t="s">
        <v>4365</v>
      </c>
      <c r="F1417" t="s">
        <v>5135</v>
      </c>
      <c r="G1417" t="s">
        <v>5637</v>
      </c>
      <c r="H1417">
        <v>11221</v>
      </c>
      <c r="I1417" t="s">
        <v>5697</v>
      </c>
      <c r="J1417" t="s">
        <v>5696</v>
      </c>
      <c r="K1417" t="s">
        <v>6406</v>
      </c>
      <c r="L1417" t="s">
        <v>6714</v>
      </c>
      <c r="M1417" t="s">
        <v>6736</v>
      </c>
      <c r="O1417" t="s">
        <v>6755</v>
      </c>
      <c r="P1417" t="s">
        <v>5697</v>
      </c>
      <c r="R1417" t="s">
        <v>6793</v>
      </c>
      <c r="S1417" t="s">
        <v>6803</v>
      </c>
      <c r="T1417" t="s">
        <v>6820</v>
      </c>
      <c r="U1417">
        <v>812</v>
      </c>
      <c r="V1417" t="s">
        <v>6835</v>
      </c>
      <c r="W1417" t="s">
        <v>6854</v>
      </c>
      <c r="Y1417" t="s">
        <v>8196</v>
      </c>
      <c r="Z1417" t="s">
        <v>5741</v>
      </c>
      <c r="AA1417" t="s">
        <v>10236</v>
      </c>
      <c r="AB1417">
        <v>6</v>
      </c>
      <c r="AD1417" t="s">
        <v>5741</v>
      </c>
      <c r="AE1417">
        <v>3</v>
      </c>
      <c r="AF1417">
        <v>1</v>
      </c>
      <c r="AG1417">
        <v>0</v>
      </c>
      <c r="AH1417">
        <v>106.58</v>
      </c>
      <c r="AK1417" t="s">
        <v>10966</v>
      </c>
      <c r="AL1417">
        <v>13312</v>
      </c>
      <c r="AR1417">
        <v>1.7</v>
      </c>
      <c r="AS1417" t="s">
        <v>6827</v>
      </c>
      <c r="AT1417" t="s">
        <v>11190</v>
      </c>
      <c r="AU1417" t="s">
        <v>11228</v>
      </c>
      <c r="AV1417" t="s">
        <v>11231</v>
      </c>
      <c r="AW1417" t="s">
        <v>6821</v>
      </c>
    </row>
    <row r="1418" spans="1:49">
      <c r="A1418" s="1">
        <f>HYPERLINK("https://lsnyc.legalserver.org/matter/dynamic-profile/view/1901387","19-1901387")</f>
        <v>0</v>
      </c>
      <c r="B1418" t="s">
        <v>195</v>
      </c>
      <c r="C1418" t="s">
        <v>1237</v>
      </c>
      <c r="D1418" t="s">
        <v>2604</v>
      </c>
      <c r="E1418" t="s">
        <v>4146</v>
      </c>
      <c r="F1418" t="s">
        <v>5255</v>
      </c>
      <c r="G1418" t="s">
        <v>5635</v>
      </c>
      <c r="H1418">
        <v>10467</v>
      </c>
      <c r="I1418" t="s">
        <v>5695</v>
      </c>
      <c r="J1418" t="s">
        <v>5696</v>
      </c>
      <c r="K1418" t="s">
        <v>6407</v>
      </c>
      <c r="L1418" t="s">
        <v>6714</v>
      </c>
      <c r="M1418" t="s">
        <v>6736</v>
      </c>
      <c r="O1418" t="s">
        <v>6763</v>
      </c>
      <c r="P1418" t="s">
        <v>5697</v>
      </c>
      <c r="R1418" t="s">
        <v>6793</v>
      </c>
      <c r="S1418" t="s">
        <v>6801</v>
      </c>
      <c r="U1418">
        <v>1202</v>
      </c>
      <c r="V1418" t="s">
        <v>6833</v>
      </c>
      <c r="W1418" t="s">
        <v>6840</v>
      </c>
      <c r="Y1418" t="s">
        <v>8197</v>
      </c>
      <c r="Z1418" t="s">
        <v>9032</v>
      </c>
      <c r="AA1418" t="s">
        <v>10237</v>
      </c>
      <c r="AB1418">
        <v>3</v>
      </c>
      <c r="AC1418" t="s">
        <v>10929</v>
      </c>
      <c r="AD1418" t="s">
        <v>10950</v>
      </c>
      <c r="AE1418">
        <v>3</v>
      </c>
      <c r="AF1418">
        <v>2</v>
      </c>
      <c r="AG1418">
        <v>2</v>
      </c>
      <c r="AH1418">
        <v>119.1</v>
      </c>
      <c r="AK1418" t="s">
        <v>10966</v>
      </c>
      <c r="AL1418">
        <v>30668</v>
      </c>
      <c r="AR1418">
        <v>1.1</v>
      </c>
      <c r="AS1418" t="s">
        <v>6811</v>
      </c>
      <c r="AT1418" t="s">
        <v>11196</v>
      </c>
      <c r="AV1418" t="s">
        <v>11231</v>
      </c>
      <c r="AW1418" t="s">
        <v>11148</v>
      </c>
    </row>
    <row r="1419" spans="1:49">
      <c r="A1419" s="1">
        <f>HYPERLINK("https://lsnyc.legalserver.org/matter/dynamic-profile/view/1903176","19-1903176")</f>
        <v>0</v>
      </c>
      <c r="B1419" t="s">
        <v>205</v>
      </c>
      <c r="C1419" t="s">
        <v>453</v>
      </c>
      <c r="D1419" t="s">
        <v>1717</v>
      </c>
      <c r="E1419" t="s">
        <v>4366</v>
      </c>
      <c r="F1419" t="s">
        <v>5105</v>
      </c>
      <c r="G1419" t="s">
        <v>5637</v>
      </c>
      <c r="H1419">
        <v>11233</v>
      </c>
      <c r="I1419" t="s">
        <v>5695</v>
      </c>
      <c r="J1419" t="s">
        <v>5696</v>
      </c>
      <c r="K1419" t="s">
        <v>6408</v>
      </c>
      <c r="L1419" t="s">
        <v>6714</v>
      </c>
      <c r="M1419" t="s">
        <v>6736</v>
      </c>
      <c r="O1419" t="s">
        <v>6745</v>
      </c>
      <c r="P1419" t="s">
        <v>5697</v>
      </c>
      <c r="R1419" t="s">
        <v>6793</v>
      </c>
      <c r="S1419" t="s">
        <v>6801</v>
      </c>
      <c r="T1419" t="s">
        <v>6815</v>
      </c>
      <c r="U1419">
        <v>1300</v>
      </c>
      <c r="V1419" t="s">
        <v>6835</v>
      </c>
      <c r="W1419" t="s">
        <v>6848</v>
      </c>
      <c r="Y1419" t="s">
        <v>8198</v>
      </c>
      <c r="Z1419" t="s">
        <v>5741</v>
      </c>
      <c r="AA1419" t="s">
        <v>10238</v>
      </c>
      <c r="AB1419">
        <v>6</v>
      </c>
      <c r="AC1419" t="s">
        <v>10929</v>
      </c>
      <c r="AD1419" t="s">
        <v>5741</v>
      </c>
      <c r="AE1419">
        <v>10</v>
      </c>
      <c r="AF1419">
        <v>1</v>
      </c>
      <c r="AG1419">
        <v>0</v>
      </c>
      <c r="AH1419">
        <v>376.3</v>
      </c>
      <c r="AK1419" t="s">
        <v>10966</v>
      </c>
      <c r="AL1419">
        <v>47000</v>
      </c>
      <c r="AR1419">
        <v>3.8</v>
      </c>
      <c r="AS1419" t="s">
        <v>6824</v>
      </c>
      <c r="AT1419" t="s">
        <v>69</v>
      </c>
      <c r="AU1419" t="s">
        <v>11228</v>
      </c>
      <c r="AV1419" t="s">
        <v>11231</v>
      </c>
      <c r="AW1419" t="s">
        <v>10953</v>
      </c>
    </row>
    <row r="1420" spans="1:49">
      <c r="A1420" s="1">
        <f>HYPERLINK("https://lsnyc.legalserver.org/matter/dynamic-profile/view/1896830","19-1896830")</f>
        <v>0</v>
      </c>
      <c r="B1420" t="s">
        <v>105</v>
      </c>
      <c r="C1420" t="s">
        <v>1002</v>
      </c>
      <c r="D1420" t="s">
        <v>2605</v>
      </c>
      <c r="E1420" t="s">
        <v>4367</v>
      </c>
      <c r="F1420">
        <v>1</v>
      </c>
      <c r="G1420" t="s">
        <v>5635</v>
      </c>
      <c r="H1420">
        <v>10457</v>
      </c>
      <c r="I1420" t="s">
        <v>5695</v>
      </c>
      <c r="J1420" t="s">
        <v>5696</v>
      </c>
      <c r="K1420" t="s">
        <v>6409</v>
      </c>
      <c r="L1420" t="s">
        <v>6714</v>
      </c>
      <c r="M1420" t="s">
        <v>6736</v>
      </c>
      <c r="O1420" t="s">
        <v>6763</v>
      </c>
      <c r="P1420" t="s">
        <v>5697</v>
      </c>
      <c r="R1420" t="s">
        <v>6793</v>
      </c>
      <c r="U1420">
        <v>1269</v>
      </c>
      <c r="V1420" t="s">
        <v>6833</v>
      </c>
      <c r="Y1420" t="s">
        <v>8199</v>
      </c>
      <c r="Z1420" t="s">
        <v>9033</v>
      </c>
      <c r="AA1420" t="s">
        <v>10239</v>
      </c>
      <c r="AB1420">
        <v>25</v>
      </c>
      <c r="AC1420" t="s">
        <v>10929</v>
      </c>
      <c r="AD1420" t="s">
        <v>10944</v>
      </c>
      <c r="AE1420">
        <v>11</v>
      </c>
      <c r="AF1420">
        <v>1</v>
      </c>
      <c r="AG1420">
        <v>1</v>
      </c>
      <c r="AH1420">
        <v>64.08</v>
      </c>
      <c r="AK1420" t="s">
        <v>10966</v>
      </c>
      <c r="AL1420">
        <v>10836</v>
      </c>
      <c r="AR1420">
        <v>5.1</v>
      </c>
      <c r="AS1420" t="s">
        <v>11139</v>
      </c>
      <c r="AT1420" t="s">
        <v>11189</v>
      </c>
      <c r="AU1420" t="s">
        <v>11229</v>
      </c>
      <c r="AV1420" t="s">
        <v>11231</v>
      </c>
      <c r="AW1420" t="s">
        <v>11232</v>
      </c>
    </row>
    <row r="1421" spans="1:49">
      <c r="A1421" s="1">
        <f>HYPERLINK("https://lsnyc.legalserver.org/matter/dynamic-profile/view/1904101","19-1904101")</f>
        <v>0</v>
      </c>
      <c r="B1421" t="s">
        <v>259</v>
      </c>
      <c r="C1421" t="s">
        <v>345</v>
      </c>
      <c r="D1421" t="s">
        <v>2606</v>
      </c>
      <c r="E1421" t="s">
        <v>4368</v>
      </c>
      <c r="F1421" t="s">
        <v>5199</v>
      </c>
      <c r="G1421" t="s">
        <v>5635</v>
      </c>
      <c r="H1421">
        <v>10457</v>
      </c>
      <c r="I1421" t="s">
        <v>5695</v>
      </c>
      <c r="J1421" t="s">
        <v>5696</v>
      </c>
      <c r="K1421" t="s">
        <v>6410</v>
      </c>
      <c r="L1421" t="s">
        <v>6714</v>
      </c>
      <c r="M1421" t="s">
        <v>6736</v>
      </c>
      <c r="O1421" t="s">
        <v>6763</v>
      </c>
      <c r="P1421" t="s">
        <v>5697</v>
      </c>
      <c r="R1421" t="s">
        <v>6793</v>
      </c>
      <c r="S1421" t="s">
        <v>6802</v>
      </c>
      <c r="T1421" t="s">
        <v>6817</v>
      </c>
      <c r="U1421">
        <v>1375</v>
      </c>
      <c r="V1421" t="s">
        <v>6833</v>
      </c>
      <c r="Y1421" t="s">
        <v>8200</v>
      </c>
      <c r="Z1421" t="s">
        <v>9034</v>
      </c>
      <c r="AA1421" t="s">
        <v>10240</v>
      </c>
      <c r="AB1421">
        <v>0</v>
      </c>
      <c r="AD1421" t="s">
        <v>5741</v>
      </c>
      <c r="AE1421">
        <v>3</v>
      </c>
      <c r="AF1421">
        <v>2</v>
      </c>
      <c r="AG1421">
        <v>0</v>
      </c>
      <c r="AH1421">
        <v>92.25</v>
      </c>
      <c r="AK1421" t="s">
        <v>10967</v>
      </c>
      <c r="AL1421">
        <v>15600</v>
      </c>
      <c r="AR1421">
        <v>12.45</v>
      </c>
      <c r="AS1421" t="s">
        <v>6827</v>
      </c>
      <c r="AT1421" t="s">
        <v>288</v>
      </c>
      <c r="AU1421" t="s">
        <v>11229</v>
      </c>
      <c r="AV1421" t="s">
        <v>11231</v>
      </c>
      <c r="AW1421" t="s">
        <v>6817</v>
      </c>
    </row>
    <row r="1422" spans="1:49">
      <c r="A1422" s="1">
        <f>HYPERLINK("https://lsnyc.legalserver.org/matter/dynamic-profile/view/1904024","19-1904024")</f>
        <v>0</v>
      </c>
      <c r="B1422" t="s">
        <v>276</v>
      </c>
      <c r="C1422" t="s">
        <v>479</v>
      </c>
      <c r="D1422" t="s">
        <v>1676</v>
      </c>
      <c r="E1422" t="s">
        <v>4369</v>
      </c>
      <c r="F1422" t="s">
        <v>5509</v>
      </c>
      <c r="G1422" t="s">
        <v>5637</v>
      </c>
      <c r="H1422">
        <v>11207</v>
      </c>
      <c r="I1422" t="s">
        <v>5696</v>
      </c>
      <c r="J1422" t="s">
        <v>5696</v>
      </c>
      <c r="K1422" t="s">
        <v>6411</v>
      </c>
      <c r="L1422" t="s">
        <v>6714</v>
      </c>
      <c r="M1422" t="s">
        <v>6736</v>
      </c>
      <c r="O1422" t="s">
        <v>6753</v>
      </c>
      <c r="R1422" t="s">
        <v>6793</v>
      </c>
      <c r="T1422" t="s">
        <v>6825</v>
      </c>
      <c r="U1422">
        <v>275</v>
      </c>
      <c r="V1422" t="s">
        <v>6835</v>
      </c>
      <c r="Y1422" t="s">
        <v>8201</v>
      </c>
      <c r="AA1422" t="s">
        <v>10241</v>
      </c>
      <c r="AB1422">
        <v>0</v>
      </c>
      <c r="AE1422">
        <v>0</v>
      </c>
      <c r="AF1422">
        <v>1</v>
      </c>
      <c r="AG1422">
        <v>0</v>
      </c>
      <c r="AH1422">
        <v>268.78</v>
      </c>
      <c r="AK1422" t="s">
        <v>10966</v>
      </c>
      <c r="AL1422">
        <v>33570</v>
      </c>
      <c r="AR1422">
        <v>2.5</v>
      </c>
      <c r="AS1422" t="s">
        <v>6810</v>
      </c>
      <c r="AT1422" t="s">
        <v>276</v>
      </c>
      <c r="AV1422" t="s">
        <v>11231</v>
      </c>
      <c r="AW1422" t="s">
        <v>6825</v>
      </c>
    </row>
    <row r="1423" spans="1:49">
      <c r="A1423" s="1">
        <f>HYPERLINK("https://lsnyc.legalserver.org/matter/dynamic-profile/view/1905520","19-1905520")</f>
        <v>0</v>
      </c>
      <c r="B1423" t="s">
        <v>100</v>
      </c>
      <c r="C1423" t="s">
        <v>562</v>
      </c>
      <c r="D1423" t="s">
        <v>1912</v>
      </c>
      <c r="E1423" t="s">
        <v>4370</v>
      </c>
      <c r="F1423" t="s">
        <v>5510</v>
      </c>
      <c r="G1423" t="s">
        <v>5635</v>
      </c>
      <c r="H1423">
        <v>10467</v>
      </c>
      <c r="I1423" t="s">
        <v>5695</v>
      </c>
      <c r="J1423" t="s">
        <v>5696</v>
      </c>
      <c r="K1423" t="s">
        <v>6412</v>
      </c>
      <c r="L1423" t="s">
        <v>6714</v>
      </c>
      <c r="M1423" t="s">
        <v>6736</v>
      </c>
      <c r="O1423" t="s">
        <v>6747</v>
      </c>
      <c r="P1423" t="s">
        <v>5697</v>
      </c>
      <c r="R1423" t="s">
        <v>6793</v>
      </c>
      <c r="T1423" t="s">
        <v>6819</v>
      </c>
      <c r="U1423">
        <v>2000</v>
      </c>
      <c r="V1423" t="s">
        <v>6833</v>
      </c>
      <c r="W1423" t="s">
        <v>6839</v>
      </c>
      <c r="Y1423" t="s">
        <v>8202</v>
      </c>
      <c r="AA1423" t="s">
        <v>10242</v>
      </c>
      <c r="AB1423">
        <v>68</v>
      </c>
      <c r="AC1423" t="s">
        <v>8953</v>
      </c>
      <c r="AD1423" t="s">
        <v>5741</v>
      </c>
      <c r="AE1423">
        <v>15</v>
      </c>
      <c r="AF1423">
        <v>2</v>
      </c>
      <c r="AG1423">
        <v>1</v>
      </c>
      <c r="AH1423">
        <v>168.78</v>
      </c>
      <c r="AK1423" t="s">
        <v>10966</v>
      </c>
      <c r="AL1423">
        <v>36000</v>
      </c>
      <c r="AR1423">
        <v>1.2</v>
      </c>
      <c r="AS1423" t="s">
        <v>6823</v>
      </c>
      <c r="AT1423" t="s">
        <v>11187</v>
      </c>
      <c r="AU1423" t="s">
        <v>11228</v>
      </c>
      <c r="AV1423" t="s">
        <v>11231</v>
      </c>
      <c r="AW1423" t="s">
        <v>6819</v>
      </c>
    </row>
    <row r="1424" spans="1:49">
      <c r="A1424" s="1">
        <f>HYPERLINK("https://lsnyc.legalserver.org/matter/dynamic-profile/view/1905959","19-1905959")</f>
        <v>0</v>
      </c>
      <c r="B1424" t="s">
        <v>108</v>
      </c>
      <c r="C1424" t="s">
        <v>1238</v>
      </c>
      <c r="D1424" t="s">
        <v>2607</v>
      </c>
      <c r="E1424" t="s">
        <v>4371</v>
      </c>
      <c r="F1424" t="s">
        <v>5101</v>
      </c>
      <c r="G1424" t="s">
        <v>5635</v>
      </c>
      <c r="H1424">
        <v>10457</v>
      </c>
      <c r="I1424" t="s">
        <v>5695</v>
      </c>
      <c r="J1424" t="s">
        <v>5696</v>
      </c>
      <c r="K1424" t="s">
        <v>6413</v>
      </c>
      <c r="L1424" t="s">
        <v>6714</v>
      </c>
      <c r="M1424" t="s">
        <v>6736</v>
      </c>
      <c r="O1424" t="s">
        <v>6763</v>
      </c>
      <c r="P1424" t="s">
        <v>5697</v>
      </c>
      <c r="R1424" t="s">
        <v>6793</v>
      </c>
      <c r="U1424">
        <v>1089</v>
      </c>
      <c r="V1424" t="s">
        <v>6833</v>
      </c>
      <c r="W1424" t="s">
        <v>6840</v>
      </c>
      <c r="Y1424" t="s">
        <v>8203</v>
      </c>
      <c r="AA1424" t="s">
        <v>10243</v>
      </c>
      <c r="AB1424">
        <v>54</v>
      </c>
      <c r="AC1424" t="s">
        <v>10929</v>
      </c>
      <c r="AE1424">
        <v>6</v>
      </c>
      <c r="AF1424">
        <v>1</v>
      </c>
      <c r="AG1424">
        <v>1</v>
      </c>
      <c r="AH1424">
        <v>178.83</v>
      </c>
      <c r="AL1424">
        <v>30240</v>
      </c>
      <c r="AR1424">
        <v>1</v>
      </c>
      <c r="AS1424" t="s">
        <v>11168</v>
      </c>
      <c r="AT1424" t="s">
        <v>288</v>
      </c>
      <c r="AU1424" t="s">
        <v>11228</v>
      </c>
      <c r="AV1424" t="s">
        <v>11231</v>
      </c>
      <c r="AW1424" t="s">
        <v>6826</v>
      </c>
    </row>
    <row r="1425" spans="1:49">
      <c r="A1425" s="1">
        <f>HYPERLINK("https://lsnyc.legalserver.org/matter/dynamic-profile/view/1902812","19-1902812")</f>
        <v>0</v>
      </c>
      <c r="B1425" t="s">
        <v>189</v>
      </c>
      <c r="C1425" t="s">
        <v>1239</v>
      </c>
      <c r="D1425" t="s">
        <v>2608</v>
      </c>
      <c r="E1425" t="s">
        <v>4372</v>
      </c>
      <c r="F1425" t="s">
        <v>5240</v>
      </c>
      <c r="G1425" t="s">
        <v>5649</v>
      </c>
      <c r="H1425">
        <v>11385</v>
      </c>
      <c r="I1425" t="s">
        <v>5695</v>
      </c>
      <c r="J1425" t="s">
        <v>5696</v>
      </c>
      <c r="K1425" t="s">
        <v>6414</v>
      </c>
      <c r="L1425" t="s">
        <v>6714</v>
      </c>
      <c r="M1425" t="s">
        <v>6736</v>
      </c>
      <c r="O1425" t="s">
        <v>6752</v>
      </c>
      <c r="P1425" t="s">
        <v>5695</v>
      </c>
      <c r="R1425" t="s">
        <v>6793</v>
      </c>
      <c r="U1425">
        <v>17000</v>
      </c>
      <c r="V1425" t="s">
        <v>6837</v>
      </c>
      <c r="W1425" t="s">
        <v>6840</v>
      </c>
      <c r="Y1425" t="s">
        <v>8204</v>
      </c>
      <c r="AA1425" t="s">
        <v>10244</v>
      </c>
      <c r="AB1425">
        <v>6</v>
      </c>
      <c r="AC1425" t="s">
        <v>8953</v>
      </c>
      <c r="AD1425" t="s">
        <v>5741</v>
      </c>
      <c r="AE1425">
        <v>5</v>
      </c>
      <c r="AF1425">
        <v>4</v>
      </c>
      <c r="AG1425">
        <v>2</v>
      </c>
      <c r="AH1425">
        <v>151.08</v>
      </c>
      <c r="AK1425" t="s">
        <v>10966</v>
      </c>
      <c r="AL1425">
        <v>52258</v>
      </c>
      <c r="AR1425">
        <v>20.2</v>
      </c>
      <c r="AS1425" t="s">
        <v>6810</v>
      </c>
      <c r="AT1425" t="s">
        <v>11184</v>
      </c>
      <c r="AU1425" t="s">
        <v>11228</v>
      </c>
      <c r="AV1425" t="s">
        <v>11231</v>
      </c>
      <c r="AW1425" t="s">
        <v>11133</v>
      </c>
    </row>
    <row r="1426" spans="1:49">
      <c r="A1426" s="1">
        <f>HYPERLINK("https://lsnyc.legalserver.org/matter/dynamic-profile/view/1902968","19-1902968")</f>
        <v>0</v>
      </c>
      <c r="B1426" t="s">
        <v>95</v>
      </c>
      <c r="C1426" t="s">
        <v>1240</v>
      </c>
      <c r="D1426" t="s">
        <v>2609</v>
      </c>
      <c r="E1426" t="s">
        <v>4373</v>
      </c>
      <c r="F1426" t="s">
        <v>5180</v>
      </c>
      <c r="G1426" t="s">
        <v>5637</v>
      </c>
      <c r="H1426">
        <v>11226</v>
      </c>
      <c r="I1426" t="s">
        <v>5695</v>
      </c>
      <c r="J1426" t="s">
        <v>5696</v>
      </c>
      <c r="K1426" t="s">
        <v>6415</v>
      </c>
      <c r="L1426" t="s">
        <v>6714</v>
      </c>
      <c r="M1426" t="s">
        <v>6736</v>
      </c>
      <c r="O1426" t="s">
        <v>6755</v>
      </c>
      <c r="R1426" t="s">
        <v>6793</v>
      </c>
      <c r="T1426" t="s">
        <v>6811</v>
      </c>
      <c r="U1426">
        <v>0</v>
      </c>
      <c r="V1426" t="s">
        <v>6835</v>
      </c>
      <c r="W1426" t="s">
        <v>6840</v>
      </c>
      <c r="Y1426" t="s">
        <v>8205</v>
      </c>
      <c r="AA1426" t="s">
        <v>10245</v>
      </c>
      <c r="AB1426">
        <v>25</v>
      </c>
      <c r="AE1426">
        <v>0</v>
      </c>
      <c r="AF1426">
        <v>7</v>
      </c>
      <c r="AG1426">
        <v>1</v>
      </c>
      <c r="AH1426">
        <v>127.76</v>
      </c>
      <c r="AK1426" t="s">
        <v>10966</v>
      </c>
      <c r="AL1426">
        <v>55488</v>
      </c>
      <c r="AR1426">
        <v>11.9</v>
      </c>
      <c r="AS1426" t="s">
        <v>6827</v>
      </c>
      <c r="AT1426" t="s">
        <v>11178</v>
      </c>
      <c r="AU1426" t="s">
        <v>11228</v>
      </c>
      <c r="AV1426" t="s">
        <v>11231</v>
      </c>
      <c r="AW1426" t="s">
        <v>11138</v>
      </c>
    </row>
    <row r="1427" spans="1:49">
      <c r="A1427" s="1">
        <f>HYPERLINK("https://lsnyc.legalserver.org/matter/dynamic-profile/view/1905301","19-1905301")</f>
        <v>0</v>
      </c>
      <c r="B1427" t="s">
        <v>109</v>
      </c>
      <c r="C1427" t="s">
        <v>472</v>
      </c>
      <c r="D1427" t="s">
        <v>2610</v>
      </c>
      <c r="E1427" t="s">
        <v>4374</v>
      </c>
      <c r="F1427" t="s">
        <v>5158</v>
      </c>
      <c r="G1427" t="s">
        <v>5635</v>
      </c>
      <c r="H1427">
        <v>10472</v>
      </c>
      <c r="I1427" t="s">
        <v>5695</v>
      </c>
      <c r="J1427" t="s">
        <v>5696</v>
      </c>
      <c r="K1427" t="s">
        <v>6416</v>
      </c>
      <c r="L1427" t="s">
        <v>6714</v>
      </c>
      <c r="M1427" t="s">
        <v>6736</v>
      </c>
      <c r="O1427" t="s">
        <v>6745</v>
      </c>
      <c r="P1427" t="s">
        <v>5697</v>
      </c>
      <c r="R1427" t="s">
        <v>6793</v>
      </c>
      <c r="U1427">
        <v>1350</v>
      </c>
      <c r="V1427" t="s">
        <v>6833</v>
      </c>
      <c r="W1427" t="s">
        <v>6843</v>
      </c>
      <c r="Y1427" t="s">
        <v>8206</v>
      </c>
      <c r="Z1427" t="s">
        <v>9035</v>
      </c>
      <c r="AA1427" t="s">
        <v>10246</v>
      </c>
      <c r="AB1427">
        <v>4</v>
      </c>
      <c r="AC1427" t="s">
        <v>10930</v>
      </c>
      <c r="AD1427" t="s">
        <v>5741</v>
      </c>
      <c r="AE1427">
        <v>1</v>
      </c>
      <c r="AF1427">
        <v>1</v>
      </c>
      <c r="AG1427">
        <v>1</v>
      </c>
      <c r="AH1427">
        <v>176.27</v>
      </c>
      <c r="AK1427" t="s">
        <v>10966</v>
      </c>
      <c r="AL1427">
        <v>29808</v>
      </c>
      <c r="AR1427">
        <v>1</v>
      </c>
      <c r="AS1427" t="s">
        <v>6819</v>
      </c>
      <c r="AT1427" t="s">
        <v>11179</v>
      </c>
      <c r="AU1427" t="s">
        <v>11228</v>
      </c>
      <c r="AV1427" t="s">
        <v>11231</v>
      </c>
      <c r="AW1427" t="s">
        <v>6808</v>
      </c>
    </row>
    <row r="1428" spans="1:49">
      <c r="A1428" s="1">
        <f>HYPERLINK("https://lsnyc.legalserver.org/matter/dynamic-profile/view/1902289","19-1902289")</f>
        <v>0</v>
      </c>
      <c r="B1428" t="s">
        <v>184</v>
      </c>
      <c r="C1428" t="s">
        <v>1241</v>
      </c>
      <c r="D1428" t="s">
        <v>2611</v>
      </c>
      <c r="E1428" t="s">
        <v>4375</v>
      </c>
      <c r="F1428" t="s">
        <v>5237</v>
      </c>
      <c r="G1428" t="s">
        <v>5644</v>
      </c>
      <c r="H1428">
        <v>11435</v>
      </c>
      <c r="I1428" t="s">
        <v>5695</v>
      </c>
      <c r="J1428" t="s">
        <v>5696</v>
      </c>
      <c r="K1428" t="s">
        <v>6417</v>
      </c>
      <c r="L1428" t="s">
        <v>6714</v>
      </c>
      <c r="M1428" t="s">
        <v>6736</v>
      </c>
      <c r="O1428" t="s">
        <v>6745</v>
      </c>
      <c r="P1428" t="s">
        <v>5697</v>
      </c>
      <c r="R1428" t="s">
        <v>6793</v>
      </c>
      <c r="S1428" t="s">
        <v>6802</v>
      </c>
      <c r="T1428" t="s">
        <v>6829</v>
      </c>
      <c r="U1428">
        <v>1145</v>
      </c>
      <c r="V1428" t="s">
        <v>6837</v>
      </c>
      <c r="W1428" t="s">
        <v>6840</v>
      </c>
      <c r="Y1428" t="s">
        <v>8207</v>
      </c>
      <c r="Z1428" t="s">
        <v>9036</v>
      </c>
      <c r="AA1428" t="s">
        <v>10247</v>
      </c>
      <c r="AB1428">
        <v>36</v>
      </c>
      <c r="AC1428" t="s">
        <v>8953</v>
      </c>
      <c r="AD1428" t="s">
        <v>5741</v>
      </c>
      <c r="AE1428">
        <v>7</v>
      </c>
      <c r="AF1428">
        <v>1</v>
      </c>
      <c r="AG1428">
        <v>1</v>
      </c>
      <c r="AH1428">
        <v>54.29</v>
      </c>
      <c r="AK1428" t="s">
        <v>10966</v>
      </c>
      <c r="AL1428">
        <v>9180</v>
      </c>
      <c r="AR1428">
        <v>3.6</v>
      </c>
      <c r="AS1428" t="s">
        <v>6829</v>
      </c>
      <c r="AT1428" t="s">
        <v>11182</v>
      </c>
      <c r="AU1428" t="s">
        <v>11228</v>
      </c>
      <c r="AV1428" t="s">
        <v>11231</v>
      </c>
      <c r="AW1428" t="s">
        <v>11140</v>
      </c>
    </row>
    <row r="1429" spans="1:49">
      <c r="A1429" s="1">
        <f>HYPERLINK("https://lsnyc.legalserver.org/matter/dynamic-profile/view/1906152","19-1906152")</f>
        <v>0</v>
      </c>
      <c r="B1429" t="s">
        <v>92</v>
      </c>
      <c r="C1429" t="s">
        <v>1242</v>
      </c>
      <c r="D1429" t="s">
        <v>2612</v>
      </c>
      <c r="E1429" t="s">
        <v>4376</v>
      </c>
      <c r="F1429" t="s">
        <v>5511</v>
      </c>
      <c r="G1429" t="s">
        <v>5637</v>
      </c>
      <c r="H1429">
        <v>11221</v>
      </c>
      <c r="I1429" t="s">
        <v>5695</v>
      </c>
      <c r="J1429" t="s">
        <v>5696</v>
      </c>
      <c r="K1429" t="s">
        <v>6418</v>
      </c>
      <c r="L1429" t="s">
        <v>6714</v>
      </c>
      <c r="M1429" t="s">
        <v>6736</v>
      </c>
      <c r="O1429" t="s">
        <v>6755</v>
      </c>
      <c r="P1429" t="s">
        <v>5697</v>
      </c>
      <c r="R1429" t="s">
        <v>6793</v>
      </c>
      <c r="S1429" t="s">
        <v>6801</v>
      </c>
      <c r="T1429" t="s">
        <v>6820</v>
      </c>
      <c r="U1429">
        <v>1571.21</v>
      </c>
      <c r="V1429" t="s">
        <v>6835</v>
      </c>
      <c r="W1429" t="s">
        <v>6854</v>
      </c>
      <c r="Y1429" t="s">
        <v>8208</v>
      </c>
      <c r="Z1429" t="s">
        <v>5741</v>
      </c>
      <c r="AA1429" t="s">
        <v>10248</v>
      </c>
      <c r="AB1429">
        <v>97</v>
      </c>
      <c r="AC1429" t="s">
        <v>10929</v>
      </c>
      <c r="AD1429" t="s">
        <v>5741</v>
      </c>
      <c r="AE1429">
        <v>3</v>
      </c>
      <c r="AF1429">
        <v>1</v>
      </c>
      <c r="AG1429">
        <v>2</v>
      </c>
      <c r="AH1429">
        <v>0</v>
      </c>
      <c r="AK1429" t="s">
        <v>10966</v>
      </c>
      <c r="AL1429">
        <v>0</v>
      </c>
      <c r="AR1429">
        <v>0.7</v>
      </c>
      <c r="AS1429" t="s">
        <v>6821</v>
      </c>
      <c r="AT1429" t="s">
        <v>11190</v>
      </c>
      <c r="AU1429" t="s">
        <v>11228</v>
      </c>
      <c r="AV1429" t="s">
        <v>11231</v>
      </c>
      <c r="AW1429" t="s">
        <v>6821</v>
      </c>
    </row>
    <row r="1430" spans="1:49">
      <c r="A1430" s="1">
        <f>HYPERLINK("https://lsnyc.legalserver.org/matter/dynamic-profile/view/1904155","19-1904155")</f>
        <v>0</v>
      </c>
      <c r="B1430" t="s">
        <v>257</v>
      </c>
      <c r="C1430" t="s">
        <v>1243</v>
      </c>
      <c r="D1430" t="s">
        <v>2613</v>
      </c>
      <c r="E1430" t="s">
        <v>4377</v>
      </c>
      <c r="F1430" t="s">
        <v>5142</v>
      </c>
      <c r="G1430" t="s">
        <v>5638</v>
      </c>
      <c r="H1430">
        <v>10026</v>
      </c>
      <c r="I1430" t="s">
        <v>5696</v>
      </c>
      <c r="J1430" t="s">
        <v>5696</v>
      </c>
      <c r="K1430">
        <v>63807</v>
      </c>
      <c r="L1430" t="s">
        <v>6714</v>
      </c>
      <c r="M1430" t="s">
        <v>6736</v>
      </c>
      <c r="O1430" t="s">
        <v>6759</v>
      </c>
      <c r="R1430" t="s">
        <v>6794</v>
      </c>
      <c r="U1430">
        <v>552</v>
      </c>
      <c r="V1430" t="s">
        <v>6836</v>
      </c>
      <c r="Y1430" t="s">
        <v>8209</v>
      </c>
      <c r="AA1430" t="s">
        <v>10249</v>
      </c>
      <c r="AB1430">
        <v>0</v>
      </c>
      <c r="AE1430">
        <v>5</v>
      </c>
      <c r="AF1430">
        <v>1</v>
      </c>
      <c r="AG1430">
        <v>1</v>
      </c>
      <c r="AH1430">
        <v>199.24</v>
      </c>
      <c r="AK1430" t="s">
        <v>10966</v>
      </c>
      <c r="AL1430">
        <v>33692</v>
      </c>
      <c r="AR1430">
        <v>6.5</v>
      </c>
      <c r="AS1430" t="s">
        <v>6827</v>
      </c>
      <c r="AT1430" t="s">
        <v>11194</v>
      </c>
      <c r="AV1430" t="s">
        <v>11231</v>
      </c>
      <c r="AW1430" t="s">
        <v>6818</v>
      </c>
    </row>
    <row r="1431" spans="1:49">
      <c r="A1431" s="1">
        <f>HYPERLINK("https://lsnyc.legalserver.org/matter/dynamic-profile/view/1904032","19-1904032")</f>
        <v>0</v>
      </c>
      <c r="B1431" t="s">
        <v>221</v>
      </c>
      <c r="C1431" t="s">
        <v>1244</v>
      </c>
      <c r="D1431" t="s">
        <v>2614</v>
      </c>
      <c r="E1431" t="s">
        <v>4378</v>
      </c>
      <c r="F1431" t="s">
        <v>5512</v>
      </c>
      <c r="G1431" t="s">
        <v>5635</v>
      </c>
      <c r="H1431">
        <v>10468</v>
      </c>
      <c r="I1431" t="s">
        <v>5695</v>
      </c>
      <c r="J1431" t="s">
        <v>5696</v>
      </c>
      <c r="K1431" t="s">
        <v>6419</v>
      </c>
      <c r="L1431" t="s">
        <v>6714</v>
      </c>
      <c r="M1431" t="s">
        <v>6736</v>
      </c>
      <c r="O1431" t="s">
        <v>6763</v>
      </c>
      <c r="P1431" t="s">
        <v>5697</v>
      </c>
      <c r="R1431" t="s">
        <v>6793</v>
      </c>
      <c r="T1431" t="s">
        <v>6817</v>
      </c>
      <c r="U1431">
        <v>1450</v>
      </c>
      <c r="V1431" t="s">
        <v>6833</v>
      </c>
      <c r="Y1431" t="s">
        <v>8210</v>
      </c>
      <c r="AA1431" t="s">
        <v>10250</v>
      </c>
      <c r="AB1431">
        <v>38</v>
      </c>
      <c r="AE1431">
        <v>9</v>
      </c>
      <c r="AF1431">
        <v>3</v>
      </c>
      <c r="AG1431">
        <v>2</v>
      </c>
      <c r="AH1431">
        <v>148.49</v>
      </c>
      <c r="AL1431">
        <v>44800</v>
      </c>
      <c r="AR1431">
        <v>3.2</v>
      </c>
      <c r="AS1431" t="s">
        <v>6826</v>
      </c>
      <c r="AT1431" t="s">
        <v>288</v>
      </c>
      <c r="AU1431" t="s">
        <v>11228</v>
      </c>
      <c r="AV1431" t="s">
        <v>11231</v>
      </c>
      <c r="AW1431" t="s">
        <v>6817</v>
      </c>
    </row>
    <row r="1432" spans="1:49">
      <c r="A1432" s="1">
        <f>HYPERLINK("https://lsnyc.legalserver.org/matter/dynamic-profile/view/1905172","19-1905172")</f>
        <v>0</v>
      </c>
      <c r="B1432" t="s">
        <v>258</v>
      </c>
      <c r="C1432" t="s">
        <v>1245</v>
      </c>
      <c r="D1432" t="s">
        <v>2615</v>
      </c>
      <c r="E1432" t="s">
        <v>4379</v>
      </c>
      <c r="F1432" t="s">
        <v>5378</v>
      </c>
      <c r="G1432" t="s">
        <v>5638</v>
      </c>
      <c r="H1432">
        <v>10027</v>
      </c>
      <c r="I1432" t="s">
        <v>5695</v>
      </c>
      <c r="J1432" t="s">
        <v>5696</v>
      </c>
      <c r="K1432" t="s">
        <v>6420</v>
      </c>
      <c r="L1432" t="s">
        <v>6714</v>
      </c>
      <c r="M1432" t="s">
        <v>6736</v>
      </c>
      <c r="O1432" t="s">
        <v>6749</v>
      </c>
      <c r="P1432" t="s">
        <v>5697</v>
      </c>
      <c r="R1432" t="s">
        <v>6793</v>
      </c>
      <c r="T1432" t="s">
        <v>6808</v>
      </c>
      <c r="U1432">
        <v>189</v>
      </c>
      <c r="V1432" t="s">
        <v>6836</v>
      </c>
      <c r="W1432" t="s">
        <v>6850</v>
      </c>
      <c r="Y1432" t="s">
        <v>8211</v>
      </c>
      <c r="AA1432" t="s">
        <v>10251</v>
      </c>
      <c r="AB1432">
        <v>0</v>
      </c>
      <c r="AC1432" t="s">
        <v>10930</v>
      </c>
      <c r="AD1432" t="s">
        <v>10944</v>
      </c>
      <c r="AE1432">
        <v>29</v>
      </c>
      <c r="AF1432">
        <v>1</v>
      </c>
      <c r="AG1432">
        <v>0</v>
      </c>
      <c r="AH1432">
        <v>76.86</v>
      </c>
      <c r="AK1432" t="s">
        <v>10966</v>
      </c>
      <c r="AL1432">
        <v>9600</v>
      </c>
      <c r="AR1432">
        <v>0</v>
      </c>
      <c r="AT1432" t="s">
        <v>11218</v>
      </c>
      <c r="AU1432" t="s">
        <v>11228</v>
      </c>
      <c r="AV1432" t="s">
        <v>11231</v>
      </c>
      <c r="AW1432" t="s">
        <v>6808</v>
      </c>
    </row>
    <row r="1433" spans="1:49">
      <c r="A1433" s="1">
        <f>HYPERLINK("https://lsnyc.legalserver.org/matter/dynamic-profile/view/1903798","19-1903798")</f>
        <v>0</v>
      </c>
      <c r="B1433" t="s">
        <v>220</v>
      </c>
      <c r="C1433" t="s">
        <v>960</v>
      </c>
      <c r="D1433" t="s">
        <v>1825</v>
      </c>
      <c r="E1433" t="s">
        <v>4380</v>
      </c>
      <c r="F1433" t="s">
        <v>5144</v>
      </c>
      <c r="G1433" t="s">
        <v>5635</v>
      </c>
      <c r="H1433">
        <v>10457</v>
      </c>
      <c r="I1433" t="s">
        <v>5697</v>
      </c>
      <c r="J1433" t="s">
        <v>5696</v>
      </c>
      <c r="K1433" t="s">
        <v>6421</v>
      </c>
      <c r="L1433" t="s">
        <v>6714</v>
      </c>
      <c r="M1433" t="s">
        <v>6736</v>
      </c>
      <c r="O1433" t="s">
        <v>6763</v>
      </c>
      <c r="P1433" t="s">
        <v>5697</v>
      </c>
      <c r="R1433" t="s">
        <v>6793</v>
      </c>
      <c r="U1433">
        <v>700</v>
      </c>
      <c r="V1433" t="s">
        <v>6833</v>
      </c>
      <c r="Y1433" t="s">
        <v>8212</v>
      </c>
      <c r="Z1433" t="s">
        <v>9037</v>
      </c>
      <c r="AA1433" t="s">
        <v>10252</v>
      </c>
      <c r="AB1433">
        <v>50</v>
      </c>
      <c r="AD1433" t="s">
        <v>10950</v>
      </c>
      <c r="AE1433">
        <v>0</v>
      </c>
      <c r="AF1433">
        <v>1</v>
      </c>
      <c r="AG1433">
        <v>0</v>
      </c>
      <c r="AH1433">
        <v>119.9</v>
      </c>
      <c r="AK1433" t="s">
        <v>10966</v>
      </c>
      <c r="AL1433">
        <v>14976</v>
      </c>
      <c r="AR1433">
        <v>2.5</v>
      </c>
      <c r="AS1433" t="s">
        <v>6827</v>
      </c>
      <c r="AT1433" t="s">
        <v>288</v>
      </c>
      <c r="AU1433" t="s">
        <v>5741</v>
      </c>
      <c r="AV1433" t="s">
        <v>11231</v>
      </c>
      <c r="AW1433" t="s">
        <v>6807</v>
      </c>
    </row>
    <row r="1434" spans="1:49">
      <c r="A1434" s="1">
        <f>HYPERLINK("https://lsnyc.legalserver.org/matter/dynamic-profile/view/1905473","19-1905473")</f>
        <v>0</v>
      </c>
      <c r="B1434" t="s">
        <v>190</v>
      </c>
      <c r="C1434" t="s">
        <v>1246</v>
      </c>
      <c r="D1434" t="s">
        <v>1676</v>
      </c>
      <c r="E1434" t="s">
        <v>4381</v>
      </c>
      <c r="F1434" t="s">
        <v>5392</v>
      </c>
      <c r="G1434" t="s">
        <v>5635</v>
      </c>
      <c r="H1434">
        <v>10467</v>
      </c>
      <c r="I1434" t="s">
        <v>5695</v>
      </c>
      <c r="J1434" t="s">
        <v>5696</v>
      </c>
      <c r="K1434" t="s">
        <v>6422</v>
      </c>
      <c r="L1434" t="s">
        <v>6714</v>
      </c>
      <c r="M1434" t="s">
        <v>6736</v>
      </c>
      <c r="O1434" t="s">
        <v>6763</v>
      </c>
      <c r="R1434" t="s">
        <v>6793</v>
      </c>
      <c r="T1434" t="s">
        <v>6822</v>
      </c>
      <c r="U1434">
        <v>998.72</v>
      </c>
      <c r="V1434" t="s">
        <v>6833</v>
      </c>
      <c r="Y1434" t="s">
        <v>8213</v>
      </c>
      <c r="AA1434" t="s">
        <v>10253</v>
      </c>
      <c r="AB1434">
        <v>60</v>
      </c>
      <c r="AC1434" t="s">
        <v>10934</v>
      </c>
      <c r="AE1434">
        <v>35</v>
      </c>
      <c r="AF1434">
        <v>1</v>
      </c>
      <c r="AG1434">
        <v>1</v>
      </c>
      <c r="AH1434">
        <v>118.7</v>
      </c>
      <c r="AK1434" t="s">
        <v>10966</v>
      </c>
      <c r="AL1434">
        <v>20072</v>
      </c>
      <c r="AR1434">
        <v>1.3</v>
      </c>
      <c r="AS1434" t="s">
        <v>6819</v>
      </c>
      <c r="AT1434" t="s">
        <v>11200</v>
      </c>
      <c r="AU1434" t="s">
        <v>11228</v>
      </c>
      <c r="AV1434" t="s">
        <v>11231</v>
      </c>
      <c r="AW1434" t="s">
        <v>6822</v>
      </c>
    </row>
    <row r="1435" spans="1:49">
      <c r="A1435" s="1">
        <f>HYPERLINK("https://lsnyc.legalserver.org/matter/dynamic-profile/view/1903840","19-1903840")</f>
        <v>0</v>
      </c>
      <c r="B1435" t="s">
        <v>66</v>
      </c>
      <c r="C1435" t="s">
        <v>484</v>
      </c>
      <c r="D1435" t="s">
        <v>2315</v>
      </c>
      <c r="E1435" t="s">
        <v>4382</v>
      </c>
      <c r="F1435" t="s">
        <v>5128</v>
      </c>
      <c r="G1435" t="s">
        <v>5635</v>
      </c>
      <c r="H1435">
        <v>10457</v>
      </c>
      <c r="I1435" t="s">
        <v>5695</v>
      </c>
      <c r="J1435" t="s">
        <v>5696</v>
      </c>
      <c r="K1435" t="s">
        <v>6423</v>
      </c>
      <c r="L1435" t="s">
        <v>6714</v>
      </c>
      <c r="M1435" t="s">
        <v>6736</v>
      </c>
      <c r="O1435" t="s">
        <v>6763</v>
      </c>
      <c r="P1435" t="s">
        <v>5697</v>
      </c>
      <c r="R1435" t="s">
        <v>6793</v>
      </c>
      <c r="S1435" t="s">
        <v>6802</v>
      </c>
      <c r="T1435" t="s">
        <v>6807</v>
      </c>
      <c r="U1435">
        <v>1077.46</v>
      </c>
      <c r="V1435" t="s">
        <v>6833</v>
      </c>
      <c r="Y1435" t="s">
        <v>8214</v>
      </c>
      <c r="AA1435" t="s">
        <v>10254</v>
      </c>
      <c r="AB1435">
        <v>24</v>
      </c>
      <c r="AC1435" t="s">
        <v>10929</v>
      </c>
      <c r="AD1435" t="s">
        <v>5741</v>
      </c>
      <c r="AE1435">
        <v>11</v>
      </c>
      <c r="AF1435">
        <v>1</v>
      </c>
      <c r="AG1435">
        <v>0</v>
      </c>
      <c r="AH1435">
        <v>127.81</v>
      </c>
      <c r="AK1435" t="s">
        <v>10966</v>
      </c>
      <c r="AL1435">
        <v>15964</v>
      </c>
      <c r="AR1435">
        <v>2.5</v>
      </c>
      <c r="AS1435" t="s">
        <v>6821</v>
      </c>
      <c r="AT1435" t="s">
        <v>288</v>
      </c>
      <c r="AU1435" t="s">
        <v>11228</v>
      </c>
      <c r="AV1435" t="s">
        <v>11231</v>
      </c>
      <c r="AW1435" t="s">
        <v>6807</v>
      </c>
    </row>
    <row r="1436" spans="1:49">
      <c r="A1436" s="1">
        <f>HYPERLINK("https://lsnyc.legalserver.org/matter/dynamic-profile/view/1900285","19-1900285")</f>
        <v>0</v>
      </c>
      <c r="B1436" t="s">
        <v>101</v>
      </c>
      <c r="C1436" t="s">
        <v>1247</v>
      </c>
      <c r="D1436" t="s">
        <v>2616</v>
      </c>
      <c r="E1436" t="s">
        <v>4383</v>
      </c>
      <c r="F1436" t="s">
        <v>5316</v>
      </c>
      <c r="G1436" t="s">
        <v>5636</v>
      </c>
      <c r="H1436">
        <v>10310</v>
      </c>
      <c r="I1436" t="s">
        <v>5695</v>
      </c>
      <c r="J1436" t="s">
        <v>5696</v>
      </c>
      <c r="K1436" t="s">
        <v>6424</v>
      </c>
      <c r="L1436" t="s">
        <v>6714</v>
      </c>
      <c r="M1436" t="s">
        <v>6736</v>
      </c>
      <c r="O1436" t="s">
        <v>6762</v>
      </c>
      <c r="P1436" t="s">
        <v>5697</v>
      </c>
      <c r="R1436" t="s">
        <v>6794</v>
      </c>
      <c r="S1436" t="s">
        <v>6801</v>
      </c>
      <c r="U1436">
        <v>1779</v>
      </c>
      <c r="V1436" t="s">
        <v>6834</v>
      </c>
      <c r="W1436" t="s">
        <v>6839</v>
      </c>
      <c r="Y1436" t="s">
        <v>8215</v>
      </c>
      <c r="AA1436" t="s">
        <v>10255</v>
      </c>
      <c r="AB1436">
        <v>634</v>
      </c>
      <c r="AC1436" t="s">
        <v>10931</v>
      </c>
      <c r="AD1436" t="s">
        <v>5741</v>
      </c>
      <c r="AE1436">
        <v>20</v>
      </c>
      <c r="AF1436">
        <v>1</v>
      </c>
      <c r="AG1436">
        <v>1</v>
      </c>
      <c r="AH1436">
        <v>274.15</v>
      </c>
      <c r="AI1436" t="s">
        <v>6812</v>
      </c>
      <c r="AJ1436" t="s">
        <v>10963</v>
      </c>
      <c r="AK1436" t="s">
        <v>10966</v>
      </c>
      <c r="AL1436">
        <v>46359</v>
      </c>
      <c r="AR1436">
        <v>3.25</v>
      </c>
      <c r="AS1436" t="s">
        <v>6819</v>
      </c>
      <c r="AT1436" t="s">
        <v>11177</v>
      </c>
      <c r="AU1436" t="s">
        <v>11228</v>
      </c>
      <c r="AV1436" t="s">
        <v>11231</v>
      </c>
      <c r="AW1436" t="s">
        <v>11117</v>
      </c>
    </row>
    <row r="1437" spans="1:49">
      <c r="A1437" s="1">
        <f>HYPERLINK("https://lsnyc.legalserver.org/matter/dynamic-profile/view/1905318","19-1905318")</f>
        <v>0</v>
      </c>
      <c r="B1437" t="s">
        <v>193</v>
      </c>
      <c r="C1437" t="s">
        <v>453</v>
      </c>
      <c r="D1437" t="s">
        <v>2229</v>
      </c>
      <c r="E1437" t="s">
        <v>4346</v>
      </c>
      <c r="F1437" t="s">
        <v>5100</v>
      </c>
      <c r="G1437" t="s">
        <v>5635</v>
      </c>
      <c r="H1437">
        <v>10457</v>
      </c>
      <c r="I1437" t="s">
        <v>5695</v>
      </c>
      <c r="J1437" t="s">
        <v>5696</v>
      </c>
      <c r="K1437" t="s">
        <v>6425</v>
      </c>
      <c r="L1437" t="s">
        <v>6714</v>
      </c>
      <c r="M1437" t="s">
        <v>6736</v>
      </c>
      <c r="O1437" t="s">
        <v>6763</v>
      </c>
      <c r="P1437" t="s">
        <v>5697</v>
      </c>
      <c r="R1437" t="s">
        <v>6793</v>
      </c>
      <c r="S1437" t="s">
        <v>6801</v>
      </c>
      <c r="T1437" t="s">
        <v>6808</v>
      </c>
      <c r="U1437">
        <v>1650</v>
      </c>
      <c r="V1437" t="s">
        <v>6833</v>
      </c>
      <c r="W1437" t="s">
        <v>6843</v>
      </c>
      <c r="Y1437" t="s">
        <v>8216</v>
      </c>
      <c r="AA1437" t="s">
        <v>10256</v>
      </c>
      <c r="AB1437">
        <v>27</v>
      </c>
      <c r="AC1437" t="s">
        <v>10929</v>
      </c>
      <c r="AD1437" t="s">
        <v>10944</v>
      </c>
      <c r="AE1437">
        <v>3</v>
      </c>
      <c r="AF1437">
        <v>1</v>
      </c>
      <c r="AG1437">
        <v>1</v>
      </c>
      <c r="AH1437">
        <v>58.05</v>
      </c>
      <c r="AK1437" t="s">
        <v>10967</v>
      </c>
      <c r="AL1437">
        <v>9816</v>
      </c>
      <c r="AR1437">
        <v>0.5</v>
      </c>
      <c r="AS1437" t="s">
        <v>6808</v>
      </c>
      <c r="AT1437" t="s">
        <v>11179</v>
      </c>
      <c r="AU1437" t="s">
        <v>11228</v>
      </c>
      <c r="AV1437" t="s">
        <v>11231</v>
      </c>
      <c r="AW1437" t="s">
        <v>6808</v>
      </c>
    </row>
    <row r="1438" spans="1:49">
      <c r="A1438" s="1">
        <f>HYPERLINK("https://lsnyc.legalserver.org/matter/dynamic-profile/view/1904036","19-1904036")</f>
        <v>0</v>
      </c>
      <c r="B1438" t="s">
        <v>185</v>
      </c>
      <c r="C1438" t="s">
        <v>1248</v>
      </c>
      <c r="D1438" t="s">
        <v>2617</v>
      </c>
      <c r="E1438" t="s">
        <v>4384</v>
      </c>
      <c r="F1438" t="s">
        <v>5149</v>
      </c>
      <c r="G1438" t="s">
        <v>5635</v>
      </c>
      <c r="H1438">
        <v>10468</v>
      </c>
      <c r="I1438" t="s">
        <v>5695</v>
      </c>
      <c r="J1438" t="s">
        <v>5696</v>
      </c>
      <c r="K1438" t="s">
        <v>6426</v>
      </c>
      <c r="L1438" t="s">
        <v>6714</v>
      </c>
      <c r="M1438" t="s">
        <v>6736</v>
      </c>
      <c r="O1438" t="s">
        <v>6763</v>
      </c>
      <c r="P1438" t="s">
        <v>5697</v>
      </c>
      <c r="R1438" t="s">
        <v>6793</v>
      </c>
      <c r="T1438" t="s">
        <v>6817</v>
      </c>
      <c r="U1438">
        <v>1091</v>
      </c>
      <c r="V1438" t="s">
        <v>6833</v>
      </c>
      <c r="Y1438" t="s">
        <v>8217</v>
      </c>
      <c r="AA1438" t="s">
        <v>10257</v>
      </c>
      <c r="AB1438">
        <v>86</v>
      </c>
      <c r="AC1438" t="s">
        <v>10929</v>
      </c>
      <c r="AE1438">
        <v>50</v>
      </c>
      <c r="AF1438">
        <v>3</v>
      </c>
      <c r="AG1438">
        <v>1</v>
      </c>
      <c r="AH1438">
        <v>174</v>
      </c>
      <c r="AK1438" t="s">
        <v>10966</v>
      </c>
      <c r="AL1438">
        <v>44806.18</v>
      </c>
      <c r="AR1438">
        <v>2</v>
      </c>
      <c r="AS1438" t="s">
        <v>6815</v>
      </c>
      <c r="AT1438" t="s">
        <v>288</v>
      </c>
      <c r="AU1438" t="s">
        <v>11228</v>
      </c>
      <c r="AV1438" t="s">
        <v>11231</v>
      </c>
      <c r="AW1438" t="s">
        <v>6817</v>
      </c>
    </row>
    <row r="1439" spans="1:49">
      <c r="A1439" s="1">
        <f>HYPERLINK("https://lsnyc.legalserver.org/matter/dynamic-profile/view/1903736","19-1903736")</f>
        <v>0</v>
      </c>
      <c r="B1439" t="s">
        <v>221</v>
      </c>
      <c r="C1439" t="s">
        <v>694</v>
      </c>
      <c r="D1439" t="s">
        <v>1826</v>
      </c>
      <c r="E1439" t="s">
        <v>4385</v>
      </c>
      <c r="G1439" t="s">
        <v>5635</v>
      </c>
      <c r="H1439">
        <v>10467</v>
      </c>
      <c r="I1439" t="s">
        <v>5695</v>
      </c>
      <c r="J1439" t="s">
        <v>5696</v>
      </c>
      <c r="K1439" t="s">
        <v>6427</v>
      </c>
      <c r="L1439" t="s">
        <v>6714</v>
      </c>
      <c r="M1439" t="s">
        <v>6736</v>
      </c>
      <c r="O1439" t="s">
        <v>6763</v>
      </c>
      <c r="R1439" t="s">
        <v>6793</v>
      </c>
      <c r="U1439">
        <v>2100</v>
      </c>
      <c r="V1439" t="s">
        <v>6833</v>
      </c>
      <c r="W1439" t="s">
        <v>6840</v>
      </c>
      <c r="Y1439" t="s">
        <v>8218</v>
      </c>
      <c r="AA1439" t="s">
        <v>10258</v>
      </c>
      <c r="AB1439">
        <v>3</v>
      </c>
      <c r="AC1439" t="s">
        <v>8953</v>
      </c>
      <c r="AD1439" t="s">
        <v>10946</v>
      </c>
      <c r="AE1439">
        <v>1</v>
      </c>
      <c r="AF1439">
        <v>1</v>
      </c>
      <c r="AG1439">
        <v>4</v>
      </c>
      <c r="AH1439">
        <v>15.91</v>
      </c>
      <c r="AK1439" t="s">
        <v>10966</v>
      </c>
      <c r="AL1439">
        <v>4800</v>
      </c>
      <c r="AR1439">
        <v>3.1</v>
      </c>
      <c r="AS1439" t="s">
        <v>6821</v>
      </c>
      <c r="AT1439" t="s">
        <v>219</v>
      </c>
      <c r="AU1439" t="s">
        <v>11228</v>
      </c>
      <c r="AV1439" t="s">
        <v>11231</v>
      </c>
      <c r="AW1439" t="s">
        <v>11144</v>
      </c>
    </row>
    <row r="1440" spans="1:49">
      <c r="A1440" s="1">
        <f>HYPERLINK("https://lsnyc.legalserver.org/matter/dynamic-profile/view/1901338","19-1901338")</f>
        <v>0</v>
      </c>
      <c r="B1440" t="s">
        <v>193</v>
      </c>
      <c r="C1440" t="s">
        <v>452</v>
      </c>
      <c r="D1440" t="s">
        <v>2618</v>
      </c>
      <c r="E1440" t="s">
        <v>4386</v>
      </c>
      <c r="F1440" t="s">
        <v>5128</v>
      </c>
      <c r="G1440" t="s">
        <v>5635</v>
      </c>
      <c r="H1440">
        <v>10462</v>
      </c>
      <c r="I1440" t="s">
        <v>5695</v>
      </c>
      <c r="J1440" t="s">
        <v>5696</v>
      </c>
      <c r="K1440" t="s">
        <v>6428</v>
      </c>
      <c r="L1440" t="s">
        <v>6714</v>
      </c>
      <c r="M1440" t="s">
        <v>6736</v>
      </c>
      <c r="O1440" t="s">
        <v>6747</v>
      </c>
      <c r="R1440" t="s">
        <v>6793</v>
      </c>
      <c r="S1440" t="s">
        <v>6801</v>
      </c>
      <c r="U1440">
        <v>1608</v>
      </c>
      <c r="V1440" t="s">
        <v>6833</v>
      </c>
      <c r="W1440" t="s">
        <v>6839</v>
      </c>
      <c r="Y1440" t="s">
        <v>8219</v>
      </c>
      <c r="Z1440" t="s">
        <v>9038</v>
      </c>
      <c r="AA1440" t="s">
        <v>10259</v>
      </c>
      <c r="AB1440">
        <v>6</v>
      </c>
      <c r="AC1440" t="s">
        <v>10936</v>
      </c>
      <c r="AD1440" t="s">
        <v>10949</v>
      </c>
      <c r="AE1440">
        <v>3</v>
      </c>
      <c r="AF1440">
        <v>2</v>
      </c>
      <c r="AG1440">
        <v>0</v>
      </c>
      <c r="AH1440">
        <v>66.56</v>
      </c>
      <c r="AK1440" t="s">
        <v>10966</v>
      </c>
      <c r="AL1440">
        <v>11256</v>
      </c>
      <c r="AR1440">
        <v>4.9</v>
      </c>
      <c r="AS1440" t="s">
        <v>6820</v>
      </c>
      <c r="AT1440" t="s">
        <v>11217</v>
      </c>
      <c r="AV1440" t="s">
        <v>11231</v>
      </c>
      <c r="AW1440" t="s">
        <v>11148</v>
      </c>
    </row>
    <row r="1441" spans="1:49">
      <c r="A1441" s="1">
        <f>HYPERLINK("https://lsnyc.legalserver.org/matter/dynamic-profile/view/1905080","19-1905080")</f>
        <v>0</v>
      </c>
      <c r="B1441" t="s">
        <v>98</v>
      </c>
      <c r="C1441" t="s">
        <v>1249</v>
      </c>
      <c r="D1441" t="s">
        <v>2619</v>
      </c>
      <c r="E1441" t="s">
        <v>4387</v>
      </c>
      <c r="F1441">
        <v>622</v>
      </c>
      <c r="G1441" t="s">
        <v>5638</v>
      </c>
      <c r="H1441">
        <v>10026</v>
      </c>
      <c r="I1441" t="s">
        <v>5695</v>
      </c>
      <c r="J1441" t="s">
        <v>5696</v>
      </c>
      <c r="K1441" t="s">
        <v>6429</v>
      </c>
      <c r="L1441" t="s">
        <v>6714</v>
      </c>
      <c r="M1441" t="s">
        <v>6736</v>
      </c>
      <c r="O1441" t="s">
        <v>6749</v>
      </c>
      <c r="P1441" t="s">
        <v>5697</v>
      </c>
      <c r="R1441" t="s">
        <v>6793</v>
      </c>
      <c r="T1441" t="s">
        <v>6814</v>
      </c>
      <c r="U1441">
        <v>1055</v>
      </c>
      <c r="V1441" t="s">
        <v>6836</v>
      </c>
      <c r="W1441" t="s">
        <v>6840</v>
      </c>
      <c r="Y1441" t="s">
        <v>8220</v>
      </c>
      <c r="Z1441" t="s">
        <v>9039</v>
      </c>
      <c r="AA1441" t="s">
        <v>10260</v>
      </c>
      <c r="AB1441">
        <v>0</v>
      </c>
      <c r="AC1441" t="s">
        <v>10929</v>
      </c>
      <c r="AD1441" t="s">
        <v>5741</v>
      </c>
      <c r="AE1441">
        <v>7</v>
      </c>
      <c r="AF1441">
        <v>1</v>
      </c>
      <c r="AG1441">
        <v>0</v>
      </c>
      <c r="AH1441">
        <v>82.15000000000001</v>
      </c>
      <c r="AK1441" t="s">
        <v>10966</v>
      </c>
      <c r="AL1441">
        <v>10260</v>
      </c>
      <c r="AR1441">
        <v>1</v>
      </c>
      <c r="AS1441" t="s">
        <v>6814</v>
      </c>
      <c r="AT1441" t="s">
        <v>11218</v>
      </c>
      <c r="AU1441" t="s">
        <v>11229</v>
      </c>
      <c r="AV1441" t="s">
        <v>11231</v>
      </c>
      <c r="AW1441" t="s">
        <v>6814</v>
      </c>
    </row>
    <row r="1442" spans="1:49">
      <c r="A1442" s="1">
        <f>HYPERLINK("https://lsnyc.legalserver.org/matter/dynamic-profile/view/1904364","19-1904364")</f>
        <v>0</v>
      </c>
      <c r="B1442" t="s">
        <v>199</v>
      </c>
      <c r="C1442" t="s">
        <v>1250</v>
      </c>
      <c r="D1442" t="s">
        <v>2620</v>
      </c>
      <c r="E1442" t="s">
        <v>4388</v>
      </c>
      <c r="F1442" t="s">
        <v>5463</v>
      </c>
      <c r="G1442" t="s">
        <v>5635</v>
      </c>
      <c r="H1442">
        <v>10473</v>
      </c>
      <c r="I1442" t="s">
        <v>5695</v>
      </c>
      <c r="J1442" t="s">
        <v>5696</v>
      </c>
      <c r="K1442" t="s">
        <v>6430</v>
      </c>
      <c r="L1442" t="s">
        <v>6714</v>
      </c>
      <c r="M1442" t="s">
        <v>6736</v>
      </c>
      <c r="O1442" t="s">
        <v>6747</v>
      </c>
      <c r="R1442" t="s">
        <v>6793</v>
      </c>
      <c r="U1442">
        <v>1075</v>
      </c>
      <c r="V1442" t="s">
        <v>6833</v>
      </c>
      <c r="Y1442" t="s">
        <v>8221</v>
      </c>
      <c r="AA1442" t="s">
        <v>10261</v>
      </c>
      <c r="AB1442">
        <v>49</v>
      </c>
      <c r="AC1442" t="s">
        <v>10931</v>
      </c>
      <c r="AE1442">
        <v>8</v>
      </c>
      <c r="AF1442">
        <v>1</v>
      </c>
      <c r="AG1442">
        <v>1</v>
      </c>
      <c r="AH1442">
        <v>286.64</v>
      </c>
      <c r="AK1442" t="s">
        <v>10967</v>
      </c>
      <c r="AL1442">
        <v>48470.24</v>
      </c>
      <c r="AR1442">
        <v>1.5</v>
      </c>
      <c r="AS1442" t="s">
        <v>6815</v>
      </c>
      <c r="AT1442" t="s">
        <v>11200</v>
      </c>
      <c r="AV1442" t="s">
        <v>11231</v>
      </c>
      <c r="AW1442" t="s">
        <v>6815</v>
      </c>
    </row>
    <row r="1443" spans="1:49">
      <c r="A1443" s="1">
        <f>HYPERLINK("https://lsnyc.legalserver.org/matter/dynamic-profile/view/1901333","19-1901333")</f>
        <v>0</v>
      </c>
      <c r="B1443" t="s">
        <v>100</v>
      </c>
      <c r="C1443" t="s">
        <v>1122</v>
      </c>
      <c r="D1443" t="s">
        <v>2621</v>
      </c>
      <c r="E1443" t="s">
        <v>4389</v>
      </c>
      <c r="F1443" t="s">
        <v>5281</v>
      </c>
      <c r="G1443" t="s">
        <v>5635</v>
      </c>
      <c r="H1443">
        <v>10474</v>
      </c>
      <c r="I1443" t="s">
        <v>5695</v>
      </c>
      <c r="J1443" t="s">
        <v>5696</v>
      </c>
      <c r="K1443" t="s">
        <v>6431</v>
      </c>
      <c r="L1443" t="s">
        <v>6714</v>
      </c>
      <c r="M1443" t="s">
        <v>6736</v>
      </c>
      <c r="O1443" t="s">
        <v>6747</v>
      </c>
      <c r="P1443" t="s">
        <v>5697</v>
      </c>
      <c r="R1443" t="s">
        <v>6793</v>
      </c>
      <c r="S1443" t="s">
        <v>6804</v>
      </c>
      <c r="T1443" t="s">
        <v>6811</v>
      </c>
      <c r="U1443">
        <v>790</v>
      </c>
      <c r="V1443" t="s">
        <v>6833</v>
      </c>
      <c r="W1443" t="s">
        <v>6839</v>
      </c>
      <c r="Y1443" t="s">
        <v>8222</v>
      </c>
      <c r="Z1443" t="s">
        <v>9040</v>
      </c>
      <c r="AA1443" t="s">
        <v>10262</v>
      </c>
      <c r="AB1443">
        <v>0</v>
      </c>
      <c r="AC1443" t="s">
        <v>10929</v>
      </c>
      <c r="AD1443" t="s">
        <v>10944</v>
      </c>
      <c r="AE1443">
        <v>9</v>
      </c>
      <c r="AF1443">
        <v>1</v>
      </c>
      <c r="AG1443">
        <v>2</v>
      </c>
      <c r="AH1443">
        <v>146.27</v>
      </c>
      <c r="AK1443" t="s">
        <v>10966</v>
      </c>
      <c r="AL1443">
        <v>31200</v>
      </c>
      <c r="AR1443">
        <v>10</v>
      </c>
      <c r="AS1443" t="s">
        <v>6828</v>
      </c>
      <c r="AT1443" t="s">
        <v>288</v>
      </c>
      <c r="AU1443" t="s">
        <v>11229</v>
      </c>
      <c r="AV1443" t="s">
        <v>11231</v>
      </c>
      <c r="AW1443" t="s">
        <v>11148</v>
      </c>
    </row>
    <row r="1444" spans="1:49">
      <c r="A1444" s="1">
        <f>HYPERLINK("https://lsnyc.legalserver.org/matter/dynamic-profile/view/1906147","19-1906147")</f>
        <v>0</v>
      </c>
      <c r="B1444" t="s">
        <v>92</v>
      </c>
      <c r="C1444" t="s">
        <v>1251</v>
      </c>
      <c r="D1444" t="s">
        <v>1898</v>
      </c>
      <c r="E1444" t="s">
        <v>4390</v>
      </c>
      <c r="F1444" t="s">
        <v>5513</v>
      </c>
      <c r="G1444" t="s">
        <v>5637</v>
      </c>
      <c r="H1444">
        <v>11225</v>
      </c>
      <c r="I1444" t="s">
        <v>5695</v>
      </c>
      <c r="J1444" t="s">
        <v>5696</v>
      </c>
      <c r="K1444" t="s">
        <v>6432</v>
      </c>
      <c r="L1444" t="s">
        <v>6714</v>
      </c>
      <c r="M1444" t="s">
        <v>6736</v>
      </c>
      <c r="O1444" t="s">
        <v>6755</v>
      </c>
      <c r="P1444" t="s">
        <v>5697</v>
      </c>
      <c r="R1444" t="s">
        <v>6793</v>
      </c>
      <c r="S1444" t="s">
        <v>6801</v>
      </c>
      <c r="T1444" t="s">
        <v>6820</v>
      </c>
      <c r="U1444">
        <v>1129.99</v>
      </c>
      <c r="V1444" t="s">
        <v>6835</v>
      </c>
      <c r="W1444" t="s">
        <v>6854</v>
      </c>
      <c r="Y1444" t="s">
        <v>8223</v>
      </c>
      <c r="Z1444" t="s">
        <v>5741</v>
      </c>
      <c r="AA1444" t="s">
        <v>10263</v>
      </c>
      <c r="AB1444">
        <v>25</v>
      </c>
      <c r="AC1444" t="s">
        <v>10929</v>
      </c>
      <c r="AD1444" t="s">
        <v>5741</v>
      </c>
      <c r="AE1444">
        <v>15</v>
      </c>
      <c r="AF1444">
        <v>1</v>
      </c>
      <c r="AG1444">
        <v>2</v>
      </c>
      <c r="AH1444">
        <v>182.84</v>
      </c>
      <c r="AK1444" t="s">
        <v>10966</v>
      </c>
      <c r="AL1444">
        <v>39000</v>
      </c>
      <c r="AR1444">
        <v>1</v>
      </c>
      <c r="AS1444" t="s">
        <v>6821</v>
      </c>
      <c r="AT1444" t="s">
        <v>11190</v>
      </c>
      <c r="AU1444" t="s">
        <v>11228</v>
      </c>
      <c r="AV1444" t="s">
        <v>11231</v>
      </c>
      <c r="AW1444" t="s">
        <v>6821</v>
      </c>
    </row>
    <row r="1445" spans="1:49">
      <c r="A1445" s="1">
        <f>HYPERLINK("https://lsnyc.legalserver.org/matter/dynamic-profile/view/1902425","19-1902425")</f>
        <v>0</v>
      </c>
      <c r="B1445" t="s">
        <v>203</v>
      </c>
      <c r="C1445" t="s">
        <v>1071</v>
      </c>
      <c r="D1445" t="s">
        <v>1836</v>
      </c>
      <c r="E1445" t="s">
        <v>4391</v>
      </c>
      <c r="F1445" t="s">
        <v>5361</v>
      </c>
      <c r="G1445" t="s">
        <v>5635</v>
      </c>
      <c r="H1445">
        <v>10468</v>
      </c>
      <c r="I1445" t="s">
        <v>5695</v>
      </c>
      <c r="J1445" t="s">
        <v>5696</v>
      </c>
      <c r="K1445" t="s">
        <v>6433</v>
      </c>
      <c r="L1445" t="s">
        <v>6714</v>
      </c>
      <c r="M1445" t="s">
        <v>6736</v>
      </c>
      <c r="O1445" t="s">
        <v>6763</v>
      </c>
      <c r="P1445" t="s">
        <v>5697</v>
      </c>
      <c r="R1445" t="s">
        <v>6793</v>
      </c>
      <c r="T1445" t="s">
        <v>6824</v>
      </c>
      <c r="U1445">
        <v>1271.72</v>
      </c>
      <c r="V1445" t="s">
        <v>6833</v>
      </c>
      <c r="Y1445" t="s">
        <v>8224</v>
      </c>
      <c r="Z1445" t="s">
        <v>9041</v>
      </c>
      <c r="AA1445" t="s">
        <v>10264</v>
      </c>
      <c r="AB1445">
        <v>0</v>
      </c>
      <c r="AC1445" t="s">
        <v>10929</v>
      </c>
      <c r="AD1445" t="s">
        <v>10944</v>
      </c>
      <c r="AE1445">
        <v>10</v>
      </c>
      <c r="AF1445">
        <v>1</v>
      </c>
      <c r="AG1445">
        <v>0</v>
      </c>
      <c r="AH1445">
        <v>19.05</v>
      </c>
      <c r="AK1445" t="s">
        <v>10966</v>
      </c>
      <c r="AL1445">
        <v>2379</v>
      </c>
      <c r="AR1445">
        <v>7.5</v>
      </c>
      <c r="AS1445" t="s">
        <v>6824</v>
      </c>
      <c r="AT1445" t="s">
        <v>288</v>
      </c>
      <c r="AU1445" t="s">
        <v>11229</v>
      </c>
      <c r="AV1445" t="s">
        <v>11231</v>
      </c>
      <c r="AW1445" t="s">
        <v>11117</v>
      </c>
    </row>
    <row r="1446" spans="1:49">
      <c r="A1446" s="1">
        <f>HYPERLINK("https://lsnyc.legalserver.org/matter/dynamic-profile/view/1902878","19-1902878")</f>
        <v>0</v>
      </c>
      <c r="B1446" t="s">
        <v>195</v>
      </c>
      <c r="C1446" t="s">
        <v>821</v>
      </c>
      <c r="D1446" t="s">
        <v>2622</v>
      </c>
      <c r="E1446" t="s">
        <v>4392</v>
      </c>
      <c r="F1446" t="s">
        <v>5316</v>
      </c>
      <c r="G1446" t="s">
        <v>5635</v>
      </c>
      <c r="H1446">
        <v>10456</v>
      </c>
      <c r="I1446" t="s">
        <v>5695</v>
      </c>
      <c r="J1446" t="s">
        <v>5696</v>
      </c>
      <c r="K1446" t="s">
        <v>6434</v>
      </c>
      <c r="L1446" t="s">
        <v>6714</v>
      </c>
      <c r="M1446" t="s">
        <v>6736</v>
      </c>
      <c r="O1446" t="s">
        <v>6763</v>
      </c>
      <c r="R1446" t="s">
        <v>6793</v>
      </c>
      <c r="S1446" t="s">
        <v>6804</v>
      </c>
      <c r="T1446" t="s">
        <v>6818</v>
      </c>
      <c r="U1446">
        <v>1500</v>
      </c>
      <c r="V1446" t="s">
        <v>6833</v>
      </c>
      <c r="W1446" t="s">
        <v>6839</v>
      </c>
      <c r="Y1446" t="s">
        <v>8225</v>
      </c>
      <c r="Z1446">
        <v>9410634</v>
      </c>
      <c r="AA1446" t="s">
        <v>10265</v>
      </c>
      <c r="AB1446">
        <v>20</v>
      </c>
      <c r="AC1446" t="s">
        <v>10929</v>
      </c>
      <c r="AE1446">
        <v>1</v>
      </c>
      <c r="AF1446">
        <v>1</v>
      </c>
      <c r="AG1446">
        <v>3</v>
      </c>
      <c r="AH1446">
        <v>15.65</v>
      </c>
      <c r="AK1446" t="s">
        <v>10966</v>
      </c>
      <c r="AL1446">
        <v>4030</v>
      </c>
      <c r="AR1446">
        <v>6.15</v>
      </c>
      <c r="AS1446" t="s">
        <v>6828</v>
      </c>
      <c r="AT1446" t="s">
        <v>11200</v>
      </c>
      <c r="AU1446" t="s">
        <v>11228</v>
      </c>
      <c r="AV1446" t="s">
        <v>11231</v>
      </c>
      <c r="AW1446" t="s">
        <v>11131</v>
      </c>
    </row>
    <row r="1447" spans="1:49">
      <c r="A1447" s="1">
        <f>HYPERLINK("https://lsnyc.legalserver.org/matter/dynamic-profile/view/1904097","19-1904097")</f>
        <v>0</v>
      </c>
      <c r="B1447" t="s">
        <v>196</v>
      </c>
      <c r="C1447" t="s">
        <v>1252</v>
      </c>
      <c r="D1447" t="s">
        <v>2623</v>
      </c>
      <c r="E1447" t="s">
        <v>4393</v>
      </c>
      <c r="F1447" t="s">
        <v>5139</v>
      </c>
      <c r="G1447" t="s">
        <v>5635</v>
      </c>
      <c r="H1447">
        <v>10468</v>
      </c>
      <c r="I1447" t="s">
        <v>5695</v>
      </c>
      <c r="J1447" t="s">
        <v>5696</v>
      </c>
      <c r="K1447" t="s">
        <v>6435</v>
      </c>
      <c r="L1447" t="s">
        <v>6714</v>
      </c>
      <c r="M1447" t="s">
        <v>6736</v>
      </c>
      <c r="O1447" t="s">
        <v>6763</v>
      </c>
      <c r="P1447" t="s">
        <v>5697</v>
      </c>
      <c r="R1447" t="s">
        <v>6793</v>
      </c>
      <c r="T1447" t="s">
        <v>6817</v>
      </c>
      <c r="U1447">
        <v>472</v>
      </c>
      <c r="V1447" t="s">
        <v>6833</v>
      </c>
      <c r="Y1447" t="s">
        <v>8226</v>
      </c>
      <c r="Z1447" t="s">
        <v>9042</v>
      </c>
      <c r="AA1447" t="s">
        <v>10266</v>
      </c>
      <c r="AB1447">
        <v>35</v>
      </c>
      <c r="AD1447" t="s">
        <v>10944</v>
      </c>
      <c r="AE1447">
        <v>23</v>
      </c>
      <c r="AF1447">
        <v>2</v>
      </c>
      <c r="AG1447">
        <v>1</v>
      </c>
      <c r="AH1447">
        <v>50.46</v>
      </c>
      <c r="AK1447" t="s">
        <v>10967</v>
      </c>
      <c r="AL1447">
        <v>10764</v>
      </c>
      <c r="AR1447">
        <v>1.3</v>
      </c>
      <c r="AS1447" t="s">
        <v>6809</v>
      </c>
      <c r="AT1447" t="s">
        <v>288</v>
      </c>
      <c r="AU1447" t="s">
        <v>11229</v>
      </c>
      <c r="AV1447" t="s">
        <v>11231</v>
      </c>
      <c r="AW1447" t="s">
        <v>6817</v>
      </c>
    </row>
    <row r="1448" spans="1:49">
      <c r="A1448" s="1">
        <f>HYPERLINK("https://lsnyc.legalserver.org/matter/dynamic-profile/view/1902831","19-1902831")</f>
        <v>0</v>
      </c>
      <c r="B1448" t="s">
        <v>202</v>
      </c>
      <c r="C1448" t="s">
        <v>1253</v>
      </c>
      <c r="D1448" t="s">
        <v>2624</v>
      </c>
      <c r="E1448" t="s">
        <v>4394</v>
      </c>
      <c r="F1448" t="s">
        <v>5514</v>
      </c>
      <c r="G1448" t="s">
        <v>5635</v>
      </c>
      <c r="H1448">
        <v>10467</v>
      </c>
      <c r="I1448" t="s">
        <v>5695</v>
      </c>
      <c r="J1448" t="s">
        <v>5696</v>
      </c>
      <c r="K1448" t="s">
        <v>6436</v>
      </c>
      <c r="L1448" t="s">
        <v>6714</v>
      </c>
      <c r="M1448" t="s">
        <v>6736</v>
      </c>
      <c r="O1448" t="s">
        <v>6763</v>
      </c>
      <c r="P1448" t="s">
        <v>5697</v>
      </c>
      <c r="R1448" t="s">
        <v>6793</v>
      </c>
      <c r="S1448" t="s">
        <v>6802</v>
      </c>
      <c r="U1448">
        <v>1285.2</v>
      </c>
      <c r="V1448" t="s">
        <v>6833</v>
      </c>
      <c r="W1448" t="s">
        <v>6839</v>
      </c>
      <c r="Y1448" t="s">
        <v>8227</v>
      </c>
      <c r="AA1448" t="s">
        <v>10267</v>
      </c>
      <c r="AB1448">
        <v>48</v>
      </c>
      <c r="AC1448" t="s">
        <v>8953</v>
      </c>
      <c r="AD1448" t="s">
        <v>5741</v>
      </c>
      <c r="AE1448">
        <v>3</v>
      </c>
      <c r="AF1448">
        <v>2</v>
      </c>
      <c r="AG1448">
        <v>0</v>
      </c>
      <c r="AH1448">
        <v>178.05</v>
      </c>
      <c r="AK1448" t="s">
        <v>10967</v>
      </c>
      <c r="AL1448">
        <v>30108</v>
      </c>
      <c r="AR1448">
        <v>1.5</v>
      </c>
      <c r="AS1448" t="s">
        <v>11131</v>
      </c>
      <c r="AT1448" t="s">
        <v>11176</v>
      </c>
      <c r="AU1448" t="s">
        <v>11228</v>
      </c>
      <c r="AV1448" t="s">
        <v>11231</v>
      </c>
      <c r="AW1448" t="s">
        <v>11131</v>
      </c>
    </row>
    <row r="1449" spans="1:49">
      <c r="A1449" s="1">
        <f>HYPERLINK("https://lsnyc.legalserver.org/matter/dynamic-profile/view/1904080","19-1904080")</f>
        <v>0</v>
      </c>
      <c r="B1449" t="s">
        <v>103</v>
      </c>
      <c r="C1449" t="s">
        <v>1254</v>
      </c>
      <c r="D1449" t="s">
        <v>1164</v>
      </c>
      <c r="E1449" t="s">
        <v>4395</v>
      </c>
      <c r="F1449" t="s">
        <v>5484</v>
      </c>
      <c r="G1449" t="s">
        <v>5635</v>
      </c>
      <c r="H1449">
        <v>10467</v>
      </c>
      <c r="I1449" t="s">
        <v>5695</v>
      </c>
      <c r="J1449" t="s">
        <v>5696</v>
      </c>
      <c r="K1449" t="s">
        <v>6437</v>
      </c>
      <c r="L1449" t="s">
        <v>6714</v>
      </c>
      <c r="M1449" t="s">
        <v>6736</v>
      </c>
      <c r="O1449" t="s">
        <v>6763</v>
      </c>
      <c r="P1449" t="s">
        <v>5697</v>
      </c>
      <c r="R1449" t="s">
        <v>6793</v>
      </c>
      <c r="S1449" t="s">
        <v>6801</v>
      </c>
      <c r="T1449" t="s">
        <v>6817</v>
      </c>
      <c r="U1449">
        <v>1303.1</v>
      </c>
      <c r="V1449" t="s">
        <v>6833</v>
      </c>
      <c r="W1449" t="s">
        <v>6840</v>
      </c>
      <c r="Y1449" t="s">
        <v>8228</v>
      </c>
      <c r="Z1449" t="s">
        <v>9043</v>
      </c>
      <c r="AA1449" t="s">
        <v>10268</v>
      </c>
      <c r="AB1449">
        <v>118</v>
      </c>
      <c r="AC1449" t="s">
        <v>8953</v>
      </c>
      <c r="AD1449" t="s">
        <v>10950</v>
      </c>
      <c r="AE1449">
        <v>2</v>
      </c>
      <c r="AF1449">
        <v>1</v>
      </c>
      <c r="AG1449">
        <v>1</v>
      </c>
      <c r="AH1449">
        <v>83.64</v>
      </c>
      <c r="AK1449" t="s">
        <v>10966</v>
      </c>
      <c r="AL1449">
        <v>14144</v>
      </c>
      <c r="AR1449">
        <v>0.4</v>
      </c>
      <c r="AS1449" t="s">
        <v>6822</v>
      </c>
      <c r="AT1449" t="s">
        <v>288</v>
      </c>
      <c r="AU1449" t="s">
        <v>11229</v>
      </c>
      <c r="AV1449" t="s">
        <v>11231</v>
      </c>
      <c r="AW1449" t="s">
        <v>6817</v>
      </c>
    </row>
    <row r="1450" spans="1:49">
      <c r="A1450" s="1">
        <f>HYPERLINK("https://lsnyc.legalserver.org/matter/dynamic-profile/view/1895777","19-1895777")</f>
        <v>0</v>
      </c>
      <c r="B1450" t="s">
        <v>186</v>
      </c>
      <c r="C1450" t="s">
        <v>334</v>
      </c>
      <c r="D1450" t="s">
        <v>2625</v>
      </c>
      <c r="E1450" t="s">
        <v>4396</v>
      </c>
      <c r="F1450" t="s">
        <v>5296</v>
      </c>
      <c r="G1450" t="s">
        <v>5644</v>
      </c>
      <c r="H1450">
        <v>11434</v>
      </c>
      <c r="I1450" t="s">
        <v>5696</v>
      </c>
      <c r="J1450" t="s">
        <v>5696</v>
      </c>
      <c r="K1450" t="s">
        <v>6438</v>
      </c>
      <c r="L1450" t="s">
        <v>6714</v>
      </c>
      <c r="M1450" t="s">
        <v>6736</v>
      </c>
      <c r="O1450" t="s">
        <v>6786</v>
      </c>
      <c r="R1450" t="s">
        <v>6793</v>
      </c>
      <c r="U1450">
        <v>1112</v>
      </c>
      <c r="V1450" t="s">
        <v>6837</v>
      </c>
      <c r="Y1450" t="s">
        <v>8229</v>
      </c>
      <c r="AA1450" t="s">
        <v>10269</v>
      </c>
      <c r="AB1450">
        <v>60</v>
      </c>
      <c r="AD1450" t="s">
        <v>10943</v>
      </c>
      <c r="AE1450">
        <v>5</v>
      </c>
      <c r="AF1450">
        <v>1</v>
      </c>
      <c r="AG1450">
        <v>0</v>
      </c>
      <c r="AH1450">
        <v>188.6</v>
      </c>
      <c r="AK1450" t="s">
        <v>10966</v>
      </c>
      <c r="AL1450">
        <v>23556</v>
      </c>
      <c r="AR1450">
        <v>6.35</v>
      </c>
      <c r="AS1450" t="s">
        <v>6815</v>
      </c>
      <c r="AT1450" t="s">
        <v>11192</v>
      </c>
      <c r="AV1450" t="s">
        <v>11231</v>
      </c>
      <c r="AW1450" t="s">
        <v>11153</v>
      </c>
    </row>
    <row r="1451" spans="1:49">
      <c r="A1451" s="1">
        <f>HYPERLINK("https://lsnyc.legalserver.org/matter/dynamic-profile/view/1902292","19-1902292")</f>
        <v>0</v>
      </c>
      <c r="B1451" t="s">
        <v>186</v>
      </c>
      <c r="C1451" t="s">
        <v>1255</v>
      </c>
      <c r="D1451" t="s">
        <v>2626</v>
      </c>
      <c r="E1451" t="s">
        <v>4397</v>
      </c>
      <c r="F1451" t="s">
        <v>5283</v>
      </c>
      <c r="G1451" t="s">
        <v>5676</v>
      </c>
      <c r="H1451">
        <v>11385</v>
      </c>
      <c r="I1451" t="s">
        <v>5695</v>
      </c>
      <c r="J1451" t="s">
        <v>5696</v>
      </c>
      <c r="K1451" t="s">
        <v>6439</v>
      </c>
      <c r="L1451" t="s">
        <v>6714</v>
      </c>
      <c r="M1451" t="s">
        <v>6736</v>
      </c>
      <c r="O1451" t="s">
        <v>6752</v>
      </c>
      <c r="P1451" t="s">
        <v>5697</v>
      </c>
      <c r="R1451" t="s">
        <v>6793</v>
      </c>
      <c r="S1451" t="s">
        <v>6804</v>
      </c>
      <c r="U1451">
        <v>2050</v>
      </c>
      <c r="V1451" t="s">
        <v>6837</v>
      </c>
      <c r="W1451" t="s">
        <v>6839</v>
      </c>
      <c r="Y1451" t="s">
        <v>7981</v>
      </c>
      <c r="Z1451" t="s">
        <v>9044</v>
      </c>
      <c r="AA1451" t="s">
        <v>10270</v>
      </c>
      <c r="AB1451">
        <v>3</v>
      </c>
      <c r="AC1451" t="s">
        <v>10930</v>
      </c>
      <c r="AD1451" t="s">
        <v>6841</v>
      </c>
      <c r="AE1451">
        <v>1</v>
      </c>
      <c r="AF1451">
        <v>1</v>
      </c>
      <c r="AG1451">
        <v>3</v>
      </c>
      <c r="AH1451">
        <v>23.3</v>
      </c>
      <c r="AK1451" t="s">
        <v>10966</v>
      </c>
      <c r="AL1451">
        <v>6000</v>
      </c>
      <c r="AR1451">
        <v>5.87</v>
      </c>
      <c r="AS1451" t="s">
        <v>6827</v>
      </c>
      <c r="AT1451" t="s">
        <v>11184</v>
      </c>
      <c r="AU1451" t="s">
        <v>11228</v>
      </c>
      <c r="AV1451" t="s">
        <v>11231</v>
      </c>
      <c r="AW1451" t="s">
        <v>11140</v>
      </c>
    </row>
    <row r="1452" spans="1:49">
      <c r="A1452" s="1">
        <f>HYPERLINK("https://lsnyc.legalserver.org/matter/dynamic-profile/view/1895747","19-1895747")</f>
        <v>0</v>
      </c>
      <c r="B1452" t="s">
        <v>256</v>
      </c>
      <c r="C1452" t="s">
        <v>330</v>
      </c>
      <c r="D1452" t="s">
        <v>2627</v>
      </c>
      <c r="E1452" t="s">
        <v>4398</v>
      </c>
      <c r="F1452" t="s">
        <v>5515</v>
      </c>
      <c r="G1452" t="s">
        <v>5644</v>
      </c>
      <c r="H1452">
        <v>11434</v>
      </c>
      <c r="I1452" t="s">
        <v>5696</v>
      </c>
      <c r="J1452" t="s">
        <v>5696</v>
      </c>
      <c r="K1452" t="s">
        <v>6440</v>
      </c>
      <c r="L1452" t="s">
        <v>6714</v>
      </c>
      <c r="M1452" t="s">
        <v>6736</v>
      </c>
      <c r="O1452" t="s">
        <v>6748</v>
      </c>
      <c r="R1452" t="s">
        <v>6793</v>
      </c>
      <c r="U1452">
        <v>1497</v>
      </c>
      <c r="V1452" t="s">
        <v>6837</v>
      </c>
      <c r="W1452" t="s">
        <v>6839</v>
      </c>
      <c r="Y1452" t="s">
        <v>8230</v>
      </c>
      <c r="AA1452" t="s">
        <v>10271</v>
      </c>
      <c r="AB1452">
        <v>281</v>
      </c>
      <c r="AC1452" t="s">
        <v>10935</v>
      </c>
      <c r="AD1452" t="s">
        <v>5741</v>
      </c>
      <c r="AE1452">
        <v>20</v>
      </c>
      <c r="AF1452">
        <v>1</v>
      </c>
      <c r="AG1452">
        <v>0</v>
      </c>
      <c r="AH1452">
        <v>171.5</v>
      </c>
      <c r="AK1452" t="s">
        <v>10966</v>
      </c>
      <c r="AL1452">
        <v>21420</v>
      </c>
      <c r="AR1452">
        <v>13.1</v>
      </c>
      <c r="AS1452" t="s">
        <v>6827</v>
      </c>
      <c r="AT1452" t="s">
        <v>11183</v>
      </c>
      <c r="AV1452" t="s">
        <v>11231</v>
      </c>
      <c r="AW1452" t="s">
        <v>11153</v>
      </c>
    </row>
    <row r="1453" spans="1:49">
      <c r="A1453" s="1">
        <f>HYPERLINK("https://lsnyc.legalserver.org/matter/dynamic-profile/view/1904092","19-1904092")</f>
        <v>0</v>
      </c>
      <c r="B1453" t="s">
        <v>201</v>
      </c>
      <c r="C1453" t="s">
        <v>1256</v>
      </c>
      <c r="D1453" t="s">
        <v>2628</v>
      </c>
      <c r="E1453" t="s">
        <v>4399</v>
      </c>
      <c r="F1453" t="s">
        <v>5252</v>
      </c>
      <c r="G1453" t="s">
        <v>5635</v>
      </c>
      <c r="H1453">
        <v>10457</v>
      </c>
      <c r="I1453" t="s">
        <v>5695</v>
      </c>
      <c r="J1453" t="s">
        <v>5696</v>
      </c>
      <c r="K1453" t="s">
        <v>6441</v>
      </c>
      <c r="L1453" t="s">
        <v>6714</v>
      </c>
      <c r="M1453" t="s">
        <v>6736</v>
      </c>
      <c r="O1453" t="s">
        <v>6763</v>
      </c>
      <c r="P1453" t="s">
        <v>5697</v>
      </c>
      <c r="R1453" t="s">
        <v>6793</v>
      </c>
      <c r="T1453" t="s">
        <v>6817</v>
      </c>
      <c r="U1453">
        <v>1468.81</v>
      </c>
      <c r="V1453" t="s">
        <v>6833</v>
      </c>
      <c r="Y1453" t="s">
        <v>8231</v>
      </c>
      <c r="Z1453" t="s">
        <v>9045</v>
      </c>
      <c r="AA1453" t="s">
        <v>10272</v>
      </c>
      <c r="AB1453">
        <v>32</v>
      </c>
      <c r="AE1453">
        <v>18</v>
      </c>
      <c r="AF1453">
        <v>2</v>
      </c>
      <c r="AG1453">
        <v>7</v>
      </c>
      <c r="AH1453">
        <v>50.18</v>
      </c>
      <c r="AK1453" t="s">
        <v>10966</v>
      </c>
      <c r="AL1453">
        <v>24012</v>
      </c>
      <c r="AR1453">
        <v>2.5</v>
      </c>
      <c r="AS1453" t="s">
        <v>6810</v>
      </c>
      <c r="AT1453" t="s">
        <v>288</v>
      </c>
      <c r="AU1453" t="s">
        <v>11229</v>
      </c>
      <c r="AV1453" t="s">
        <v>11231</v>
      </c>
      <c r="AW1453" t="s">
        <v>6817</v>
      </c>
    </row>
    <row r="1454" spans="1:49">
      <c r="A1454" s="1">
        <f>HYPERLINK("https://lsnyc.legalserver.org/matter/dynamic-profile/view/1899832","19-1899832")</f>
        <v>0</v>
      </c>
      <c r="B1454" t="s">
        <v>98</v>
      </c>
      <c r="C1454" t="s">
        <v>1257</v>
      </c>
      <c r="D1454" t="s">
        <v>1757</v>
      </c>
      <c r="E1454" t="s">
        <v>4400</v>
      </c>
      <c r="F1454" t="s">
        <v>5122</v>
      </c>
      <c r="G1454" t="s">
        <v>5638</v>
      </c>
      <c r="H1454">
        <v>10027</v>
      </c>
      <c r="I1454" t="s">
        <v>5695</v>
      </c>
      <c r="J1454" t="s">
        <v>5696</v>
      </c>
      <c r="K1454" t="s">
        <v>6442</v>
      </c>
      <c r="L1454" t="s">
        <v>6714</v>
      </c>
      <c r="M1454" t="s">
        <v>6736</v>
      </c>
      <c r="O1454" t="s">
        <v>6749</v>
      </c>
      <c r="P1454" t="s">
        <v>5697</v>
      </c>
      <c r="R1454" t="s">
        <v>6794</v>
      </c>
      <c r="U1454">
        <v>441</v>
      </c>
      <c r="V1454" t="s">
        <v>6836</v>
      </c>
      <c r="W1454" t="s">
        <v>6840</v>
      </c>
      <c r="Y1454" t="s">
        <v>8204</v>
      </c>
      <c r="AA1454" t="s">
        <v>10273</v>
      </c>
      <c r="AB1454">
        <v>0</v>
      </c>
      <c r="AC1454" t="s">
        <v>10931</v>
      </c>
      <c r="AE1454">
        <v>1</v>
      </c>
      <c r="AF1454">
        <v>1</v>
      </c>
      <c r="AG1454">
        <v>2</v>
      </c>
      <c r="AH1454">
        <v>60.44</v>
      </c>
      <c r="AL1454">
        <v>12892</v>
      </c>
      <c r="AR1454">
        <v>3</v>
      </c>
      <c r="AS1454" t="s">
        <v>11157</v>
      </c>
      <c r="AT1454" t="s">
        <v>229</v>
      </c>
      <c r="AU1454" t="s">
        <v>11228</v>
      </c>
      <c r="AV1454" t="s">
        <v>11231</v>
      </c>
      <c r="AW1454" t="s">
        <v>11132</v>
      </c>
    </row>
    <row r="1455" spans="1:49">
      <c r="A1455" s="1">
        <f>HYPERLINK("https://lsnyc.legalserver.org/matter/dynamic-profile/view/1895865","19-1895865")</f>
        <v>0</v>
      </c>
      <c r="B1455" t="s">
        <v>74</v>
      </c>
      <c r="C1455" t="s">
        <v>1258</v>
      </c>
      <c r="D1455" t="s">
        <v>2629</v>
      </c>
      <c r="E1455" t="s">
        <v>4401</v>
      </c>
      <c r="F1455" t="s">
        <v>5152</v>
      </c>
      <c r="G1455" t="s">
        <v>5635</v>
      </c>
      <c r="H1455">
        <v>10453</v>
      </c>
      <c r="I1455" t="s">
        <v>5695</v>
      </c>
      <c r="J1455" t="s">
        <v>5697</v>
      </c>
      <c r="K1455" t="s">
        <v>6443</v>
      </c>
      <c r="L1455" t="s">
        <v>6714</v>
      </c>
      <c r="M1455" t="s">
        <v>6736</v>
      </c>
      <c r="O1455" t="s">
        <v>6747</v>
      </c>
      <c r="P1455" t="s">
        <v>5697</v>
      </c>
      <c r="R1455" t="s">
        <v>6793</v>
      </c>
      <c r="S1455" t="s">
        <v>6801</v>
      </c>
      <c r="U1455">
        <v>1540</v>
      </c>
      <c r="V1455" t="s">
        <v>6833</v>
      </c>
      <c r="W1455" t="s">
        <v>6840</v>
      </c>
      <c r="Y1455" t="s">
        <v>8232</v>
      </c>
      <c r="AA1455" t="s">
        <v>10274</v>
      </c>
      <c r="AB1455">
        <v>1654</v>
      </c>
      <c r="AC1455" t="s">
        <v>10929</v>
      </c>
      <c r="AD1455" t="s">
        <v>10946</v>
      </c>
      <c r="AE1455">
        <v>5</v>
      </c>
      <c r="AF1455">
        <v>1</v>
      </c>
      <c r="AG1455">
        <v>2</v>
      </c>
      <c r="AH1455">
        <v>78.73999999999999</v>
      </c>
      <c r="AK1455" t="s">
        <v>10967</v>
      </c>
      <c r="AL1455">
        <v>16796</v>
      </c>
      <c r="AR1455">
        <v>2.1</v>
      </c>
      <c r="AS1455" t="s">
        <v>6824</v>
      </c>
      <c r="AT1455" t="s">
        <v>11179</v>
      </c>
      <c r="AU1455" t="s">
        <v>11228</v>
      </c>
      <c r="AV1455" t="s">
        <v>11231</v>
      </c>
      <c r="AW1455" t="s">
        <v>11153</v>
      </c>
    </row>
    <row r="1456" spans="1:49">
      <c r="A1456" s="1">
        <f>HYPERLINK("https://lsnyc.legalserver.org/matter/dynamic-profile/view/1906061","19-1906061")</f>
        <v>0</v>
      </c>
      <c r="B1456" t="s">
        <v>88</v>
      </c>
      <c r="C1456" t="s">
        <v>877</v>
      </c>
      <c r="D1456" t="s">
        <v>1931</v>
      </c>
      <c r="E1456" t="s">
        <v>4402</v>
      </c>
      <c r="F1456" t="s">
        <v>5516</v>
      </c>
      <c r="G1456" t="s">
        <v>5637</v>
      </c>
      <c r="H1456">
        <v>11226</v>
      </c>
      <c r="I1456" t="s">
        <v>5696</v>
      </c>
      <c r="J1456" t="s">
        <v>5696</v>
      </c>
      <c r="K1456" t="s">
        <v>6444</v>
      </c>
      <c r="L1456" t="s">
        <v>6714</v>
      </c>
      <c r="M1456" t="s">
        <v>6736</v>
      </c>
      <c r="O1456" t="s">
        <v>6755</v>
      </c>
      <c r="R1456" t="s">
        <v>6793</v>
      </c>
      <c r="T1456" t="s">
        <v>6820</v>
      </c>
      <c r="U1456">
        <v>1141.8</v>
      </c>
      <c r="V1456" t="s">
        <v>6835</v>
      </c>
      <c r="W1456" t="s">
        <v>6843</v>
      </c>
      <c r="Y1456" t="s">
        <v>8233</v>
      </c>
      <c r="AA1456" t="s">
        <v>10275</v>
      </c>
      <c r="AB1456">
        <v>4</v>
      </c>
      <c r="AC1456" t="s">
        <v>10929</v>
      </c>
      <c r="AE1456">
        <v>30</v>
      </c>
      <c r="AF1456">
        <v>3</v>
      </c>
      <c r="AG1456">
        <v>0</v>
      </c>
      <c r="AH1456">
        <v>56.26</v>
      </c>
      <c r="AK1456" t="s">
        <v>10974</v>
      </c>
      <c r="AL1456">
        <v>12000</v>
      </c>
      <c r="AR1456">
        <v>0</v>
      </c>
      <c r="AT1456" t="s">
        <v>11198</v>
      </c>
      <c r="AV1456" t="s">
        <v>11231</v>
      </c>
      <c r="AW1456" t="s">
        <v>6820</v>
      </c>
    </row>
    <row r="1457" spans="1:49">
      <c r="A1457" s="1">
        <f>HYPERLINK("https://lsnyc.legalserver.org/matter/dynamic-profile/view/1903807","19-1903807")</f>
        <v>0</v>
      </c>
      <c r="B1457" t="s">
        <v>277</v>
      </c>
      <c r="C1457" t="s">
        <v>479</v>
      </c>
      <c r="D1457" t="s">
        <v>1836</v>
      </c>
      <c r="E1457" t="s">
        <v>4403</v>
      </c>
      <c r="F1457" t="s">
        <v>5273</v>
      </c>
      <c r="G1457" t="s">
        <v>5635</v>
      </c>
      <c r="H1457">
        <v>10467</v>
      </c>
      <c r="I1457" t="s">
        <v>5695</v>
      </c>
      <c r="J1457" t="s">
        <v>5696</v>
      </c>
      <c r="K1457" t="s">
        <v>6445</v>
      </c>
      <c r="L1457" t="s">
        <v>6714</v>
      </c>
      <c r="M1457" t="s">
        <v>6736</v>
      </c>
      <c r="O1457" t="s">
        <v>6763</v>
      </c>
      <c r="P1457" t="s">
        <v>5697</v>
      </c>
      <c r="R1457" t="s">
        <v>6793</v>
      </c>
      <c r="S1457" t="s">
        <v>6801</v>
      </c>
      <c r="T1457" t="s">
        <v>6807</v>
      </c>
      <c r="U1457">
        <v>1230.73</v>
      </c>
      <c r="V1457" t="s">
        <v>6833</v>
      </c>
      <c r="W1457" t="s">
        <v>6840</v>
      </c>
      <c r="Y1457" t="s">
        <v>8234</v>
      </c>
      <c r="Z1457" t="s">
        <v>9046</v>
      </c>
      <c r="AA1457" t="s">
        <v>10276</v>
      </c>
      <c r="AB1457">
        <v>55</v>
      </c>
      <c r="AC1457" t="s">
        <v>10929</v>
      </c>
      <c r="AD1457" t="s">
        <v>5741</v>
      </c>
      <c r="AE1457">
        <v>33</v>
      </c>
      <c r="AF1457">
        <v>2</v>
      </c>
      <c r="AG1457">
        <v>0</v>
      </c>
      <c r="AH1457">
        <v>125.68</v>
      </c>
      <c r="AK1457" t="s">
        <v>10966</v>
      </c>
      <c r="AL1457">
        <v>21252</v>
      </c>
      <c r="AR1457">
        <v>1.4</v>
      </c>
      <c r="AS1457" t="s">
        <v>6818</v>
      </c>
      <c r="AT1457" t="s">
        <v>288</v>
      </c>
      <c r="AU1457" t="s">
        <v>11228</v>
      </c>
      <c r="AV1457" t="s">
        <v>11231</v>
      </c>
      <c r="AW1457" t="s">
        <v>6807</v>
      </c>
    </row>
    <row r="1458" spans="1:49">
      <c r="A1458" s="1">
        <f>HYPERLINK("https://lsnyc.legalserver.org/matter/dynamic-profile/view/1904158","19-1904158")</f>
        <v>0</v>
      </c>
      <c r="B1458" t="s">
        <v>76</v>
      </c>
      <c r="C1458" t="s">
        <v>1259</v>
      </c>
      <c r="D1458" t="s">
        <v>365</v>
      </c>
      <c r="E1458" t="s">
        <v>4404</v>
      </c>
      <c r="F1458" t="s">
        <v>5137</v>
      </c>
      <c r="G1458" t="s">
        <v>5635</v>
      </c>
      <c r="H1458">
        <v>10468</v>
      </c>
      <c r="I1458" t="s">
        <v>5695</v>
      </c>
      <c r="J1458" t="s">
        <v>5696</v>
      </c>
      <c r="K1458" t="s">
        <v>6446</v>
      </c>
      <c r="L1458" t="s">
        <v>6714</v>
      </c>
      <c r="M1458" t="s">
        <v>6736</v>
      </c>
      <c r="O1458" t="s">
        <v>6763</v>
      </c>
      <c r="P1458" t="s">
        <v>5697</v>
      </c>
      <c r="R1458" t="s">
        <v>6793</v>
      </c>
      <c r="S1458" t="s">
        <v>6801</v>
      </c>
      <c r="U1458">
        <v>931</v>
      </c>
      <c r="V1458" t="s">
        <v>6833</v>
      </c>
      <c r="W1458" t="s">
        <v>6839</v>
      </c>
      <c r="Y1458" t="s">
        <v>8235</v>
      </c>
      <c r="AA1458" t="s">
        <v>10277</v>
      </c>
      <c r="AB1458">
        <v>0</v>
      </c>
      <c r="AC1458" t="s">
        <v>10934</v>
      </c>
      <c r="AD1458" t="s">
        <v>10944</v>
      </c>
      <c r="AE1458">
        <v>2</v>
      </c>
      <c r="AF1458">
        <v>1</v>
      </c>
      <c r="AG1458">
        <v>1</v>
      </c>
      <c r="AH1458">
        <v>170.67</v>
      </c>
      <c r="AK1458" t="s">
        <v>10966</v>
      </c>
      <c r="AL1458">
        <v>28860</v>
      </c>
      <c r="AR1458">
        <v>2.2</v>
      </c>
      <c r="AS1458" t="s">
        <v>6820</v>
      </c>
      <c r="AT1458" t="s">
        <v>11222</v>
      </c>
      <c r="AU1458" t="s">
        <v>11228</v>
      </c>
      <c r="AV1458" t="s">
        <v>11231</v>
      </c>
      <c r="AW1458" t="s">
        <v>6825</v>
      </c>
    </row>
    <row r="1459" spans="1:49">
      <c r="A1459" s="1">
        <f>HYPERLINK("https://lsnyc.legalserver.org/matter/dynamic-profile/view/1904720","19-1904720")</f>
        <v>0</v>
      </c>
      <c r="B1459" t="s">
        <v>79</v>
      </c>
      <c r="C1459" t="s">
        <v>359</v>
      </c>
      <c r="D1459" t="s">
        <v>1746</v>
      </c>
      <c r="E1459" t="s">
        <v>4166</v>
      </c>
      <c r="F1459" t="s">
        <v>5252</v>
      </c>
      <c r="G1459" t="s">
        <v>5647</v>
      </c>
      <c r="H1459">
        <v>11691</v>
      </c>
      <c r="I1459" t="s">
        <v>5695</v>
      </c>
      <c r="J1459" t="s">
        <v>5696</v>
      </c>
      <c r="K1459" t="s">
        <v>6447</v>
      </c>
      <c r="L1459" t="s">
        <v>6714</v>
      </c>
      <c r="M1459" t="s">
        <v>6736</v>
      </c>
      <c r="O1459" t="s">
        <v>6745</v>
      </c>
      <c r="P1459" t="s">
        <v>5697</v>
      </c>
      <c r="R1459" t="s">
        <v>6793</v>
      </c>
      <c r="S1459" t="s">
        <v>6804</v>
      </c>
      <c r="T1459" t="s">
        <v>6809</v>
      </c>
      <c r="U1459">
        <v>327</v>
      </c>
      <c r="V1459" t="s">
        <v>6837</v>
      </c>
      <c r="W1459" t="s">
        <v>6843</v>
      </c>
      <c r="Y1459" t="s">
        <v>8236</v>
      </c>
      <c r="Z1459" t="s">
        <v>9047</v>
      </c>
      <c r="AA1459" t="s">
        <v>10278</v>
      </c>
      <c r="AB1459">
        <v>0</v>
      </c>
      <c r="AC1459" t="s">
        <v>10935</v>
      </c>
      <c r="AD1459" t="s">
        <v>5741</v>
      </c>
      <c r="AE1459">
        <v>20</v>
      </c>
      <c r="AF1459">
        <v>1</v>
      </c>
      <c r="AG1459">
        <v>0</v>
      </c>
      <c r="AH1459">
        <v>114.24</v>
      </c>
      <c r="AK1459" t="s">
        <v>10966</v>
      </c>
      <c r="AL1459">
        <v>14268</v>
      </c>
      <c r="AR1459">
        <v>0.9</v>
      </c>
      <c r="AS1459" t="s">
        <v>6812</v>
      </c>
      <c r="AT1459" t="s">
        <v>11182</v>
      </c>
      <c r="AU1459" t="s">
        <v>11228</v>
      </c>
      <c r="AV1459" t="s">
        <v>11231</v>
      </c>
      <c r="AW1459" t="s">
        <v>6809</v>
      </c>
    </row>
    <row r="1460" spans="1:49">
      <c r="A1460" s="1">
        <f>HYPERLINK("https://lsnyc.legalserver.org/matter/dynamic-profile/view/1906144","19-1906144")</f>
        <v>0</v>
      </c>
      <c r="B1460" t="s">
        <v>92</v>
      </c>
      <c r="C1460" t="s">
        <v>453</v>
      </c>
      <c r="D1460" t="s">
        <v>2441</v>
      </c>
      <c r="E1460" t="s">
        <v>4405</v>
      </c>
      <c r="F1460" t="s">
        <v>5513</v>
      </c>
      <c r="G1460" t="s">
        <v>5637</v>
      </c>
      <c r="H1460">
        <v>11216</v>
      </c>
      <c r="I1460" t="s">
        <v>5695</v>
      </c>
      <c r="J1460" t="s">
        <v>5696</v>
      </c>
      <c r="K1460" t="s">
        <v>6448</v>
      </c>
      <c r="L1460" t="s">
        <v>6714</v>
      </c>
      <c r="M1460" t="s">
        <v>6736</v>
      </c>
      <c r="O1460" t="s">
        <v>6755</v>
      </c>
      <c r="P1460" t="s">
        <v>5697</v>
      </c>
      <c r="R1460" t="s">
        <v>6793</v>
      </c>
      <c r="S1460" t="s">
        <v>6803</v>
      </c>
      <c r="T1460" t="s">
        <v>6820</v>
      </c>
      <c r="U1460">
        <v>300</v>
      </c>
      <c r="V1460" t="s">
        <v>6835</v>
      </c>
      <c r="W1460" t="s">
        <v>6854</v>
      </c>
      <c r="Y1460" t="s">
        <v>6991</v>
      </c>
      <c r="Z1460" t="s">
        <v>5741</v>
      </c>
      <c r="AA1460" t="s">
        <v>10279</v>
      </c>
      <c r="AB1460">
        <v>16</v>
      </c>
      <c r="AC1460" t="s">
        <v>10929</v>
      </c>
      <c r="AD1460" t="s">
        <v>10944</v>
      </c>
      <c r="AE1460">
        <v>20</v>
      </c>
      <c r="AF1460">
        <v>1</v>
      </c>
      <c r="AG1460">
        <v>0</v>
      </c>
      <c r="AH1460">
        <v>0</v>
      </c>
      <c r="AK1460" t="s">
        <v>10966</v>
      </c>
      <c r="AL1460">
        <v>0</v>
      </c>
      <c r="AR1460">
        <v>0.6</v>
      </c>
      <c r="AS1460" t="s">
        <v>6821</v>
      </c>
      <c r="AT1460" t="s">
        <v>11190</v>
      </c>
      <c r="AU1460" t="s">
        <v>11228</v>
      </c>
      <c r="AV1460" t="s">
        <v>11231</v>
      </c>
      <c r="AW1460" t="s">
        <v>6821</v>
      </c>
    </row>
    <row r="1461" spans="1:49">
      <c r="A1461" s="1">
        <f>HYPERLINK("https://lsnyc.legalserver.org/matter/dynamic-profile/view/1905327","19-1905327")</f>
        <v>0</v>
      </c>
      <c r="B1461" t="s">
        <v>103</v>
      </c>
      <c r="C1461" t="s">
        <v>1260</v>
      </c>
      <c r="D1461" t="s">
        <v>1048</v>
      </c>
      <c r="E1461" t="s">
        <v>4343</v>
      </c>
      <c r="F1461">
        <v>51</v>
      </c>
      <c r="G1461" t="s">
        <v>5635</v>
      </c>
      <c r="H1461">
        <v>10468</v>
      </c>
      <c r="I1461" t="s">
        <v>5695</v>
      </c>
      <c r="J1461" t="s">
        <v>5696</v>
      </c>
      <c r="K1461" t="s">
        <v>6449</v>
      </c>
      <c r="L1461" t="s">
        <v>6714</v>
      </c>
      <c r="M1461" t="s">
        <v>6736</v>
      </c>
      <c r="O1461" t="s">
        <v>6763</v>
      </c>
      <c r="P1461" t="s">
        <v>5697</v>
      </c>
      <c r="R1461" t="s">
        <v>6793</v>
      </c>
      <c r="U1461">
        <v>1515</v>
      </c>
      <c r="V1461" t="s">
        <v>6833</v>
      </c>
      <c r="Y1461" t="s">
        <v>8218</v>
      </c>
      <c r="Z1461">
        <v>7969441</v>
      </c>
      <c r="AA1461" t="s">
        <v>10280</v>
      </c>
      <c r="AB1461">
        <v>30</v>
      </c>
      <c r="AC1461" t="s">
        <v>10929</v>
      </c>
      <c r="AD1461" t="s">
        <v>10946</v>
      </c>
      <c r="AE1461">
        <v>4</v>
      </c>
      <c r="AF1461">
        <v>1</v>
      </c>
      <c r="AG1461">
        <v>2</v>
      </c>
      <c r="AH1461">
        <v>18.89</v>
      </c>
      <c r="AK1461" t="s">
        <v>10966</v>
      </c>
      <c r="AL1461">
        <v>4030</v>
      </c>
      <c r="AR1461">
        <v>0.4</v>
      </c>
      <c r="AS1461" t="s">
        <v>6822</v>
      </c>
      <c r="AT1461" t="s">
        <v>288</v>
      </c>
      <c r="AU1461" t="s">
        <v>11228</v>
      </c>
      <c r="AV1461" t="s">
        <v>11231</v>
      </c>
      <c r="AW1461" t="s">
        <v>6828</v>
      </c>
    </row>
    <row r="1462" spans="1:49">
      <c r="A1462" s="1">
        <f>HYPERLINK("https://lsnyc.legalserver.org/matter/dynamic-profile/view/1905706","19-1905706")</f>
        <v>0</v>
      </c>
      <c r="B1462" t="s">
        <v>249</v>
      </c>
      <c r="C1462" t="s">
        <v>1261</v>
      </c>
      <c r="D1462" t="s">
        <v>2630</v>
      </c>
      <c r="E1462" t="s">
        <v>4406</v>
      </c>
      <c r="F1462">
        <v>31</v>
      </c>
      <c r="G1462" t="s">
        <v>5638</v>
      </c>
      <c r="H1462">
        <v>10031</v>
      </c>
      <c r="I1462" t="s">
        <v>5695</v>
      </c>
      <c r="J1462" t="s">
        <v>5696</v>
      </c>
      <c r="K1462" t="s">
        <v>6450</v>
      </c>
      <c r="L1462" t="s">
        <v>6714</v>
      </c>
      <c r="M1462" t="s">
        <v>6736</v>
      </c>
      <c r="O1462" t="s">
        <v>6749</v>
      </c>
      <c r="P1462" t="s">
        <v>5697</v>
      </c>
      <c r="R1462" t="s">
        <v>6793</v>
      </c>
      <c r="T1462" t="s">
        <v>6823</v>
      </c>
      <c r="U1462">
        <v>1120</v>
      </c>
      <c r="V1462" t="s">
        <v>6836</v>
      </c>
      <c r="W1462" t="s">
        <v>6839</v>
      </c>
      <c r="Y1462" t="s">
        <v>8237</v>
      </c>
      <c r="AA1462" t="s">
        <v>10281</v>
      </c>
      <c r="AB1462">
        <v>21</v>
      </c>
      <c r="AC1462" t="s">
        <v>10929</v>
      </c>
      <c r="AD1462" t="s">
        <v>5741</v>
      </c>
      <c r="AE1462">
        <v>9</v>
      </c>
      <c r="AF1462">
        <v>1</v>
      </c>
      <c r="AG1462">
        <v>0</v>
      </c>
      <c r="AH1462">
        <v>187.35</v>
      </c>
      <c r="AK1462" t="s">
        <v>10966</v>
      </c>
      <c r="AL1462">
        <v>23400</v>
      </c>
      <c r="AR1462">
        <v>1.75</v>
      </c>
      <c r="AS1462" t="s">
        <v>6823</v>
      </c>
      <c r="AT1462" t="s">
        <v>11218</v>
      </c>
      <c r="AU1462" t="s">
        <v>11228</v>
      </c>
      <c r="AV1462" t="s">
        <v>11231</v>
      </c>
      <c r="AW1462" t="s">
        <v>6823</v>
      </c>
    </row>
    <row r="1463" spans="1:49">
      <c r="A1463" s="1">
        <f>HYPERLINK("https://lsnyc.legalserver.org/matter/dynamic-profile/view/1904303","19-1904303")</f>
        <v>0</v>
      </c>
      <c r="B1463" t="s">
        <v>110</v>
      </c>
      <c r="C1463" t="s">
        <v>329</v>
      </c>
      <c r="D1463" t="s">
        <v>1773</v>
      </c>
      <c r="E1463" t="s">
        <v>4407</v>
      </c>
      <c r="F1463">
        <v>33</v>
      </c>
      <c r="G1463" t="s">
        <v>5638</v>
      </c>
      <c r="H1463">
        <v>10034</v>
      </c>
      <c r="I1463" t="s">
        <v>5695</v>
      </c>
      <c r="J1463" t="s">
        <v>5696</v>
      </c>
      <c r="K1463" t="s">
        <v>6451</v>
      </c>
      <c r="L1463" t="s">
        <v>6714</v>
      </c>
      <c r="M1463" t="s">
        <v>6736</v>
      </c>
      <c r="O1463" t="s">
        <v>6745</v>
      </c>
      <c r="P1463" t="s">
        <v>5697</v>
      </c>
      <c r="R1463" t="s">
        <v>6793</v>
      </c>
      <c r="T1463" t="s">
        <v>6813</v>
      </c>
      <c r="U1463">
        <v>818</v>
      </c>
      <c r="V1463" t="s">
        <v>6836</v>
      </c>
      <c r="W1463" t="s">
        <v>6843</v>
      </c>
      <c r="Y1463" t="s">
        <v>8238</v>
      </c>
      <c r="AA1463" t="s">
        <v>10282</v>
      </c>
      <c r="AB1463">
        <v>25</v>
      </c>
      <c r="AC1463" t="s">
        <v>10929</v>
      </c>
      <c r="AD1463" t="s">
        <v>5741</v>
      </c>
      <c r="AE1463">
        <v>18</v>
      </c>
      <c r="AF1463">
        <v>3</v>
      </c>
      <c r="AG1463">
        <v>0</v>
      </c>
      <c r="AH1463">
        <v>166.9</v>
      </c>
      <c r="AK1463" t="s">
        <v>10967</v>
      </c>
      <c r="AL1463">
        <v>35600</v>
      </c>
      <c r="AR1463">
        <v>4.52</v>
      </c>
      <c r="AS1463" t="s">
        <v>6823</v>
      </c>
      <c r="AT1463" t="s">
        <v>11201</v>
      </c>
      <c r="AU1463" t="s">
        <v>11228</v>
      </c>
      <c r="AV1463" t="s">
        <v>11231</v>
      </c>
      <c r="AW1463" t="s">
        <v>6813</v>
      </c>
    </row>
    <row r="1464" spans="1:49">
      <c r="A1464" s="1">
        <f>HYPERLINK("https://lsnyc.legalserver.org/matter/dynamic-profile/view/1897470","19-1897470")</f>
        <v>0</v>
      </c>
      <c r="B1464" t="s">
        <v>105</v>
      </c>
      <c r="C1464" t="s">
        <v>359</v>
      </c>
      <c r="D1464" t="s">
        <v>2204</v>
      </c>
      <c r="E1464" t="s">
        <v>3460</v>
      </c>
      <c r="F1464">
        <v>512</v>
      </c>
      <c r="G1464" t="s">
        <v>5635</v>
      </c>
      <c r="H1464">
        <v>10457</v>
      </c>
      <c r="I1464" t="s">
        <v>5695</v>
      </c>
      <c r="J1464" t="s">
        <v>5697</v>
      </c>
      <c r="K1464" t="s">
        <v>6452</v>
      </c>
      <c r="L1464" t="s">
        <v>6714</v>
      </c>
      <c r="M1464" t="s">
        <v>6736</v>
      </c>
      <c r="O1464" t="s">
        <v>6763</v>
      </c>
      <c r="P1464" t="s">
        <v>5697</v>
      </c>
      <c r="R1464" t="s">
        <v>6793</v>
      </c>
      <c r="U1464">
        <v>1200</v>
      </c>
      <c r="V1464" t="s">
        <v>6833</v>
      </c>
      <c r="W1464" t="s">
        <v>6840</v>
      </c>
      <c r="Y1464" t="s">
        <v>8239</v>
      </c>
      <c r="AA1464" t="s">
        <v>10283</v>
      </c>
      <c r="AB1464">
        <v>0</v>
      </c>
      <c r="AC1464" t="s">
        <v>10937</v>
      </c>
      <c r="AD1464" t="s">
        <v>10944</v>
      </c>
      <c r="AE1464">
        <v>10</v>
      </c>
      <c r="AF1464">
        <v>1</v>
      </c>
      <c r="AG1464">
        <v>0</v>
      </c>
      <c r="AH1464">
        <v>37.09</v>
      </c>
      <c r="AK1464" t="s">
        <v>10966</v>
      </c>
      <c r="AL1464">
        <v>4632</v>
      </c>
      <c r="AM1464" t="s">
        <v>11067</v>
      </c>
      <c r="AR1464">
        <v>3.75</v>
      </c>
      <c r="AS1464" t="s">
        <v>10953</v>
      </c>
      <c r="AT1464" t="s">
        <v>11179</v>
      </c>
      <c r="AU1464" t="s">
        <v>11228</v>
      </c>
      <c r="AV1464" t="s">
        <v>11231</v>
      </c>
      <c r="AW1464" t="s">
        <v>11165</v>
      </c>
    </row>
    <row r="1465" spans="1:49">
      <c r="A1465" s="1">
        <f>HYPERLINK("https://lsnyc.legalserver.org/matter/dynamic-profile/view/1903916","19-1903916")</f>
        <v>0</v>
      </c>
      <c r="B1465" t="s">
        <v>103</v>
      </c>
      <c r="C1465" t="s">
        <v>1262</v>
      </c>
      <c r="D1465" t="s">
        <v>2631</v>
      </c>
      <c r="E1465" t="s">
        <v>4408</v>
      </c>
      <c r="F1465" t="s">
        <v>5517</v>
      </c>
      <c r="G1465" t="s">
        <v>5635</v>
      </c>
      <c r="H1465">
        <v>10457</v>
      </c>
      <c r="I1465" t="s">
        <v>5695</v>
      </c>
      <c r="J1465" t="s">
        <v>5696</v>
      </c>
      <c r="K1465" t="s">
        <v>6453</v>
      </c>
      <c r="L1465" t="s">
        <v>6714</v>
      </c>
      <c r="M1465" t="s">
        <v>6736</v>
      </c>
      <c r="O1465" t="s">
        <v>6763</v>
      </c>
      <c r="P1465" t="s">
        <v>5697</v>
      </c>
      <c r="R1465" t="s">
        <v>6793</v>
      </c>
      <c r="U1465">
        <v>1621</v>
      </c>
      <c r="V1465" t="s">
        <v>6833</v>
      </c>
      <c r="Y1465" t="s">
        <v>8240</v>
      </c>
      <c r="AA1465" t="s">
        <v>10284</v>
      </c>
      <c r="AB1465">
        <v>120</v>
      </c>
      <c r="AE1465">
        <v>18</v>
      </c>
      <c r="AF1465">
        <v>3</v>
      </c>
      <c r="AG1465">
        <v>1</v>
      </c>
      <c r="AH1465">
        <v>7.67</v>
      </c>
      <c r="AK1465" t="s">
        <v>10966</v>
      </c>
      <c r="AL1465">
        <v>1976</v>
      </c>
      <c r="AR1465">
        <v>1.5</v>
      </c>
      <c r="AS1465" t="s">
        <v>6818</v>
      </c>
      <c r="AT1465" t="s">
        <v>288</v>
      </c>
      <c r="AU1465" t="s">
        <v>11228</v>
      </c>
      <c r="AV1465" t="s">
        <v>11231</v>
      </c>
      <c r="AW1465" t="s">
        <v>6807</v>
      </c>
    </row>
    <row r="1466" spans="1:49">
      <c r="A1466" s="1">
        <f>HYPERLINK("https://lsnyc.legalserver.org/matter/dynamic-profile/view/1906265","19-1906265")</f>
        <v>0</v>
      </c>
      <c r="B1466" t="s">
        <v>212</v>
      </c>
      <c r="C1466" t="s">
        <v>1263</v>
      </c>
      <c r="D1466" t="s">
        <v>2548</v>
      </c>
      <c r="E1466" t="s">
        <v>4409</v>
      </c>
      <c r="F1466" t="s">
        <v>5316</v>
      </c>
      <c r="G1466" t="s">
        <v>5638</v>
      </c>
      <c r="H1466">
        <v>10026</v>
      </c>
      <c r="I1466" t="s">
        <v>5695</v>
      </c>
      <c r="J1466" t="s">
        <v>5696</v>
      </c>
      <c r="K1466" t="s">
        <v>6183</v>
      </c>
      <c r="L1466" t="s">
        <v>6714</v>
      </c>
      <c r="M1466" t="s">
        <v>6736</v>
      </c>
      <c r="O1466" t="s">
        <v>6749</v>
      </c>
      <c r="P1466" t="s">
        <v>5697</v>
      </c>
      <c r="R1466" t="s">
        <v>6793</v>
      </c>
      <c r="S1466" t="s">
        <v>6801</v>
      </c>
      <c r="U1466">
        <v>229</v>
      </c>
      <c r="V1466" t="s">
        <v>6836</v>
      </c>
      <c r="W1466" t="s">
        <v>6839</v>
      </c>
      <c r="Y1466" t="s">
        <v>7234</v>
      </c>
      <c r="AA1466" t="s">
        <v>10285</v>
      </c>
      <c r="AB1466">
        <v>0</v>
      </c>
      <c r="AC1466" t="s">
        <v>10931</v>
      </c>
      <c r="AD1466" t="s">
        <v>10944</v>
      </c>
      <c r="AE1466">
        <v>38</v>
      </c>
      <c r="AF1466">
        <v>1</v>
      </c>
      <c r="AG1466">
        <v>0</v>
      </c>
      <c r="AH1466">
        <v>38.43</v>
      </c>
      <c r="AK1466" t="s">
        <v>10966</v>
      </c>
      <c r="AL1466">
        <v>4800</v>
      </c>
      <c r="AR1466">
        <v>0</v>
      </c>
      <c r="AT1466" t="s">
        <v>305</v>
      </c>
      <c r="AU1466" t="s">
        <v>11228</v>
      </c>
      <c r="AV1466" t="s">
        <v>11231</v>
      </c>
      <c r="AW1466" t="s">
        <v>6827</v>
      </c>
    </row>
    <row r="1467" spans="1:49">
      <c r="A1467" s="1">
        <f>HYPERLINK("https://lsnyc.legalserver.org/matter/dynamic-profile/view/1898549","19-1898549")</f>
        <v>0</v>
      </c>
      <c r="B1467" t="s">
        <v>258</v>
      </c>
      <c r="C1467" t="s">
        <v>321</v>
      </c>
      <c r="D1467" t="s">
        <v>441</v>
      </c>
      <c r="E1467" t="s">
        <v>4410</v>
      </c>
      <c r="F1467" t="s">
        <v>5116</v>
      </c>
      <c r="G1467" t="s">
        <v>5638</v>
      </c>
      <c r="H1467">
        <v>10027</v>
      </c>
      <c r="I1467" t="s">
        <v>5695</v>
      </c>
      <c r="J1467" t="s">
        <v>5695</v>
      </c>
      <c r="K1467" t="s">
        <v>6454</v>
      </c>
      <c r="L1467" t="s">
        <v>6714</v>
      </c>
      <c r="M1467" t="s">
        <v>6736</v>
      </c>
      <c r="O1467" t="s">
        <v>6749</v>
      </c>
      <c r="P1467" t="s">
        <v>5697</v>
      </c>
      <c r="R1467" t="s">
        <v>6793</v>
      </c>
      <c r="S1467" t="s">
        <v>6801</v>
      </c>
      <c r="U1467">
        <v>1238</v>
      </c>
      <c r="V1467" t="s">
        <v>6836</v>
      </c>
      <c r="W1467" t="s">
        <v>6840</v>
      </c>
      <c r="Y1467" t="s">
        <v>8241</v>
      </c>
      <c r="Z1467" t="s">
        <v>9048</v>
      </c>
      <c r="AA1467" t="s">
        <v>10286</v>
      </c>
      <c r="AB1467">
        <v>0</v>
      </c>
      <c r="AC1467" t="s">
        <v>10929</v>
      </c>
      <c r="AD1467" t="s">
        <v>5741</v>
      </c>
      <c r="AE1467">
        <v>9</v>
      </c>
      <c r="AF1467">
        <v>1</v>
      </c>
      <c r="AG1467">
        <v>0</v>
      </c>
      <c r="AH1467">
        <v>98.38</v>
      </c>
      <c r="AK1467" t="s">
        <v>10966</v>
      </c>
      <c r="AL1467">
        <v>12288</v>
      </c>
      <c r="AR1467">
        <v>5.75</v>
      </c>
      <c r="AS1467" t="s">
        <v>6820</v>
      </c>
      <c r="AT1467" t="s">
        <v>305</v>
      </c>
      <c r="AV1467" t="s">
        <v>11231</v>
      </c>
      <c r="AW1467" t="s">
        <v>11123</v>
      </c>
    </row>
    <row r="1468" spans="1:49">
      <c r="A1468" s="1">
        <f>HYPERLINK("https://lsnyc.legalserver.org/matter/dynamic-profile/view/1901312","19-1901312")</f>
        <v>0</v>
      </c>
      <c r="B1468" t="s">
        <v>74</v>
      </c>
      <c r="C1468" t="s">
        <v>1264</v>
      </c>
      <c r="D1468" t="s">
        <v>2632</v>
      </c>
      <c r="E1468" t="s">
        <v>4411</v>
      </c>
      <c r="F1468" t="s">
        <v>5518</v>
      </c>
      <c r="G1468" t="s">
        <v>5635</v>
      </c>
      <c r="H1468">
        <v>10468</v>
      </c>
      <c r="I1468" t="s">
        <v>5695</v>
      </c>
      <c r="J1468" t="s">
        <v>5696</v>
      </c>
      <c r="K1468" t="s">
        <v>6455</v>
      </c>
      <c r="L1468" t="s">
        <v>6714</v>
      </c>
      <c r="M1468" t="s">
        <v>6736</v>
      </c>
      <c r="O1468" t="s">
        <v>6747</v>
      </c>
      <c r="P1468" t="s">
        <v>5697</v>
      </c>
      <c r="R1468" t="s">
        <v>6793</v>
      </c>
      <c r="S1468" t="s">
        <v>6801</v>
      </c>
      <c r="U1468">
        <v>1086.26</v>
      </c>
      <c r="V1468" t="s">
        <v>6833</v>
      </c>
      <c r="W1468" t="s">
        <v>6840</v>
      </c>
      <c r="Y1468" t="s">
        <v>8242</v>
      </c>
      <c r="Z1468" t="s">
        <v>9049</v>
      </c>
      <c r="AA1468" t="s">
        <v>10287</v>
      </c>
      <c r="AB1468">
        <v>871</v>
      </c>
      <c r="AC1468" t="s">
        <v>10941</v>
      </c>
      <c r="AD1468" t="s">
        <v>10944</v>
      </c>
      <c r="AE1468">
        <v>5</v>
      </c>
      <c r="AF1468">
        <v>1</v>
      </c>
      <c r="AG1468">
        <v>0</v>
      </c>
      <c r="AH1468">
        <v>104.08</v>
      </c>
      <c r="AK1468" t="s">
        <v>10966</v>
      </c>
      <c r="AL1468">
        <v>13000</v>
      </c>
      <c r="AR1468">
        <v>2</v>
      </c>
      <c r="AS1468" t="s">
        <v>6818</v>
      </c>
      <c r="AT1468" t="s">
        <v>11217</v>
      </c>
      <c r="AU1468" t="s">
        <v>11228</v>
      </c>
      <c r="AV1468" t="s">
        <v>11231</v>
      </c>
      <c r="AW1468" t="s">
        <v>11148</v>
      </c>
    </row>
    <row r="1469" spans="1:49">
      <c r="A1469" s="1">
        <f>HYPERLINK("https://lsnyc.legalserver.org/matter/dynamic-profile/view/1906272","19-1906272")</f>
        <v>0</v>
      </c>
      <c r="B1469" t="s">
        <v>224</v>
      </c>
      <c r="C1469" t="s">
        <v>1265</v>
      </c>
      <c r="D1469" t="s">
        <v>2633</v>
      </c>
      <c r="E1469" t="s">
        <v>4412</v>
      </c>
      <c r="F1469">
        <v>69</v>
      </c>
      <c r="G1469" t="s">
        <v>5637</v>
      </c>
      <c r="H1469">
        <v>11226</v>
      </c>
      <c r="I1469" t="s">
        <v>5697</v>
      </c>
      <c r="J1469" t="s">
        <v>5696</v>
      </c>
      <c r="K1469" t="s">
        <v>6456</v>
      </c>
      <c r="L1469" t="s">
        <v>6714</v>
      </c>
      <c r="M1469" t="s">
        <v>6736</v>
      </c>
      <c r="O1469" t="s">
        <v>6755</v>
      </c>
      <c r="R1469" t="s">
        <v>6793</v>
      </c>
      <c r="U1469">
        <v>869.96</v>
      </c>
      <c r="V1469" t="s">
        <v>6835</v>
      </c>
      <c r="Y1469" t="s">
        <v>8243</v>
      </c>
      <c r="AA1469" t="s">
        <v>10288</v>
      </c>
      <c r="AB1469">
        <v>0</v>
      </c>
      <c r="AC1469" t="s">
        <v>10929</v>
      </c>
      <c r="AE1469">
        <v>49</v>
      </c>
      <c r="AF1469">
        <v>1</v>
      </c>
      <c r="AG1469">
        <v>0</v>
      </c>
      <c r="AH1469">
        <v>200.13</v>
      </c>
      <c r="AK1469" t="s">
        <v>10966</v>
      </c>
      <c r="AL1469">
        <v>24996</v>
      </c>
      <c r="AR1469">
        <v>0</v>
      </c>
      <c r="AT1469" t="s">
        <v>11198</v>
      </c>
      <c r="AV1469" t="s">
        <v>11231</v>
      </c>
      <c r="AW1469" t="s">
        <v>6827</v>
      </c>
    </row>
    <row r="1470" spans="1:49">
      <c r="A1470" s="1">
        <f>HYPERLINK("https://lsnyc.legalserver.org/matter/dynamic-profile/view/1901865","19-1901865")</f>
        <v>0</v>
      </c>
      <c r="B1470" t="s">
        <v>205</v>
      </c>
      <c r="C1470" t="s">
        <v>1266</v>
      </c>
      <c r="D1470" t="s">
        <v>2634</v>
      </c>
      <c r="E1470" t="s">
        <v>4413</v>
      </c>
      <c r="F1470" t="s">
        <v>5323</v>
      </c>
      <c r="G1470" t="s">
        <v>5637</v>
      </c>
      <c r="H1470">
        <v>11219</v>
      </c>
      <c r="I1470" t="s">
        <v>5697</v>
      </c>
      <c r="J1470" t="s">
        <v>5696</v>
      </c>
      <c r="K1470" t="s">
        <v>6457</v>
      </c>
      <c r="L1470" t="s">
        <v>6714</v>
      </c>
      <c r="M1470" t="s">
        <v>6736</v>
      </c>
      <c r="O1470" t="s">
        <v>6745</v>
      </c>
      <c r="P1470" t="s">
        <v>5697</v>
      </c>
      <c r="R1470" t="s">
        <v>6793</v>
      </c>
      <c r="U1470">
        <v>1000</v>
      </c>
      <c r="V1470" t="s">
        <v>6835</v>
      </c>
      <c r="W1470" t="s">
        <v>6839</v>
      </c>
      <c r="Y1470" t="s">
        <v>8244</v>
      </c>
      <c r="AA1470" t="s">
        <v>10289</v>
      </c>
      <c r="AB1470">
        <v>35</v>
      </c>
      <c r="AC1470" t="s">
        <v>10929</v>
      </c>
      <c r="AD1470" t="s">
        <v>5741</v>
      </c>
      <c r="AE1470">
        <v>12</v>
      </c>
      <c r="AF1470">
        <v>4</v>
      </c>
      <c r="AG1470">
        <v>0</v>
      </c>
      <c r="AH1470">
        <v>121.17</v>
      </c>
      <c r="AK1470" t="s">
        <v>10967</v>
      </c>
      <c r="AL1470">
        <v>31200</v>
      </c>
      <c r="AR1470">
        <v>3.7</v>
      </c>
      <c r="AS1470" t="s">
        <v>6824</v>
      </c>
      <c r="AT1470" t="s">
        <v>67</v>
      </c>
      <c r="AV1470" t="s">
        <v>11231</v>
      </c>
      <c r="AW1470" t="s">
        <v>11150</v>
      </c>
    </row>
    <row r="1471" spans="1:49">
      <c r="A1471" s="1">
        <f>HYPERLINK("https://lsnyc.legalserver.org/matter/dynamic-profile/view/1902998","19-1902998")</f>
        <v>0</v>
      </c>
      <c r="B1471" t="s">
        <v>202</v>
      </c>
      <c r="C1471" t="s">
        <v>1267</v>
      </c>
      <c r="D1471" t="s">
        <v>2532</v>
      </c>
      <c r="E1471" t="s">
        <v>4414</v>
      </c>
      <c r="F1471">
        <v>805</v>
      </c>
      <c r="G1471" t="s">
        <v>5635</v>
      </c>
      <c r="H1471">
        <v>10457</v>
      </c>
      <c r="I1471" t="s">
        <v>5695</v>
      </c>
      <c r="J1471" t="s">
        <v>5696</v>
      </c>
      <c r="K1471" t="s">
        <v>6458</v>
      </c>
      <c r="L1471" t="s">
        <v>6714</v>
      </c>
      <c r="M1471" t="s">
        <v>6736</v>
      </c>
      <c r="O1471" t="s">
        <v>6763</v>
      </c>
      <c r="P1471" t="s">
        <v>5697</v>
      </c>
      <c r="R1471" t="s">
        <v>6793</v>
      </c>
      <c r="U1471">
        <v>547.1</v>
      </c>
      <c r="V1471" t="s">
        <v>6833</v>
      </c>
      <c r="W1471" t="s">
        <v>6840</v>
      </c>
      <c r="Y1471" t="s">
        <v>8168</v>
      </c>
      <c r="AA1471" t="s">
        <v>10290</v>
      </c>
      <c r="AB1471">
        <v>0</v>
      </c>
      <c r="AE1471">
        <v>7</v>
      </c>
      <c r="AF1471">
        <v>1</v>
      </c>
      <c r="AG1471">
        <v>0</v>
      </c>
      <c r="AH1471">
        <v>74.08</v>
      </c>
      <c r="AK1471" t="s">
        <v>10966</v>
      </c>
      <c r="AL1471">
        <v>9252</v>
      </c>
      <c r="AR1471">
        <v>1.5</v>
      </c>
      <c r="AS1471" t="s">
        <v>10953</v>
      </c>
      <c r="AT1471" t="s">
        <v>219</v>
      </c>
      <c r="AU1471" t="s">
        <v>11228</v>
      </c>
      <c r="AV1471" t="s">
        <v>11231</v>
      </c>
      <c r="AW1471" t="s">
        <v>11133</v>
      </c>
    </row>
    <row r="1472" spans="1:49">
      <c r="A1472" s="1">
        <f>HYPERLINK("https://lsnyc.legalserver.org/matter/dynamic-profile/view/1899830","19-1899830")</f>
        <v>0</v>
      </c>
      <c r="B1472" t="s">
        <v>98</v>
      </c>
      <c r="C1472" t="s">
        <v>1268</v>
      </c>
      <c r="D1472" t="s">
        <v>2635</v>
      </c>
      <c r="E1472" t="s">
        <v>4415</v>
      </c>
      <c r="F1472" t="s">
        <v>5144</v>
      </c>
      <c r="G1472" t="s">
        <v>5638</v>
      </c>
      <c r="H1472">
        <v>10026</v>
      </c>
      <c r="I1472" t="s">
        <v>5696</v>
      </c>
      <c r="J1472" t="s">
        <v>5696</v>
      </c>
      <c r="K1472" t="s">
        <v>6459</v>
      </c>
      <c r="L1472" t="s">
        <v>6714</v>
      </c>
      <c r="M1472" t="s">
        <v>6736</v>
      </c>
      <c r="O1472" t="s">
        <v>6749</v>
      </c>
      <c r="P1472" t="s">
        <v>5697</v>
      </c>
      <c r="R1472" t="s">
        <v>6793</v>
      </c>
      <c r="U1472">
        <v>908.54</v>
      </c>
      <c r="V1472" t="s">
        <v>6836</v>
      </c>
      <c r="Y1472" t="s">
        <v>7819</v>
      </c>
      <c r="AA1472" t="s">
        <v>10291</v>
      </c>
      <c r="AB1472">
        <v>0</v>
      </c>
      <c r="AE1472">
        <v>20</v>
      </c>
      <c r="AF1472">
        <v>1</v>
      </c>
      <c r="AG1472">
        <v>0</v>
      </c>
      <c r="AH1472">
        <v>124.9</v>
      </c>
      <c r="AK1472" t="s">
        <v>10966</v>
      </c>
      <c r="AL1472">
        <v>15600</v>
      </c>
      <c r="AR1472">
        <v>9.6</v>
      </c>
      <c r="AS1472" t="s">
        <v>6827</v>
      </c>
      <c r="AT1472" t="s">
        <v>11194</v>
      </c>
      <c r="AV1472" t="s">
        <v>11231</v>
      </c>
      <c r="AW1472" t="s">
        <v>11132</v>
      </c>
    </row>
    <row r="1473" spans="1:49">
      <c r="A1473" s="1">
        <f>HYPERLINK("https://lsnyc.legalserver.org/matter/dynamic-profile/view/1904258","19-1904258")</f>
        <v>0</v>
      </c>
      <c r="B1473" t="s">
        <v>60</v>
      </c>
      <c r="C1473" t="s">
        <v>1269</v>
      </c>
      <c r="D1473" t="s">
        <v>2543</v>
      </c>
      <c r="E1473" t="s">
        <v>4416</v>
      </c>
      <c r="F1473" t="s">
        <v>5100</v>
      </c>
      <c r="G1473" t="s">
        <v>5636</v>
      </c>
      <c r="H1473">
        <v>10303</v>
      </c>
      <c r="I1473" t="s">
        <v>5695</v>
      </c>
      <c r="J1473" t="s">
        <v>5696</v>
      </c>
      <c r="K1473" t="s">
        <v>6460</v>
      </c>
      <c r="L1473" t="s">
        <v>6714</v>
      </c>
      <c r="M1473" t="s">
        <v>6736</v>
      </c>
      <c r="O1473" t="s">
        <v>6762</v>
      </c>
      <c r="P1473" t="s">
        <v>5697</v>
      </c>
      <c r="R1473" t="s">
        <v>6794</v>
      </c>
      <c r="S1473" t="s">
        <v>6803</v>
      </c>
      <c r="T1473" t="s">
        <v>6813</v>
      </c>
      <c r="U1473">
        <v>400</v>
      </c>
      <c r="V1473" t="s">
        <v>6834</v>
      </c>
      <c r="W1473" t="s">
        <v>6839</v>
      </c>
      <c r="Y1473" t="s">
        <v>7023</v>
      </c>
      <c r="AA1473" t="s">
        <v>10292</v>
      </c>
      <c r="AB1473">
        <v>0</v>
      </c>
      <c r="AC1473" t="s">
        <v>10931</v>
      </c>
      <c r="AD1473" t="s">
        <v>10944</v>
      </c>
      <c r="AE1473">
        <v>12</v>
      </c>
      <c r="AF1473">
        <v>1</v>
      </c>
      <c r="AG1473">
        <v>2</v>
      </c>
      <c r="AH1473">
        <v>146.27</v>
      </c>
      <c r="AK1473" t="s">
        <v>10966</v>
      </c>
      <c r="AL1473">
        <v>31200</v>
      </c>
      <c r="AR1473">
        <v>0.1</v>
      </c>
      <c r="AS1473" t="s">
        <v>6820</v>
      </c>
      <c r="AT1473" t="s">
        <v>11223</v>
      </c>
      <c r="AU1473" t="s">
        <v>11228</v>
      </c>
      <c r="AV1473" t="s">
        <v>11231</v>
      </c>
      <c r="AW1473" t="s">
        <v>6813</v>
      </c>
    </row>
    <row r="1474" spans="1:49">
      <c r="A1474" s="1">
        <f>HYPERLINK("https://lsnyc.legalserver.org/matter/dynamic-profile/view/1902275","19-1902275")</f>
        <v>0</v>
      </c>
      <c r="B1474" t="s">
        <v>192</v>
      </c>
      <c r="C1474" t="s">
        <v>1270</v>
      </c>
      <c r="D1474" t="s">
        <v>2636</v>
      </c>
      <c r="E1474" t="s">
        <v>4284</v>
      </c>
      <c r="F1474" t="s">
        <v>5154</v>
      </c>
      <c r="G1474" t="s">
        <v>5635</v>
      </c>
      <c r="H1474">
        <v>10457</v>
      </c>
      <c r="I1474" t="s">
        <v>5695</v>
      </c>
      <c r="J1474" t="s">
        <v>5696</v>
      </c>
      <c r="K1474" t="s">
        <v>6461</v>
      </c>
      <c r="L1474" t="s">
        <v>6714</v>
      </c>
      <c r="M1474" t="s">
        <v>6736</v>
      </c>
      <c r="O1474" t="s">
        <v>6763</v>
      </c>
      <c r="P1474" t="s">
        <v>5697</v>
      </c>
      <c r="R1474" t="s">
        <v>6793</v>
      </c>
      <c r="S1474" t="s">
        <v>6801</v>
      </c>
      <c r="T1474" t="s">
        <v>6811</v>
      </c>
      <c r="U1474">
        <v>1145.45</v>
      </c>
      <c r="V1474" t="s">
        <v>6833</v>
      </c>
      <c r="W1474" t="s">
        <v>6840</v>
      </c>
      <c r="Y1474" t="s">
        <v>8245</v>
      </c>
      <c r="AA1474" t="s">
        <v>10293</v>
      </c>
      <c r="AB1474">
        <v>41</v>
      </c>
      <c r="AC1474" t="s">
        <v>10929</v>
      </c>
      <c r="AD1474" t="s">
        <v>5741</v>
      </c>
      <c r="AE1474">
        <v>2</v>
      </c>
      <c r="AF1474">
        <v>2</v>
      </c>
      <c r="AG1474">
        <v>1</v>
      </c>
      <c r="AH1474">
        <v>89.08</v>
      </c>
      <c r="AK1474" t="s">
        <v>10966</v>
      </c>
      <c r="AL1474">
        <v>19000</v>
      </c>
      <c r="AR1474">
        <v>1.85</v>
      </c>
      <c r="AS1474" t="s">
        <v>6817</v>
      </c>
      <c r="AT1474" t="s">
        <v>11179</v>
      </c>
      <c r="AU1474" t="s">
        <v>11228</v>
      </c>
      <c r="AV1474" t="s">
        <v>11231</v>
      </c>
      <c r="AW1474" t="s">
        <v>11140</v>
      </c>
    </row>
    <row r="1475" spans="1:49">
      <c r="A1475" s="1">
        <f>HYPERLINK("https://lsnyc.legalserver.org/matter/dynamic-profile/view/1900453","19-1900453")</f>
        <v>0</v>
      </c>
      <c r="B1475" t="s">
        <v>193</v>
      </c>
      <c r="C1475" t="s">
        <v>1271</v>
      </c>
      <c r="D1475" t="s">
        <v>2261</v>
      </c>
      <c r="E1475" t="s">
        <v>4417</v>
      </c>
      <c r="F1475" t="s">
        <v>5130</v>
      </c>
      <c r="G1475" t="s">
        <v>5635</v>
      </c>
      <c r="H1475">
        <v>10460</v>
      </c>
      <c r="I1475" t="s">
        <v>5695</v>
      </c>
      <c r="J1475" t="s">
        <v>5696</v>
      </c>
      <c r="K1475" t="s">
        <v>6462</v>
      </c>
      <c r="L1475" t="s">
        <v>6714</v>
      </c>
      <c r="M1475" t="s">
        <v>6736</v>
      </c>
      <c r="O1475" t="s">
        <v>6747</v>
      </c>
      <c r="R1475" t="s">
        <v>6793</v>
      </c>
      <c r="U1475">
        <v>258.43</v>
      </c>
      <c r="V1475" t="s">
        <v>6833</v>
      </c>
      <c r="W1475" t="s">
        <v>6843</v>
      </c>
      <c r="Y1475" t="s">
        <v>8246</v>
      </c>
      <c r="AA1475" t="s">
        <v>10294</v>
      </c>
      <c r="AB1475">
        <v>0</v>
      </c>
      <c r="AC1475" t="s">
        <v>10929</v>
      </c>
      <c r="AD1475" t="s">
        <v>10944</v>
      </c>
      <c r="AE1475">
        <v>39</v>
      </c>
      <c r="AF1475">
        <v>1</v>
      </c>
      <c r="AG1475">
        <v>0</v>
      </c>
      <c r="AH1475">
        <v>115.29</v>
      </c>
      <c r="AK1475" t="s">
        <v>10966</v>
      </c>
      <c r="AL1475">
        <v>14400</v>
      </c>
      <c r="AR1475">
        <v>5</v>
      </c>
      <c r="AS1475" t="s">
        <v>6810</v>
      </c>
      <c r="AT1475" t="s">
        <v>11217</v>
      </c>
      <c r="AU1475" t="s">
        <v>11228</v>
      </c>
      <c r="AV1475" t="s">
        <v>11231</v>
      </c>
      <c r="AW1475" t="s">
        <v>11160</v>
      </c>
    </row>
    <row r="1476" spans="1:49">
      <c r="A1476" s="1">
        <f>HYPERLINK("https://lsnyc.legalserver.org/matter/dynamic-profile/view/1904570","19-1904570")</f>
        <v>0</v>
      </c>
      <c r="B1476" t="s">
        <v>196</v>
      </c>
      <c r="C1476" t="s">
        <v>768</v>
      </c>
      <c r="D1476" t="s">
        <v>2637</v>
      </c>
      <c r="E1476" t="s">
        <v>4371</v>
      </c>
      <c r="F1476" t="s">
        <v>5267</v>
      </c>
      <c r="G1476" t="s">
        <v>5635</v>
      </c>
      <c r="H1476">
        <v>10457</v>
      </c>
      <c r="I1476" t="s">
        <v>5695</v>
      </c>
      <c r="J1476" t="s">
        <v>5696</v>
      </c>
      <c r="K1476" t="s">
        <v>6463</v>
      </c>
      <c r="L1476" t="s">
        <v>6714</v>
      </c>
      <c r="M1476" t="s">
        <v>6736</v>
      </c>
      <c r="O1476" t="s">
        <v>6763</v>
      </c>
      <c r="P1476" t="s">
        <v>5697</v>
      </c>
      <c r="R1476" t="s">
        <v>6793</v>
      </c>
      <c r="S1476" t="s">
        <v>6804</v>
      </c>
      <c r="U1476">
        <v>1201</v>
      </c>
      <c r="V1476" t="s">
        <v>6833</v>
      </c>
      <c r="Y1476" t="s">
        <v>8247</v>
      </c>
      <c r="AA1476" t="s">
        <v>10295</v>
      </c>
      <c r="AB1476">
        <v>60</v>
      </c>
      <c r="AC1476" t="s">
        <v>10929</v>
      </c>
      <c r="AE1476">
        <v>10</v>
      </c>
      <c r="AF1476">
        <v>2</v>
      </c>
      <c r="AG1476">
        <v>0</v>
      </c>
      <c r="AH1476">
        <v>155.99</v>
      </c>
      <c r="AK1476" t="s">
        <v>10966</v>
      </c>
      <c r="AL1476">
        <v>26377.56</v>
      </c>
      <c r="AR1476">
        <v>3</v>
      </c>
      <c r="AS1476" t="s">
        <v>6816</v>
      </c>
      <c r="AT1476" t="s">
        <v>11200</v>
      </c>
      <c r="AV1476" t="s">
        <v>11231</v>
      </c>
      <c r="AW1476" t="s">
        <v>6810</v>
      </c>
    </row>
    <row r="1477" spans="1:49">
      <c r="A1477" s="1">
        <f>HYPERLINK("https://lsnyc.legalserver.org/matter/dynamic-profile/view/1897140","19-1897140")</f>
        <v>0</v>
      </c>
      <c r="B1477" t="s">
        <v>98</v>
      </c>
      <c r="C1477" t="s">
        <v>1272</v>
      </c>
      <c r="D1477" t="s">
        <v>2089</v>
      </c>
      <c r="E1477" t="s">
        <v>4418</v>
      </c>
      <c r="F1477" t="s">
        <v>5248</v>
      </c>
      <c r="G1477" t="s">
        <v>5638</v>
      </c>
      <c r="H1477">
        <v>10027</v>
      </c>
      <c r="I1477" t="s">
        <v>5695</v>
      </c>
      <c r="J1477" t="s">
        <v>5695</v>
      </c>
      <c r="K1477" t="s">
        <v>6464</v>
      </c>
      <c r="L1477" t="s">
        <v>6714</v>
      </c>
      <c r="M1477" t="s">
        <v>6736</v>
      </c>
      <c r="O1477" t="s">
        <v>6749</v>
      </c>
      <c r="P1477" t="s">
        <v>5697</v>
      </c>
      <c r="R1477" t="s">
        <v>6793</v>
      </c>
      <c r="S1477" t="s">
        <v>6801</v>
      </c>
      <c r="U1477">
        <v>720</v>
      </c>
      <c r="V1477" t="s">
        <v>6836</v>
      </c>
      <c r="W1477" t="s">
        <v>6839</v>
      </c>
      <c r="Y1477" t="s">
        <v>7942</v>
      </c>
      <c r="AA1477" t="s">
        <v>10296</v>
      </c>
      <c r="AB1477">
        <v>0</v>
      </c>
      <c r="AC1477" t="s">
        <v>8953</v>
      </c>
      <c r="AD1477" t="s">
        <v>10945</v>
      </c>
      <c r="AE1477">
        <v>19</v>
      </c>
      <c r="AF1477">
        <v>1</v>
      </c>
      <c r="AG1477">
        <v>0</v>
      </c>
      <c r="AH1477">
        <v>100.59</v>
      </c>
      <c r="AK1477" t="s">
        <v>10966</v>
      </c>
      <c r="AL1477">
        <v>12564</v>
      </c>
      <c r="AR1477">
        <v>8.699999999999999</v>
      </c>
      <c r="AS1477" t="s">
        <v>6817</v>
      </c>
      <c r="AT1477" t="s">
        <v>305</v>
      </c>
      <c r="AV1477" t="s">
        <v>11231</v>
      </c>
      <c r="AW1477" t="s">
        <v>11151</v>
      </c>
    </row>
    <row r="1478" spans="1:49">
      <c r="A1478" s="1">
        <f>HYPERLINK("https://lsnyc.legalserver.org/matter/dynamic-profile/view/1904423","19-1904423")</f>
        <v>0</v>
      </c>
      <c r="B1478" t="s">
        <v>60</v>
      </c>
      <c r="C1478" t="s">
        <v>535</v>
      </c>
      <c r="D1478" t="s">
        <v>1854</v>
      </c>
      <c r="E1478" t="s">
        <v>3326</v>
      </c>
      <c r="F1478">
        <v>513</v>
      </c>
      <c r="G1478" t="s">
        <v>5636</v>
      </c>
      <c r="H1478">
        <v>10304</v>
      </c>
      <c r="I1478" t="s">
        <v>5695</v>
      </c>
      <c r="J1478" t="s">
        <v>5696</v>
      </c>
      <c r="K1478" t="s">
        <v>6465</v>
      </c>
      <c r="L1478" t="s">
        <v>6714</v>
      </c>
      <c r="M1478" t="s">
        <v>6736</v>
      </c>
      <c r="O1478" t="s">
        <v>6745</v>
      </c>
      <c r="P1478" t="s">
        <v>5697</v>
      </c>
      <c r="R1478" t="s">
        <v>6793</v>
      </c>
      <c r="S1478" t="s">
        <v>6801</v>
      </c>
      <c r="T1478" t="s">
        <v>6812</v>
      </c>
      <c r="U1478">
        <v>1202.3</v>
      </c>
      <c r="V1478" t="s">
        <v>6834</v>
      </c>
      <c r="W1478" t="s">
        <v>6844</v>
      </c>
      <c r="Y1478" t="s">
        <v>7121</v>
      </c>
      <c r="AA1478" t="s">
        <v>9279</v>
      </c>
      <c r="AB1478">
        <v>105</v>
      </c>
      <c r="AC1478" t="s">
        <v>10929</v>
      </c>
      <c r="AD1478" t="s">
        <v>10948</v>
      </c>
      <c r="AE1478">
        <v>8</v>
      </c>
      <c r="AF1478">
        <v>1</v>
      </c>
      <c r="AG1478">
        <v>0</v>
      </c>
      <c r="AH1478">
        <v>84.36</v>
      </c>
      <c r="AL1478">
        <v>10536</v>
      </c>
      <c r="AR1478">
        <v>2.7</v>
      </c>
      <c r="AS1478" t="s">
        <v>6827</v>
      </c>
      <c r="AT1478" t="s">
        <v>11177</v>
      </c>
      <c r="AU1478" t="s">
        <v>11228</v>
      </c>
      <c r="AV1478" t="s">
        <v>11231</v>
      </c>
      <c r="AW1478" t="s">
        <v>6812</v>
      </c>
    </row>
    <row r="1479" spans="1:49">
      <c r="A1479" s="1">
        <f>HYPERLINK("https://lsnyc.legalserver.org/matter/dynamic-profile/view/1902308","19-1902308")</f>
        <v>0</v>
      </c>
      <c r="B1479" t="s">
        <v>167</v>
      </c>
      <c r="C1479" t="s">
        <v>1273</v>
      </c>
      <c r="D1479" t="s">
        <v>2638</v>
      </c>
      <c r="E1479" t="s">
        <v>4419</v>
      </c>
      <c r="F1479" t="s">
        <v>5484</v>
      </c>
      <c r="G1479" t="s">
        <v>5635</v>
      </c>
      <c r="H1479">
        <v>10457</v>
      </c>
      <c r="I1479" t="s">
        <v>5695</v>
      </c>
      <c r="J1479" t="s">
        <v>5696</v>
      </c>
      <c r="K1479" t="s">
        <v>6466</v>
      </c>
      <c r="L1479" t="s">
        <v>6714</v>
      </c>
      <c r="M1479" t="s">
        <v>6736</v>
      </c>
      <c r="O1479" t="s">
        <v>6763</v>
      </c>
      <c r="P1479" t="s">
        <v>5697</v>
      </c>
      <c r="R1479" t="s">
        <v>6793</v>
      </c>
      <c r="S1479" t="s">
        <v>6801</v>
      </c>
      <c r="U1479">
        <v>0</v>
      </c>
      <c r="V1479" t="s">
        <v>6833</v>
      </c>
      <c r="W1479" t="s">
        <v>6840</v>
      </c>
      <c r="Y1479" t="s">
        <v>8248</v>
      </c>
      <c r="AA1479" t="s">
        <v>10297</v>
      </c>
      <c r="AB1479">
        <v>75</v>
      </c>
      <c r="AC1479" t="s">
        <v>10929</v>
      </c>
      <c r="AE1479">
        <v>7</v>
      </c>
      <c r="AF1479">
        <v>4</v>
      </c>
      <c r="AG1479">
        <v>4</v>
      </c>
      <c r="AH1479">
        <v>119.73</v>
      </c>
      <c r="AK1479" t="s">
        <v>10967</v>
      </c>
      <c r="AL1479">
        <v>52000</v>
      </c>
      <c r="AR1479">
        <v>2.7</v>
      </c>
      <c r="AS1479" t="s">
        <v>6819</v>
      </c>
      <c r="AT1479" t="s">
        <v>11200</v>
      </c>
      <c r="AV1479" t="s">
        <v>11231</v>
      </c>
      <c r="AW1479" t="s">
        <v>11140</v>
      </c>
    </row>
    <row r="1480" spans="1:49">
      <c r="A1480" s="1">
        <f>HYPERLINK("https://lsnyc.legalserver.org/matter/dynamic-profile/view/1905337","19-1905337")</f>
        <v>0</v>
      </c>
      <c r="B1480" t="s">
        <v>193</v>
      </c>
      <c r="C1480" t="s">
        <v>1274</v>
      </c>
      <c r="D1480" t="s">
        <v>2260</v>
      </c>
      <c r="E1480" t="s">
        <v>4420</v>
      </c>
      <c r="F1480" t="s">
        <v>5100</v>
      </c>
      <c r="G1480" t="s">
        <v>5635</v>
      </c>
      <c r="H1480">
        <v>10462</v>
      </c>
      <c r="I1480" t="s">
        <v>5695</v>
      </c>
      <c r="J1480" t="s">
        <v>5696</v>
      </c>
      <c r="K1480" t="s">
        <v>6467</v>
      </c>
      <c r="L1480" t="s">
        <v>6714</v>
      </c>
      <c r="M1480" t="s">
        <v>6736</v>
      </c>
      <c r="O1480" t="s">
        <v>6763</v>
      </c>
      <c r="R1480" t="s">
        <v>6793</v>
      </c>
      <c r="U1480">
        <v>1900</v>
      </c>
      <c r="V1480" t="s">
        <v>6833</v>
      </c>
      <c r="Y1480" t="s">
        <v>8249</v>
      </c>
      <c r="AA1480" t="s">
        <v>10298</v>
      </c>
      <c r="AB1480">
        <v>0</v>
      </c>
      <c r="AC1480" t="s">
        <v>10929</v>
      </c>
      <c r="AE1480">
        <v>8</v>
      </c>
      <c r="AF1480">
        <v>2</v>
      </c>
      <c r="AG1480">
        <v>1</v>
      </c>
      <c r="AH1480">
        <v>281.29</v>
      </c>
      <c r="AK1480" t="s">
        <v>10966</v>
      </c>
      <c r="AL1480">
        <v>60000</v>
      </c>
      <c r="AM1480" t="s">
        <v>11068</v>
      </c>
      <c r="AR1480">
        <v>3.5</v>
      </c>
      <c r="AS1480" t="s">
        <v>6822</v>
      </c>
      <c r="AT1480" t="s">
        <v>11200</v>
      </c>
      <c r="AU1480" t="s">
        <v>11228</v>
      </c>
      <c r="AV1480" t="s">
        <v>11231</v>
      </c>
      <c r="AW1480" t="s">
        <v>6828</v>
      </c>
    </row>
    <row r="1481" spans="1:49">
      <c r="A1481" s="1">
        <f>HYPERLINK("https://lsnyc.legalserver.org/matter/dynamic-profile/view/1901750","19-1901750")</f>
        <v>0</v>
      </c>
      <c r="B1481" t="s">
        <v>183</v>
      </c>
      <c r="C1481" t="s">
        <v>1194</v>
      </c>
      <c r="D1481" t="s">
        <v>1220</v>
      </c>
      <c r="E1481" t="s">
        <v>4421</v>
      </c>
      <c r="F1481" t="s">
        <v>5148</v>
      </c>
      <c r="G1481" t="s">
        <v>5635</v>
      </c>
      <c r="H1481">
        <v>10467</v>
      </c>
      <c r="I1481" t="s">
        <v>5696</v>
      </c>
      <c r="J1481" t="s">
        <v>5696</v>
      </c>
      <c r="K1481" t="s">
        <v>6468</v>
      </c>
      <c r="L1481" t="s">
        <v>6714</v>
      </c>
      <c r="M1481" t="s">
        <v>6736</v>
      </c>
      <c r="O1481" t="s">
        <v>6763</v>
      </c>
      <c r="P1481" t="s">
        <v>5697</v>
      </c>
      <c r="R1481" t="s">
        <v>6793</v>
      </c>
      <c r="S1481" t="s">
        <v>6801</v>
      </c>
      <c r="U1481">
        <v>1398</v>
      </c>
      <c r="V1481" t="s">
        <v>6833</v>
      </c>
      <c r="Y1481" t="s">
        <v>8037</v>
      </c>
      <c r="AA1481" t="s">
        <v>10299</v>
      </c>
      <c r="AB1481">
        <v>49</v>
      </c>
      <c r="AC1481" t="s">
        <v>8953</v>
      </c>
      <c r="AD1481" t="s">
        <v>5741</v>
      </c>
      <c r="AE1481">
        <v>5</v>
      </c>
      <c r="AF1481">
        <v>2</v>
      </c>
      <c r="AG1481">
        <v>0</v>
      </c>
      <c r="AH1481">
        <v>215.26</v>
      </c>
      <c r="AK1481" t="s">
        <v>10966</v>
      </c>
      <c r="AL1481">
        <v>36400</v>
      </c>
      <c r="AR1481">
        <v>6.1</v>
      </c>
      <c r="AS1481" t="s">
        <v>6827</v>
      </c>
      <c r="AT1481" t="s">
        <v>219</v>
      </c>
      <c r="AU1481" t="s">
        <v>11228</v>
      </c>
      <c r="AV1481" t="s">
        <v>11231</v>
      </c>
      <c r="AW1481" t="s">
        <v>11124</v>
      </c>
    </row>
    <row r="1482" spans="1:49">
      <c r="A1482" s="1">
        <f>HYPERLINK("https://lsnyc.legalserver.org/matter/dynamic-profile/view/1898936","19-1898936")</f>
        <v>0</v>
      </c>
      <c r="B1482" t="s">
        <v>255</v>
      </c>
      <c r="C1482" t="s">
        <v>1275</v>
      </c>
      <c r="D1482" t="s">
        <v>1914</v>
      </c>
      <c r="E1482" t="s">
        <v>4422</v>
      </c>
      <c r="F1482" t="s">
        <v>5204</v>
      </c>
      <c r="G1482" t="s">
        <v>5637</v>
      </c>
      <c r="H1482">
        <v>11221</v>
      </c>
      <c r="I1482" t="s">
        <v>5696</v>
      </c>
      <c r="J1482" t="s">
        <v>5696</v>
      </c>
      <c r="K1482" t="s">
        <v>6469</v>
      </c>
      <c r="L1482" t="s">
        <v>6714</v>
      </c>
      <c r="M1482" t="s">
        <v>6736</v>
      </c>
      <c r="O1482" t="s">
        <v>6755</v>
      </c>
      <c r="P1482" t="s">
        <v>5697</v>
      </c>
      <c r="R1482" t="s">
        <v>6793</v>
      </c>
      <c r="S1482" t="s">
        <v>6801</v>
      </c>
      <c r="U1482">
        <v>0</v>
      </c>
      <c r="V1482" t="s">
        <v>6835</v>
      </c>
      <c r="W1482" t="s">
        <v>6854</v>
      </c>
      <c r="Y1482" t="s">
        <v>8250</v>
      </c>
      <c r="AA1482" t="s">
        <v>10300</v>
      </c>
      <c r="AB1482">
        <v>0</v>
      </c>
      <c r="AC1482" t="s">
        <v>10929</v>
      </c>
      <c r="AD1482" t="s">
        <v>10944</v>
      </c>
      <c r="AE1482">
        <v>0</v>
      </c>
      <c r="AF1482">
        <v>1</v>
      </c>
      <c r="AG1482">
        <v>1</v>
      </c>
      <c r="AH1482">
        <v>95.93000000000001</v>
      </c>
      <c r="AK1482" t="s">
        <v>10966</v>
      </c>
      <c r="AL1482">
        <v>16222</v>
      </c>
      <c r="AR1482">
        <v>8.800000000000001</v>
      </c>
      <c r="AS1482" t="s">
        <v>11131</v>
      </c>
      <c r="AT1482" t="s">
        <v>11197</v>
      </c>
      <c r="AV1482" t="s">
        <v>11231</v>
      </c>
      <c r="AW1482" t="s">
        <v>11156</v>
      </c>
    </row>
    <row r="1483" spans="1:49">
      <c r="A1483" s="1">
        <f>HYPERLINK("https://lsnyc.legalserver.org/matter/dynamic-profile/view/1903041","19-1903041")</f>
        <v>0</v>
      </c>
      <c r="B1483" t="s">
        <v>196</v>
      </c>
      <c r="C1483" t="s">
        <v>1276</v>
      </c>
      <c r="D1483" t="s">
        <v>1757</v>
      </c>
      <c r="E1483" t="s">
        <v>4423</v>
      </c>
      <c r="F1483" t="s">
        <v>5252</v>
      </c>
      <c r="G1483" t="s">
        <v>5635</v>
      </c>
      <c r="H1483">
        <v>10457</v>
      </c>
      <c r="I1483" t="s">
        <v>5695</v>
      </c>
      <c r="J1483" t="s">
        <v>5696</v>
      </c>
      <c r="K1483" t="s">
        <v>6470</v>
      </c>
      <c r="L1483" t="s">
        <v>6714</v>
      </c>
      <c r="M1483" t="s">
        <v>6736</v>
      </c>
      <c r="O1483" t="s">
        <v>6763</v>
      </c>
      <c r="P1483" t="s">
        <v>5697</v>
      </c>
      <c r="R1483" t="s">
        <v>6793</v>
      </c>
      <c r="U1483">
        <v>1131</v>
      </c>
      <c r="V1483" t="s">
        <v>6833</v>
      </c>
      <c r="Y1483" t="s">
        <v>8251</v>
      </c>
      <c r="Z1483" t="s">
        <v>9050</v>
      </c>
      <c r="AA1483" t="s">
        <v>10301</v>
      </c>
      <c r="AB1483">
        <v>0</v>
      </c>
      <c r="AE1483">
        <v>7</v>
      </c>
      <c r="AF1483">
        <v>1</v>
      </c>
      <c r="AG1483">
        <v>3</v>
      </c>
      <c r="AH1483">
        <v>31.27</v>
      </c>
      <c r="AK1483" t="s">
        <v>10967</v>
      </c>
      <c r="AL1483">
        <v>8052</v>
      </c>
      <c r="AR1483">
        <v>0.2</v>
      </c>
      <c r="AS1483" t="s">
        <v>6828</v>
      </c>
      <c r="AT1483" t="s">
        <v>288</v>
      </c>
      <c r="AU1483" t="s">
        <v>11229</v>
      </c>
      <c r="AV1483" t="s">
        <v>11231</v>
      </c>
      <c r="AW1483" t="s">
        <v>11138</v>
      </c>
    </row>
    <row r="1484" spans="1:49">
      <c r="A1484" s="1">
        <f>HYPERLINK("https://lsnyc.legalserver.org/matter/dynamic-profile/view/1903929","19-1903929")</f>
        <v>0</v>
      </c>
      <c r="B1484" t="s">
        <v>76</v>
      </c>
      <c r="C1484" t="s">
        <v>307</v>
      </c>
      <c r="D1484" t="s">
        <v>1587</v>
      </c>
      <c r="E1484" t="s">
        <v>4424</v>
      </c>
      <c r="F1484">
        <v>108</v>
      </c>
      <c r="G1484" t="s">
        <v>5635</v>
      </c>
      <c r="H1484">
        <v>10468</v>
      </c>
      <c r="I1484" t="s">
        <v>5695</v>
      </c>
      <c r="J1484" t="s">
        <v>5696</v>
      </c>
      <c r="K1484" t="s">
        <v>6471</v>
      </c>
      <c r="L1484" t="s">
        <v>6714</v>
      </c>
      <c r="M1484" t="s">
        <v>6736</v>
      </c>
      <c r="O1484" t="s">
        <v>6763</v>
      </c>
      <c r="P1484" t="s">
        <v>5697</v>
      </c>
      <c r="R1484" t="s">
        <v>6793</v>
      </c>
      <c r="S1484" t="s">
        <v>6801</v>
      </c>
      <c r="T1484" t="s">
        <v>6825</v>
      </c>
      <c r="U1484">
        <v>1126.53</v>
      </c>
      <c r="V1484" t="s">
        <v>6833</v>
      </c>
      <c r="W1484" t="s">
        <v>6840</v>
      </c>
      <c r="Y1484" t="s">
        <v>7605</v>
      </c>
      <c r="AA1484" t="s">
        <v>10302</v>
      </c>
      <c r="AB1484">
        <v>50</v>
      </c>
      <c r="AC1484" t="s">
        <v>10929</v>
      </c>
      <c r="AD1484" t="s">
        <v>5741</v>
      </c>
      <c r="AE1484">
        <v>18</v>
      </c>
      <c r="AF1484">
        <v>1</v>
      </c>
      <c r="AG1484">
        <v>0</v>
      </c>
      <c r="AH1484">
        <v>77.25</v>
      </c>
      <c r="AK1484" t="s">
        <v>10966</v>
      </c>
      <c r="AL1484">
        <v>9648</v>
      </c>
      <c r="AR1484">
        <v>2.7</v>
      </c>
      <c r="AS1484" t="s">
        <v>6820</v>
      </c>
      <c r="AT1484" t="s">
        <v>219</v>
      </c>
      <c r="AU1484" t="s">
        <v>11228</v>
      </c>
      <c r="AV1484" t="s">
        <v>11231</v>
      </c>
      <c r="AW1484" t="s">
        <v>11144</v>
      </c>
    </row>
    <row r="1485" spans="1:49">
      <c r="A1485" s="1">
        <f>HYPERLINK("https://lsnyc.legalserver.org/matter/dynamic-profile/view/1897499","19-1897499")</f>
        <v>0</v>
      </c>
      <c r="B1485" t="s">
        <v>245</v>
      </c>
      <c r="C1485" t="s">
        <v>1277</v>
      </c>
      <c r="D1485" t="s">
        <v>1676</v>
      </c>
      <c r="E1485" t="s">
        <v>4425</v>
      </c>
      <c r="F1485" t="s">
        <v>5519</v>
      </c>
      <c r="G1485" t="s">
        <v>5638</v>
      </c>
      <c r="H1485">
        <v>10029</v>
      </c>
      <c r="I1485" t="s">
        <v>5695</v>
      </c>
      <c r="J1485" t="s">
        <v>5695</v>
      </c>
      <c r="K1485" t="s">
        <v>6472</v>
      </c>
      <c r="L1485" t="s">
        <v>6714</v>
      </c>
      <c r="M1485" t="s">
        <v>6736</v>
      </c>
      <c r="O1485" t="s">
        <v>6759</v>
      </c>
      <c r="P1485" t="s">
        <v>5697</v>
      </c>
      <c r="R1485" t="s">
        <v>6793</v>
      </c>
      <c r="U1485">
        <v>429</v>
      </c>
      <c r="V1485" t="s">
        <v>6836</v>
      </c>
      <c r="W1485" t="s">
        <v>6840</v>
      </c>
      <c r="Y1485" t="s">
        <v>8252</v>
      </c>
      <c r="Z1485" t="s">
        <v>9051</v>
      </c>
      <c r="AA1485" t="s">
        <v>10303</v>
      </c>
      <c r="AB1485">
        <v>0</v>
      </c>
      <c r="AC1485" t="s">
        <v>10934</v>
      </c>
      <c r="AD1485" t="s">
        <v>5741</v>
      </c>
      <c r="AE1485">
        <v>20</v>
      </c>
      <c r="AF1485">
        <v>2</v>
      </c>
      <c r="AG1485">
        <v>0</v>
      </c>
      <c r="AH1485">
        <v>73.8</v>
      </c>
      <c r="AK1485" t="s">
        <v>10966</v>
      </c>
      <c r="AL1485">
        <v>12480</v>
      </c>
      <c r="AR1485">
        <v>1</v>
      </c>
      <c r="AS1485" t="s">
        <v>11165</v>
      </c>
      <c r="AT1485" t="s">
        <v>305</v>
      </c>
      <c r="AV1485" t="s">
        <v>11231</v>
      </c>
      <c r="AW1485" t="s">
        <v>11165</v>
      </c>
    </row>
    <row r="1486" spans="1:49">
      <c r="A1486" s="1">
        <f>HYPERLINK("https://lsnyc.legalserver.org/matter/dynamic-profile/view/1899520","19-1899520")</f>
        <v>0</v>
      </c>
      <c r="B1486" t="s">
        <v>230</v>
      </c>
      <c r="C1486" t="s">
        <v>329</v>
      </c>
      <c r="D1486" t="s">
        <v>2639</v>
      </c>
      <c r="E1486" t="s">
        <v>4426</v>
      </c>
      <c r="F1486">
        <v>2</v>
      </c>
      <c r="G1486" t="s">
        <v>5635</v>
      </c>
      <c r="H1486">
        <v>10473</v>
      </c>
      <c r="I1486" t="s">
        <v>5695</v>
      </c>
      <c r="J1486" t="s">
        <v>5696</v>
      </c>
      <c r="K1486" t="s">
        <v>6473</v>
      </c>
      <c r="L1486" t="s">
        <v>6714</v>
      </c>
      <c r="M1486" t="s">
        <v>6736</v>
      </c>
      <c r="O1486" t="s">
        <v>6747</v>
      </c>
      <c r="P1486" t="s">
        <v>5697</v>
      </c>
      <c r="R1486" t="s">
        <v>6793</v>
      </c>
      <c r="U1486">
        <v>2239</v>
      </c>
      <c r="V1486" t="s">
        <v>6833</v>
      </c>
      <c r="W1486" t="s">
        <v>6839</v>
      </c>
      <c r="Y1486" t="s">
        <v>8253</v>
      </c>
      <c r="Z1486" t="s">
        <v>9052</v>
      </c>
      <c r="AA1486" t="s">
        <v>10304</v>
      </c>
      <c r="AB1486">
        <v>2</v>
      </c>
      <c r="AC1486" t="s">
        <v>10934</v>
      </c>
      <c r="AD1486" t="s">
        <v>10944</v>
      </c>
      <c r="AE1486">
        <v>7</v>
      </c>
      <c r="AF1486">
        <v>2</v>
      </c>
      <c r="AG1486">
        <v>2</v>
      </c>
      <c r="AH1486">
        <v>50</v>
      </c>
      <c r="AK1486" t="s">
        <v>10967</v>
      </c>
      <c r="AL1486">
        <v>12875</v>
      </c>
      <c r="AM1486" t="s">
        <v>11069</v>
      </c>
      <c r="AR1486">
        <v>26.3</v>
      </c>
      <c r="AS1486" t="s">
        <v>6826</v>
      </c>
      <c r="AT1486" t="s">
        <v>11222</v>
      </c>
      <c r="AU1486" t="s">
        <v>11229</v>
      </c>
      <c r="AV1486" t="s">
        <v>11231</v>
      </c>
      <c r="AW1486" t="s">
        <v>11126</v>
      </c>
    </row>
    <row r="1487" spans="1:49">
      <c r="A1487" s="1">
        <f>HYPERLINK("https://lsnyc.legalserver.org/matter/dynamic-profile/view/1902251","19-1902251")</f>
        <v>0</v>
      </c>
      <c r="B1487" t="s">
        <v>202</v>
      </c>
      <c r="C1487" t="s">
        <v>1278</v>
      </c>
      <c r="D1487" t="s">
        <v>2640</v>
      </c>
      <c r="E1487" t="s">
        <v>4427</v>
      </c>
      <c r="F1487" t="s">
        <v>5328</v>
      </c>
      <c r="G1487" t="s">
        <v>5635</v>
      </c>
      <c r="H1487">
        <v>10467</v>
      </c>
      <c r="I1487" t="s">
        <v>5695</v>
      </c>
      <c r="J1487" t="s">
        <v>5696</v>
      </c>
      <c r="K1487" t="s">
        <v>6474</v>
      </c>
      <c r="L1487" t="s">
        <v>6714</v>
      </c>
      <c r="M1487" t="s">
        <v>6736</v>
      </c>
      <c r="O1487" t="s">
        <v>6763</v>
      </c>
      <c r="P1487" t="s">
        <v>5697</v>
      </c>
      <c r="R1487" t="s">
        <v>6793</v>
      </c>
      <c r="S1487" t="s">
        <v>6801</v>
      </c>
      <c r="U1487">
        <v>2250</v>
      </c>
      <c r="V1487" t="s">
        <v>6833</v>
      </c>
      <c r="W1487" t="s">
        <v>6840</v>
      </c>
      <c r="Y1487" t="s">
        <v>8254</v>
      </c>
      <c r="AA1487" t="s">
        <v>10305</v>
      </c>
      <c r="AB1487">
        <v>0</v>
      </c>
      <c r="AC1487" t="s">
        <v>10929</v>
      </c>
      <c r="AD1487" t="s">
        <v>5741</v>
      </c>
      <c r="AE1487">
        <v>2</v>
      </c>
      <c r="AF1487">
        <v>1</v>
      </c>
      <c r="AG1487">
        <v>0</v>
      </c>
      <c r="AH1487">
        <v>187.35</v>
      </c>
      <c r="AK1487" t="s">
        <v>10966</v>
      </c>
      <c r="AL1487">
        <v>23400</v>
      </c>
      <c r="AR1487">
        <v>17</v>
      </c>
      <c r="AS1487" t="s">
        <v>6813</v>
      </c>
      <c r="AT1487" t="s">
        <v>219</v>
      </c>
      <c r="AU1487" t="s">
        <v>5741</v>
      </c>
      <c r="AV1487" t="s">
        <v>11231</v>
      </c>
      <c r="AW1487" t="s">
        <v>11163</v>
      </c>
    </row>
    <row r="1488" spans="1:49">
      <c r="A1488" s="1">
        <f>HYPERLINK("https://lsnyc.legalserver.org/matter/dynamic-profile/view/1904776","19-1904776")</f>
        <v>0</v>
      </c>
      <c r="B1488" t="s">
        <v>103</v>
      </c>
      <c r="C1488" t="s">
        <v>1208</v>
      </c>
      <c r="D1488" t="s">
        <v>1251</v>
      </c>
      <c r="E1488" t="s">
        <v>4428</v>
      </c>
      <c r="F1488" t="s">
        <v>5137</v>
      </c>
      <c r="G1488" t="s">
        <v>5635</v>
      </c>
      <c r="H1488">
        <v>10460</v>
      </c>
      <c r="I1488" t="s">
        <v>5695</v>
      </c>
      <c r="J1488" t="s">
        <v>5696</v>
      </c>
      <c r="K1488" t="s">
        <v>6475</v>
      </c>
      <c r="L1488" t="s">
        <v>6714</v>
      </c>
      <c r="M1488" t="s">
        <v>6736</v>
      </c>
      <c r="O1488" t="s">
        <v>6747</v>
      </c>
      <c r="P1488" t="s">
        <v>5697</v>
      </c>
      <c r="R1488" t="s">
        <v>6793</v>
      </c>
      <c r="S1488" t="s">
        <v>6804</v>
      </c>
      <c r="U1488">
        <v>908</v>
      </c>
      <c r="V1488" t="s">
        <v>6833</v>
      </c>
      <c r="W1488" t="s">
        <v>6843</v>
      </c>
      <c r="Y1488" t="s">
        <v>8255</v>
      </c>
      <c r="AA1488" t="s">
        <v>10306</v>
      </c>
      <c r="AB1488">
        <v>84</v>
      </c>
      <c r="AC1488" t="s">
        <v>10929</v>
      </c>
      <c r="AD1488" t="s">
        <v>10944</v>
      </c>
      <c r="AE1488">
        <v>5</v>
      </c>
      <c r="AF1488">
        <v>1</v>
      </c>
      <c r="AG1488">
        <v>0</v>
      </c>
      <c r="AH1488">
        <v>186.1</v>
      </c>
      <c r="AK1488" t="s">
        <v>10966</v>
      </c>
      <c r="AL1488">
        <v>23244</v>
      </c>
      <c r="AR1488">
        <v>9.15</v>
      </c>
      <c r="AS1488" t="s">
        <v>6826</v>
      </c>
      <c r="AT1488" t="s">
        <v>11179</v>
      </c>
      <c r="AU1488" t="s">
        <v>11228</v>
      </c>
      <c r="AV1488" t="s">
        <v>11231</v>
      </c>
      <c r="AW1488" t="s">
        <v>6816</v>
      </c>
    </row>
    <row r="1489" spans="1:49">
      <c r="A1489" s="1">
        <f>HYPERLINK("https://lsnyc.legalserver.org/matter/dynamic-profile/view/1898523","19-1898523")</f>
        <v>0</v>
      </c>
      <c r="B1489" t="s">
        <v>252</v>
      </c>
      <c r="C1489" t="s">
        <v>1279</v>
      </c>
      <c r="D1489" t="s">
        <v>2224</v>
      </c>
      <c r="E1489" t="s">
        <v>4429</v>
      </c>
      <c r="F1489" t="s">
        <v>5143</v>
      </c>
      <c r="G1489" t="s">
        <v>5638</v>
      </c>
      <c r="H1489">
        <v>10031</v>
      </c>
      <c r="I1489" t="s">
        <v>5696</v>
      </c>
      <c r="J1489" t="s">
        <v>5696</v>
      </c>
      <c r="K1489" t="s">
        <v>6476</v>
      </c>
      <c r="L1489" t="s">
        <v>6714</v>
      </c>
      <c r="M1489" t="s">
        <v>6736</v>
      </c>
      <c r="O1489" t="s">
        <v>6749</v>
      </c>
      <c r="P1489" t="s">
        <v>5697</v>
      </c>
      <c r="R1489" t="s">
        <v>6793</v>
      </c>
      <c r="U1489">
        <v>601.98</v>
      </c>
      <c r="V1489" t="s">
        <v>6836</v>
      </c>
      <c r="Y1489" t="s">
        <v>8256</v>
      </c>
      <c r="Z1489" t="s">
        <v>9053</v>
      </c>
      <c r="AA1489" t="s">
        <v>10307</v>
      </c>
      <c r="AB1489">
        <v>0</v>
      </c>
      <c r="AC1489" t="s">
        <v>8953</v>
      </c>
      <c r="AE1489">
        <v>24</v>
      </c>
      <c r="AF1489">
        <v>1</v>
      </c>
      <c r="AG1489">
        <v>0</v>
      </c>
      <c r="AH1489">
        <v>76.29000000000001</v>
      </c>
      <c r="AK1489" t="s">
        <v>10966</v>
      </c>
      <c r="AL1489">
        <v>9528</v>
      </c>
      <c r="AR1489">
        <v>0.9</v>
      </c>
      <c r="AS1489" t="s">
        <v>11156</v>
      </c>
      <c r="AT1489" t="s">
        <v>305</v>
      </c>
      <c r="AV1489" t="s">
        <v>11231</v>
      </c>
      <c r="AW1489" t="s">
        <v>11123</v>
      </c>
    </row>
    <row r="1490" spans="1:49">
      <c r="A1490" s="1">
        <f>HYPERLINK("https://lsnyc.legalserver.org/matter/dynamic-profile/view/1905567","19-1905567")</f>
        <v>0</v>
      </c>
      <c r="B1490" t="s">
        <v>183</v>
      </c>
      <c r="C1490" t="s">
        <v>493</v>
      </c>
      <c r="D1490" t="s">
        <v>2464</v>
      </c>
      <c r="E1490" t="s">
        <v>4430</v>
      </c>
      <c r="F1490">
        <v>14</v>
      </c>
      <c r="G1490" t="s">
        <v>5635</v>
      </c>
      <c r="H1490">
        <v>10457</v>
      </c>
      <c r="I1490" t="s">
        <v>5695</v>
      </c>
      <c r="J1490" t="s">
        <v>5696</v>
      </c>
      <c r="K1490" t="s">
        <v>6477</v>
      </c>
      <c r="L1490" t="s">
        <v>6714</v>
      </c>
      <c r="M1490" t="s">
        <v>6736</v>
      </c>
      <c r="O1490" t="s">
        <v>6763</v>
      </c>
      <c r="P1490" t="s">
        <v>5697</v>
      </c>
      <c r="R1490" t="s">
        <v>6793</v>
      </c>
      <c r="U1490">
        <v>112.73</v>
      </c>
      <c r="V1490" t="s">
        <v>6833</v>
      </c>
      <c r="W1490" t="s">
        <v>6840</v>
      </c>
      <c r="Y1490" t="s">
        <v>8257</v>
      </c>
      <c r="AA1490" t="s">
        <v>10308</v>
      </c>
      <c r="AB1490">
        <v>0</v>
      </c>
      <c r="AC1490" t="s">
        <v>8953</v>
      </c>
      <c r="AD1490" t="s">
        <v>5741</v>
      </c>
      <c r="AE1490">
        <v>11</v>
      </c>
      <c r="AF1490">
        <v>1</v>
      </c>
      <c r="AG1490">
        <v>0</v>
      </c>
      <c r="AH1490">
        <v>25.06</v>
      </c>
      <c r="AK1490" t="s">
        <v>10967</v>
      </c>
      <c r="AL1490">
        <v>3130</v>
      </c>
      <c r="AR1490">
        <v>1.4</v>
      </c>
      <c r="AS1490" t="s">
        <v>6823</v>
      </c>
      <c r="AT1490" t="s">
        <v>219</v>
      </c>
      <c r="AU1490" t="s">
        <v>11228</v>
      </c>
      <c r="AV1490" t="s">
        <v>11231</v>
      </c>
      <c r="AW1490" t="s">
        <v>6819</v>
      </c>
    </row>
    <row r="1491" spans="1:49">
      <c r="A1491" s="1">
        <f>HYPERLINK("https://lsnyc.legalserver.org/matter/dynamic-profile/view/1904049","19-1904049")</f>
        <v>0</v>
      </c>
      <c r="B1491" t="s">
        <v>220</v>
      </c>
      <c r="C1491" t="s">
        <v>1280</v>
      </c>
      <c r="D1491" t="s">
        <v>2641</v>
      </c>
      <c r="E1491" t="s">
        <v>4431</v>
      </c>
      <c r="F1491">
        <v>52</v>
      </c>
      <c r="G1491" t="s">
        <v>5635</v>
      </c>
      <c r="H1491">
        <v>10457</v>
      </c>
      <c r="I1491" t="s">
        <v>5695</v>
      </c>
      <c r="J1491" t="s">
        <v>5696</v>
      </c>
      <c r="K1491" t="s">
        <v>6478</v>
      </c>
      <c r="L1491" t="s">
        <v>6714</v>
      </c>
      <c r="M1491" t="s">
        <v>6736</v>
      </c>
      <c r="O1491" t="s">
        <v>6763</v>
      </c>
      <c r="P1491" t="s">
        <v>5697</v>
      </c>
      <c r="R1491" t="s">
        <v>6793</v>
      </c>
      <c r="U1491">
        <v>1675</v>
      </c>
      <c r="V1491" t="s">
        <v>6833</v>
      </c>
      <c r="W1491" t="s">
        <v>6839</v>
      </c>
      <c r="Y1491" t="s">
        <v>8258</v>
      </c>
      <c r="AA1491" t="s">
        <v>10309</v>
      </c>
      <c r="AB1491">
        <v>27</v>
      </c>
      <c r="AC1491" t="s">
        <v>10929</v>
      </c>
      <c r="AD1491" t="s">
        <v>5741</v>
      </c>
      <c r="AE1491">
        <v>1</v>
      </c>
      <c r="AF1491">
        <v>1</v>
      </c>
      <c r="AG1491">
        <v>1</v>
      </c>
      <c r="AH1491">
        <v>164.36</v>
      </c>
      <c r="AK1491" t="s">
        <v>10967</v>
      </c>
      <c r="AL1491">
        <v>27794</v>
      </c>
      <c r="AR1491">
        <v>2</v>
      </c>
      <c r="AS1491" t="s">
        <v>6824</v>
      </c>
      <c r="AT1491" t="s">
        <v>11176</v>
      </c>
      <c r="AU1491" t="s">
        <v>11228</v>
      </c>
      <c r="AV1491" t="s">
        <v>11231</v>
      </c>
      <c r="AW1491" t="s">
        <v>6825</v>
      </c>
    </row>
    <row r="1492" spans="1:49">
      <c r="A1492" s="1">
        <f>HYPERLINK("https://lsnyc.legalserver.org/matter/dynamic-profile/view/1895872","19-1895872")</f>
        <v>0</v>
      </c>
      <c r="B1492" t="s">
        <v>190</v>
      </c>
      <c r="C1492" t="s">
        <v>1281</v>
      </c>
      <c r="D1492" t="s">
        <v>2642</v>
      </c>
      <c r="E1492" t="s">
        <v>4432</v>
      </c>
      <c r="F1492" t="s">
        <v>5280</v>
      </c>
      <c r="G1492" t="s">
        <v>5635</v>
      </c>
      <c r="H1492">
        <v>10467</v>
      </c>
      <c r="I1492" t="s">
        <v>5695</v>
      </c>
      <c r="J1492" t="s">
        <v>5695</v>
      </c>
      <c r="K1492" t="s">
        <v>6479</v>
      </c>
      <c r="L1492" t="s">
        <v>6714</v>
      </c>
      <c r="M1492" t="s">
        <v>6736</v>
      </c>
      <c r="O1492" t="s">
        <v>6763</v>
      </c>
      <c r="R1492" t="s">
        <v>6793</v>
      </c>
      <c r="S1492" t="s">
        <v>6805</v>
      </c>
      <c r="U1492">
        <v>1962.23</v>
      </c>
      <c r="V1492" t="s">
        <v>6833</v>
      </c>
      <c r="W1492" t="s">
        <v>6840</v>
      </c>
      <c r="Y1492" t="s">
        <v>8259</v>
      </c>
      <c r="AA1492" t="s">
        <v>10310</v>
      </c>
      <c r="AB1492">
        <v>32</v>
      </c>
      <c r="AC1492" t="s">
        <v>10929</v>
      </c>
      <c r="AD1492" t="s">
        <v>5741</v>
      </c>
      <c r="AE1492">
        <v>4</v>
      </c>
      <c r="AF1492">
        <v>2</v>
      </c>
      <c r="AG1492">
        <v>2</v>
      </c>
      <c r="AH1492">
        <v>184.98</v>
      </c>
      <c r="AK1492" t="s">
        <v>10966</v>
      </c>
      <c r="AL1492">
        <v>47632</v>
      </c>
      <c r="AM1492" t="s">
        <v>11066</v>
      </c>
      <c r="AR1492">
        <v>6.55</v>
      </c>
      <c r="AS1492" t="s">
        <v>10956</v>
      </c>
      <c r="AT1492" t="s">
        <v>11217</v>
      </c>
      <c r="AV1492" t="s">
        <v>11231</v>
      </c>
      <c r="AW1492" t="s">
        <v>11170</v>
      </c>
    </row>
    <row r="1493" spans="1:49">
      <c r="A1493" s="1">
        <f>HYPERLINK("https://lsnyc.legalserver.org/matter/dynamic-profile/view/1897685","19-1897685")</f>
        <v>0</v>
      </c>
      <c r="B1493" t="s">
        <v>74</v>
      </c>
      <c r="C1493" t="s">
        <v>371</v>
      </c>
      <c r="D1493" t="s">
        <v>1747</v>
      </c>
      <c r="E1493" t="s">
        <v>4433</v>
      </c>
      <c r="F1493" t="s">
        <v>5176</v>
      </c>
      <c r="G1493" t="s">
        <v>5635</v>
      </c>
      <c r="H1493">
        <v>10467</v>
      </c>
      <c r="I1493" t="s">
        <v>5695</v>
      </c>
      <c r="J1493" t="s">
        <v>5695</v>
      </c>
      <c r="K1493" t="s">
        <v>6480</v>
      </c>
      <c r="L1493" t="s">
        <v>6714</v>
      </c>
      <c r="M1493" t="s">
        <v>6736</v>
      </c>
      <c r="O1493" t="s">
        <v>6763</v>
      </c>
      <c r="R1493" t="s">
        <v>6793</v>
      </c>
      <c r="S1493" t="s">
        <v>6801</v>
      </c>
      <c r="U1493">
        <v>1650</v>
      </c>
      <c r="V1493" t="s">
        <v>6833</v>
      </c>
      <c r="W1493" t="s">
        <v>6840</v>
      </c>
      <c r="Y1493" t="s">
        <v>8260</v>
      </c>
      <c r="AA1493" t="s">
        <v>10311</v>
      </c>
      <c r="AB1493">
        <v>0</v>
      </c>
      <c r="AC1493" t="s">
        <v>8953</v>
      </c>
      <c r="AD1493" t="s">
        <v>5741</v>
      </c>
      <c r="AE1493">
        <v>1</v>
      </c>
      <c r="AF1493">
        <v>1</v>
      </c>
      <c r="AG1493">
        <v>2</v>
      </c>
      <c r="AH1493">
        <v>194.56</v>
      </c>
      <c r="AK1493" t="s">
        <v>10966</v>
      </c>
      <c r="AL1493">
        <v>41500</v>
      </c>
      <c r="AM1493" t="s">
        <v>11070</v>
      </c>
      <c r="AR1493">
        <v>4.75</v>
      </c>
      <c r="AS1493" t="s">
        <v>6809</v>
      </c>
      <c r="AT1493" t="s">
        <v>11216</v>
      </c>
      <c r="AV1493" t="s">
        <v>11231</v>
      </c>
      <c r="AW1493" t="s">
        <v>11129</v>
      </c>
    </row>
    <row r="1494" spans="1:49">
      <c r="A1494" s="1">
        <f>HYPERLINK("https://lsnyc.legalserver.org/matter/dynamic-profile/view/1897381","19-1897381")</f>
        <v>0</v>
      </c>
      <c r="B1494" t="s">
        <v>224</v>
      </c>
      <c r="C1494" t="s">
        <v>1282</v>
      </c>
      <c r="D1494" t="s">
        <v>1680</v>
      </c>
      <c r="E1494" t="s">
        <v>4434</v>
      </c>
      <c r="F1494" t="s">
        <v>5152</v>
      </c>
      <c r="G1494" t="s">
        <v>5637</v>
      </c>
      <c r="H1494">
        <v>11225</v>
      </c>
      <c r="I1494" t="s">
        <v>5696</v>
      </c>
      <c r="J1494" t="s">
        <v>5696</v>
      </c>
      <c r="K1494" t="s">
        <v>6481</v>
      </c>
      <c r="L1494" t="s">
        <v>6714</v>
      </c>
      <c r="M1494" t="s">
        <v>6736</v>
      </c>
      <c r="O1494" t="s">
        <v>6755</v>
      </c>
      <c r="P1494" t="s">
        <v>5697</v>
      </c>
      <c r="R1494" t="s">
        <v>6793</v>
      </c>
      <c r="U1494">
        <v>1069</v>
      </c>
      <c r="V1494" t="s">
        <v>6835</v>
      </c>
      <c r="W1494" t="s">
        <v>6854</v>
      </c>
      <c r="Y1494" t="s">
        <v>8261</v>
      </c>
      <c r="AA1494" t="s">
        <v>10312</v>
      </c>
      <c r="AB1494">
        <v>0</v>
      </c>
      <c r="AE1494">
        <v>5</v>
      </c>
      <c r="AF1494">
        <v>1</v>
      </c>
      <c r="AG1494">
        <v>2</v>
      </c>
      <c r="AH1494">
        <v>68.5</v>
      </c>
      <c r="AK1494" t="s">
        <v>10966</v>
      </c>
      <c r="AL1494">
        <v>14612</v>
      </c>
      <c r="AR1494">
        <v>17.1</v>
      </c>
      <c r="AS1494" t="s">
        <v>6808</v>
      </c>
      <c r="AT1494" t="s">
        <v>11197</v>
      </c>
      <c r="AV1494" t="s">
        <v>11231</v>
      </c>
      <c r="AW1494" t="s">
        <v>11145</v>
      </c>
    </row>
    <row r="1495" spans="1:49">
      <c r="A1495" s="1">
        <f>HYPERLINK("https://lsnyc.legalserver.org/matter/dynamic-profile/view/1902367","19-1902367")</f>
        <v>0</v>
      </c>
      <c r="B1495" t="s">
        <v>199</v>
      </c>
      <c r="C1495" t="s">
        <v>1283</v>
      </c>
      <c r="D1495" t="s">
        <v>1757</v>
      </c>
      <c r="E1495" t="s">
        <v>4435</v>
      </c>
      <c r="F1495" t="s">
        <v>5212</v>
      </c>
      <c r="G1495" t="s">
        <v>5635</v>
      </c>
      <c r="H1495">
        <v>10457</v>
      </c>
      <c r="I1495" t="s">
        <v>5695</v>
      </c>
      <c r="J1495" t="s">
        <v>5696</v>
      </c>
      <c r="K1495" t="s">
        <v>6482</v>
      </c>
      <c r="L1495" t="s">
        <v>6714</v>
      </c>
      <c r="M1495" t="s">
        <v>6736</v>
      </c>
      <c r="O1495" t="s">
        <v>6763</v>
      </c>
      <c r="P1495" t="s">
        <v>5697</v>
      </c>
      <c r="R1495" t="s">
        <v>6793</v>
      </c>
      <c r="T1495" t="s">
        <v>6816</v>
      </c>
      <c r="U1495">
        <v>1122</v>
      </c>
      <c r="V1495" t="s">
        <v>6833</v>
      </c>
      <c r="Y1495" t="s">
        <v>8262</v>
      </c>
      <c r="AA1495" t="s">
        <v>10313</v>
      </c>
      <c r="AB1495">
        <v>0</v>
      </c>
      <c r="AC1495" t="s">
        <v>10929</v>
      </c>
      <c r="AE1495">
        <v>3</v>
      </c>
      <c r="AF1495">
        <v>3</v>
      </c>
      <c r="AG1495">
        <v>1</v>
      </c>
      <c r="AH1495">
        <v>157.67</v>
      </c>
      <c r="AK1495" t="s">
        <v>10967</v>
      </c>
      <c r="AL1495">
        <v>40600</v>
      </c>
      <c r="AR1495">
        <v>4.5</v>
      </c>
      <c r="AS1495" t="s">
        <v>6816</v>
      </c>
      <c r="AT1495" t="s">
        <v>288</v>
      </c>
      <c r="AU1495" t="s">
        <v>11228</v>
      </c>
      <c r="AV1495" t="s">
        <v>11231</v>
      </c>
      <c r="AW1495" t="s">
        <v>11140</v>
      </c>
    </row>
    <row r="1496" spans="1:49">
      <c r="A1496" s="1">
        <f>HYPERLINK("https://lsnyc.legalserver.org/matter/dynamic-profile/view/1904041","19-1904041")</f>
        <v>0</v>
      </c>
      <c r="B1496" t="s">
        <v>196</v>
      </c>
      <c r="C1496" t="s">
        <v>1284</v>
      </c>
      <c r="D1496" t="s">
        <v>1757</v>
      </c>
      <c r="E1496" t="s">
        <v>4436</v>
      </c>
      <c r="G1496" t="s">
        <v>5635</v>
      </c>
      <c r="H1496">
        <v>10457</v>
      </c>
      <c r="I1496" t="s">
        <v>5695</v>
      </c>
      <c r="J1496" t="s">
        <v>5696</v>
      </c>
      <c r="K1496" t="s">
        <v>6483</v>
      </c>
      <c r="L1496" t="s">
        <v>6714</v>
      </c>
      <c r="M1496" t="s">
        <v>6736</v>
      </c>
      <c r="O1496" t="s">
        <v>6763</v>
      </c>
      <c r="P1496" t="s">
        <v>5697</v>
      </c>
      <c r="R1496" t="s">
        <v>6793</v>
      </c>
      <c r="U1496">
        <v>1250</v>
      </c>
      <c r="V1496" t="s">
        <v>6833</v>
      </c>
      <c r="Y1496" t="s">
        <v>8263</v>
      </c>
      <c r="AA1496" t="s">
        <v>10314</v>
      </c>
      <c r="AB1496">
        <v>21</v>
      </c>
      <c r="AE1496">
        <v>2</v>
      </c>
      <c r="AF1496">
        <v>1</v>
      </c>
      <c r="AG1496">
        <v>0</v>
      </c>
      <c r="AH1496">
        <v>199.84</v>
      </c>
      <c r="AL1496">
        <v>24960</v>
      </c>
      <c r="AR1496">
        <v>0.3</v>
      </c>
      <c r="AS1496" t="s">
        <v>6809</v>
      </c>
      <c r="AT1496" t="s">
        <v>288</v>
      </c>
      <c r="AU1496" t="s">
        <v>11228</v>
      </c>
      <c r="AV1496" t="s">
        <v>11231</v>
      </c>
      <c r="AW1496" t="s">
        <v>6817</v>
      </c>
    </row>
    <row r="1497" spans="1:49">
      <c r="A1497" s="1">
        <f>HYPERLINK("https://lsnyc.legalserver.org/matter/dynamic-profile/view/1899075","19-1899075")</f>
        <v>0</v>
      </c>
      <c r="B1497" t="s">
        <v>198</v>
      </c>
      <c r="C1497" t="s">
        <v>887</v>
      </c>
      <c r="D1497" t="s">
        <v>1842</v>
      </c>
      <c r="E1497" t="s">
        <v>4437</v>
      </c>
      <c r="F1497" t="s">
        <v>5099</v>
      </c>
      <c r="G1497" t="s">
        <v>5635</v>
      </c>
      <c r="H1497">
        <v>10453</v>
      </c>
      <c r="I1497" t="s">
        <v>5695</v>
      </c>
      <c r="J1497" t="s">
        <v>5696</v>
      </c>
      <c r="K1497" t="s">
        <v>6484</v>
      </c>
      <c r="L1497" t="s">
        <v>6714</v>
      </c>
      <c r="M1497" t="s">
        <v>6736</v>
      </c>
      <c r="O1497" t="s">
        <v>6747</v>
      </c>
      <c r="R1497" t="s">
        <v>6793</v>
      </c>
      <c r="S1497" t="s">
        <v>6802</v>
      </c>
      <c r="U1497">
        <v>1002</v>
      </c>
      <c r="V1497" t="s">
        <v>6833</v>
      </c>
      <c r="W1497" t="s">
        <v>6843</v>
      </c>
      <c r="Y1497" t="s">
        <v>8264</v>
      </c>
      <c r="Z1497" t="s">
        <v>9054</v>
      </c>
      <c r="AB1497">
        <v>6</v>
      </c>
      <c r="AC1497" t="s">
        <v>10929</v>
      </c>
      <c r="AD1497" t="s">
        <v>10949</v>
      </c>
      <c r="AE1497">
        <v>3</v>
      </c>
      <c r="AF1497">
        <v>1</v>
      </c>
      <c r="AG1497">
        <v>2</v>
      </c>
      <c r="AH1497">
        <v>50.78</v>
      </c>
      <c r="AK1497" t="s">
        <v>10967</v>
      </c>
      <c r="AL1497">
        <v>10832</v>
      </c>
      <c r="AM1497" t="s">
        <v>11071</v>
      </c>
      <c r="AR1497">
        <v>8</v>
      </c>
      <c r="AS1497" t="s">
        <v>6811</v>
      </c>
      <c r="AT1497" t="s">
        <v>11217</v>
      </c>
      <c r="AU1497" t="s">
        <v>11229</v>
      </c>
      <c r="AV1497" t="s">
        <v>11231</v>
      </c>
      <c r="AW1497" t="s">
        <v>11134</v>
      </c>
    </row>
    <row r="1498" spans="1:49">
      <c r="A1498" s="1">
        <f>HYPERLINK("https://lsnyc.legalserver.org/matter/dynamic-profile/view/1905296","19-1905296")</f>
        <v>0</v>
      </c>
      <c r="B1498" t="s">
        <v>108</v>
      </c>
      <c r="C1498" t="s">
        <v>1285</v>
      </c>
      <c r="D1498" t="s">
        <v>2643</v>
      </c>
      <c r="E1498" t="s">
        <v>4438</v>
      </c>
      <c r="F1498">
        <v>51</v>
      </c>
      <c r="G1498" t="s">
        <v>5635</v>
      </c>
      <c r="H1498">
        <v>10467</v>
      </c>
      <c r="I1498" t="s">
        <v>5695</v>
      </c>
      <c r="J1498" t="s">
        <v>5696</v>
      </c>
      <c r="K1498" t="s">
        <v>6485</v>
      </c>
      <c r="L1498" t="s">
        <v>6714</v>
      </c>
      <c r="M1498" t="s">
        <v>6736</v>
      </c>
      <c r="O1498" t="s">
        <v>6763</v>
      </c>
      <c r="P1498" t="s">
        <v>5697</v>
      </c>
      <c r="R1498" t="s">
        <v>6793</v>
      </c>
      <c r="U1498">
        <v>1400</v>
      </c>
      <c r="V1498" t="s">
        <v>6833</v>
      </c>
      <c r="W1498" t="s">
        <v>6840</v>
      </c>
      <c r="Y1498" t="s">
        <v>8265</v>
      </c>
      <c r="Z1498" t="s">
        <v>9055</v>
      </c>
      <c r="AB1498">
        <v>49</v>
      </c>
      <c r="AC1498" t="s">
        <v>10929</v>
      </c>
      <c r="AD1498" t="s">
        <v>5741</v>
      </c>
      <c r="AE1498">
        <v>1</v>
      </c>
      <c r="AF1498">
        <v>1</v>
      </c>
      <c r="AG1498">
        <v>2</v>
      </c>
      <c r="AH1498">
        <v>17.67</v>
      </c>
      <c r="AK1498" t="s">
        <v>10966</v>
      </c>
      <c r="AL1498">
        <v>3770</v>
      </c>
      <c r="AR1498">
        <v>1.1</v>
      </c>
      <c r="AS1498" t="s">
        <v>6827</v>
      </c>
      <c r="AT1498" t="s">
        <v>288</v>
      </c>
      <c r="AU1498" t="s">
        <v>11228</v>
      </c>
      <c r="AV1498" t="s">
        <v>11231</v>
      </c>
      <c r="AW1498" t="s">
        <v>6808</v>
      </c>
    </row>
    <row r="1499" spans="1:49">
      <c r="A1499" s="1">
        <f>HYPERLINK("https://lsnyc.legalserver.org/matter/dynamic-profile/view/1903108","19-1903108")</f>
        <v>0</v>
      </c>
      <c r="B1499" t="s">
        <v>66</v>
      </c>
      <c r="C1499" t="s">
        <v>335</v>
      </c>
      <c r="D1499" t="s">
        <v>2644</v>
      </c>
      <c r="E1499" t="s">
        <v>4339</v>
      </c>
      <c r="F1499" t="s">
        <v>5304</v>
      </c>
      <c r="G1499" t="s">
        <v>5635</v>
      </c>
      <c r="H1499">
        <v>10457</v>
      </c>
      <c r="I1499" t="s">
        <v>5695</v>
      </c>
      <c r="J1499" t="s">
        <v>5696</v>
      </c>
      <c r="K1499" t="s">
        <v>6486</v>
      </c>
      <c r="L1499" t="s">
        <v>6714</v>
      </c>
      <c r="M1499" t="s">
        <v>6736</v>
      </c>
      <c r="O1499" t="s">
        <v>6763</v>
      </c>
      <c r="P1499" t="s">
        <v>5697</v>
      </c>
      <c r="R1499" t="s">
        <v>6793</v>
      </c>
      <c r="S1499" t="s">
        <v>6802</v>
      </c>
      <c r="U1499">
        <v>1162.09</v>
      </c>
      <c r="V1499" t="s">
        <v>6833</v>
      </c>
      <c r="Y1499" t="s">
        <v>8266</v>
      </c>
      <c r="AB1499">
        <v>49</v>
      </c>
      <c r="AC1499" t="s">
        <v>10929</v>
      </c>
      <c r="AD1499" t="s">
        <v>5741</v>
      </c>
      <c r="AE1499">
        <v>21</v>
      </c>
      <c r="AF1499">
        <v>5</v>
      </c>
      <c r="AG1499">
        <v>0</v>
      </c>
      <c r="AH1499">
        <v>129.22</v>
      </c>
      <c r="AK1499" t="s">
        <v>10967</v>
      </c>
      <c r="AL1499">
        <v>38986</v>
      </c>
      <c r="AR1499">
        <v>3</v>
      </c>
      <c r="AS1499" t="s">
        <v>6826</v>
      </c>
      <c r="AT1499" t="s">
        <v>288</v>
      </c>
      <c r="AU1499" t="s">
        <v>11228</v>
      </c>
      <c r="AV1499" t="s">
        <v>11231</v>
      </c>
      <c r="AW1499" t="s">
        <v>10953</v>
      </c>
    </row>
    <row r="1500" spans="1:49">
      <c r="A1500" s="1">
        <f>HYPERLINK("https://lsnyc.legalserver.org/matter/dynamic-profile/view/1903721","19-1903721")</f>
        <v>0</v>
      </c>
      <c r="B1500" t="s">
        <v>221</v>
      </c>
      <c r="C1500" t="s">
        <v>1286</v>
      </c>
      <c r="D1500" t="s">
        <v>2645</v>
      </c>
      <c r="E1500" t="s">
        <v>4439</v>
      </c>
      <c r="G1500" t="s">
        <v>5635</v>
      </c>
      <c r="H1500">
        <v>10467</v>
      </c>
      <c r="I1500" t="s">
        <v>5695</v>
      </c>
      <c r="J1500" t="s">
        <v>5696</v>
      </c>
      <c r="K1500" t="s">
        <v>6487</v>
      </c>
      <c r="L1500" t="s">
        <v>6714</v>
      </c>
      <c r="M1500" t="s">
        <v>6736</v>
      </c>
      <c r="O1500" t="s">
        <v>6763</v>
      </c>
      <c r="P1500" t="s">
        <v>5697</v>
      </c>
      <c r="R1500" t="s">
        <v>6793</v>
      </c>
      <c r="U1500">
        <v>1956</v>
      </c>
      <c r="V1500" t="s">
        <v>6833</v>
      </c>
      <c r="W1500" t="s">
        <v>6840</v>
      </c>
      <c r="Y1500" t="s">
        <v>8267</v>
      </c>
      <c r="AB1500">
        <v>27</v>
      </c>
      <c r="AD1500" t="s">
        <v>10949</v>
      </c>
      <c r="AE1500">
        <v>1</v>
      </c>
      <c r="AF1500">
        <v>1</v>
      </c>
      <c r="AG1500">
        <v>1</v>
      </c>
      <c r="AH1500">
        <v>124.19</v>
      </c>
      <c r="AK1500" t="s">
        <v>10966</v>
      </c>
      <c r="AL1500">
        <v>21000</v>
      </c>
      <c r="AR1500">
        <v>1.8</v>
      </c>
      <c r="AS1500" t="s">
        <v>11168</v>
      </c>
      <c r="AT1500" t="s">
        <v>219</v>
      </c>
      <c r="AU1500" t="s">
        <v>11228</v>
      </c>
      <c r="AV1500" t="s">
        <v>11231</v>
      </c>
      <c r="AW1500" t="s">
        <v>11144</v>
      </c>
    </row>
    <row r="1501" spans="1:49">
      <c r="A1501" s="1">
        <f>HYPERLINK("https://lsnyc.legalserver.org/matter/dynamic-profile/view/1895441","19-1895441")</f>
        <v>0</v>
      </c>
      <c r="B1501" t="s">
        <v>101</v>
      </c>
      <c r="C1501" t="s">
        <v>763</v>
      </c>
      <c r="D1501" t="s">
        <v>2646</v>
      </c>
      <c r="E1501" t="s">
        <v>4440</v>
      </c>
      <c r="F1501" t="s">
        <v>5520</v>
      </c>
      <c r="G1501" t="s">
        <v>5636</v>
      </c>
      <c r="H1501">
        <v>10306</v>
      </c>
      <c r="I1501" t="s">
        <v>5697</v>
      </c>
      <c r="J1501" t="s">
        <v>5695</v>
      </c>
      <c r="K1501" t="s">
        <v>6488</v>
      </c>
      <c r="L1501" t="s">
        <v>6714</v>
      </c>
      <c r="M1501" t="s">
        <v>6736</v>
      </c>
      <c r="O1501" t="s">
        <v>6745</v>
      </c>
      <c r="P1501" t="s">
        <v>5697</v>
      </c>
      <c r="R1501" t="s">
        <v>6793</v>
      </c>
      <c r="S1501" t="s">
        <v>6801</v>
      </c>
      <c r="U1501">
        <v>1200</v>
      </c>
      <c r="V1501" t="s">
        <v>6834</v>
      </c>
      <c r="W1501" t="s">
        <v>6839</v>
      </c>
      <c r="Y1501" t="s">
        <v>8268</v>
      </c>
      <c r="AB1501">
        <v>0</v>
      </c>
      <c r="AE1501">
        <v>2</v>
      </c>
      <c r="AF1501">
        <v>2</v>
      </c>
      <c r="AG1501">
        <v>0</v>
      </c>
      <c r="AH1501">
        <v>114.96</v>
      </c>
      <c r="AK1501" t="s">
        <v>10966</v>
      </c>
      <c r="AL1501">
        <v>19440</v>
      </c>
      <c r="AR1501">
        <v>7.85</v>
      </c>
      <c r="AS1501" t="s">
        <v>6818</v>
      </c>
      <c r="AT1501" t="s">
        <v>101</v>
      </c>
      <c r="AV1501" t="s">
        <v>11231</v>
      </c>
      <c r="AW1501" t="s">
        <v>10960</v>
      </c>
    </row>
    <row r="1502" spans="1:49">
      <c r="A1502" s="1">
        <f>HYPERLINK("https://lsnyc.legalserver.org/matter/dynamic-profile/view/1901215","19-1901215")</f>
        <v>0</v>
      </c>
      <c r="B1502" t="s">
        <v>105</v>
      </c>
      <c r="C1502" t="s">
        <v>1287</v>
      </c>
      <c r="D1502" t="s">
        <v>2152</v>
      </c>
      <c r="E1502" t="s">
        <v>4441</v>
      </c>
      <c r="F1502">
        <v>55</v>
      </c>
      <c r="G1502" t="s">
        <v>5635</v>
      </c>
      <c r="H1502">
        <v>10468</v>
      </c>
      <c r="I1502" t="s">
        <v>5695</v>
      </c>
      <c r="J1502" t="s">
        <v>5696</v>
      </c>
      <c r="K1502" t="s">
        <v>6489</v>
      </c>
      <c r="L1502" t="s">
        <v>6714</v>
      </c>
      <c r="M1502" t="s">
        <v>6736</v>
      </c>
      <c r="O1502" t="s">
        <v>6763</v>
      </c>
      <c r="P1502" t="s">
        <v>5697</v>
      </c>
      <c r="R1502" t="s">
        <v>6793</v>
      </c>
      <c r="S1502" t="s">
        <v>6801</v>
      </c>
      <c r="T1502" t="s">
        <v>6822</v>
      </c>
      <c r="U1502">
        <v>1215</v>
      </c>
      <c r="V1502" t="s">
        <v>6833</v>
      </c>
      <c r="Y1502" t="s">
        <v>8269</v>
      </c>
      <c r="AB1502">
        <v>31</v>
      </c>
      <c r="AC1502" t="s">
        <v>10929</v>
      </c>
      <c r="AE1502">
        <v>5</v>
      </c>
      <c r="AF1502">
        <v>1</v>
      </c>
      <c r="AG1502">
        <v>3</v>
      </c>
      <c r="AH1502">
        <v>100.97</v>
      </c>
      <c r="AK1502" t="s">
        <v>10966</v>
      </c>
      <c r="AL1502">
        <v>26000</v>
      </c>
      <c r="AR1502">
        <v>1.5</v>
      </c>
      <c r="AS1502" t="s">
        <v>11117</v>
      </c>
      <c r="AT1502" t="s">
        <v>288</v>
      </c>
      <c r="AU1502" t="s">
        <v>11228</v>
      </c>
      <c r="AV1502" t="s">
        <v>11231</v>
      </c>
      <c r="AW1502" t="s">
        <v>11162</v>
      </c>
    </row>
    <row r="1503" spans="1:49">
      <c r="A1503" s="1">
        <f>HYPERLINK("https://lsnyc.legalserver.org/matter/dynamic-profile/view/1905396","19-1905396")</f>
        <v>0</v>
      </c>
      <c r="B1503" t="s">
        <v>274</v>
      </c>
      <c r="C1503" t="s">
        <v>472</v>
      </c>
      <c r="D1503" t="s">
        <v>2023</v>
      </c>
      <c r="E1503" t="s">
        <v>4442</v>
      </c>
      <c r="F1503" t="s">
        <v>5196</v>
      </c>
      <c r="G1503" t="s">
        <v>5635</v>
      </c>
      <c r="H1503">
        <v>10467</v>
      </c>
      <c r="I1503" t="s">
        <v>5695</v>
      </c>
      <c r="J1503" t="s">
        <v>5696</v>
      </c>
      <c r="K1503" t="s">
        <v>6490</v>
      </c>
      <c r="L1503" t="s">
        <v>6714</v>
      </c>
      <c r="M1503" t="s">
        <v>6736</v>
      </c>
      <c r="O1503" t="s">
        <v>6763</v>
      </c>
      <c r="P1503" t="s">
        <v>5697</v>
      </c>
      <c r="R1503" t="s">
        <v>6793</v>
      </c>
      <c r="U1503">
        <v>1375</v>
      </c>
      <c r="V1503" t="s">
        <v>6833</v>
      </c>
      <c r="W1503" t="s">
        <v>6839</v>
      </c>
      <c r="Y1503" t="s">
        <v>8270</v>
      </c>
      <c r="AB1503">
        <v>53</v>
      </c>
      <c r="AC1503" t="s">
        <v>10929</v>
      </c>
      <c r="AD1503" t="s">
        <v>5741</v>
      </c>
      <c r="AE1503">
        <v>8</v>
      </c>
      <c r="AF1503">
        <v>1</v>
      </c>
      <c r="AG1503">
        <v>2</v>
      </c>
      <c r="AH1503">
        <v>182.84</v>
      </c>
      <c r="AK1503" t="s">
        <v>10966</v>
      </c>
      <c r="AL1503">
        <v>39000</v>
      </c>
      <c r="AR1503">
        <v>1.5</v>
      </c>
      <c r="AS1503" t="s">
        <v>6822</v>
      </c>
      <c r="AT1503" t="s">
        <v>11196</v>
      </c>
      <c r="AV1503" t="s">
        <v>11231</v>
      </c>
      <c r="AW1503" t="s">
        <v>6822</v>
      </c>
    </row>
    <row r="1504" spans="1:49">
      <c r="A1504" s="1">
        <f>HYPERLINK("https://lsnyc.legalserver.org/matter/dynamic-profile/view/1899543","19-1899543")</f>
        <v>0</v>
      </c>
      <c r="B1504" t="s">
        <v>195</v>
      </c>
      <c r="C1504" t="s">
        <v>350</v>
      </c>
      <c r="D1504" t="s">
        <v>2647</v>
      </c>
      <c r="E1504" t="s">
        <v>4443</v>
      </c>
      <c r="F1504" t="s">
        <v>5304</v>
      </c>
      <c r="G1504" t="s">
        <v>5635</v>
      </c>
      <c r="H1504">
        <v>10456</v>
      </c>
      <c r="I1504" t="s">
        <v>5695</v>
      </c>
      <c r="J1504" t="s">
        <v>5696</v>
      </c>
      <c r="K1504" t="s">
        <v>6491</v>
      </c>
      <c r="L1504" t="s">
        <v>6714</v>
      </c>
      <c r="M1504" t="s">
        <v>6736</v>
      </c>
      <c r="O1504" t="s">
        <v>6747</v>
      </c>
      <c r="P1504" t="s">
        <v>5697</v>
      </c>
      <c r="R1504" t="s">
        <v>6793</v>
      </c>
      <c r="S1504" t="s">
        <v>6801</v>
      </c>
      <c r="U1504">
        <v>875</v>
      </c>
      <c r="V1504" t="s">
        <v>6833</v>
      </c>
      <c r="W1504" t="s">
        <v>6839</v>
      </c>
      <c r="Y1504" t="s">
        <v>8271</v>
      </c>
      <c r="AB1504">
        <v>60</v>
      </c>
      <c r="AC1504" t="s">
        <v>8953</v>
      </c>
      <c r="AD1504" t="s">
        <v>5741</v>
      </c>
      <c r="AE1504">
        <v>25</v>
      </c>
      <c r="AF1504">
        <v>2</v>
      </c>
      <c r="AG1504">
        <v>2</v>
      </c>
      <c r="AH1504">
        <v>136.7</v>
      </c>
      <c r="AK1504" t="s">
        <v>10966</v>
      </c>
      <c r="AL1504">
        <v>35200</v>
      </c>
      <c r="AR1504">
        <v>0.7</v>
      </c>
      <c r="AS1504" t="s">
        <v>11147</v>
      </c>
      <c r="AT1504" t="s">
        <v>11196</v>
      </c>
      <c r="AV1504" t="s">
        <v>11231</v>
      </c>
      <c r="AW1504" t="s">
        <v>11146</v>
      </c>
    </row>
    <row r="1505" spans="1:49">
      <c r="A1505" s="1">
        <f>HYPERLINK("https://lsnyc.legalserver.org/matter/dynamic-profile/view/1898706","19-1898706")</f>
        <v>0</v>
      </c>
      <c r="B1505" t="s">
        <v>199</v>
      </c>
      <c r="C1505" t="s">
        <v>1122</v>
      </c>
      <c r="D1505" t="s">
        <v>1251</v>
      </c>
      <c r="E1505" t="s">
        <v>4444</v>
      </c>
      <c r="F1505" t="s">
        <v>5521</v>
      </c>
      <c r="G1505" t="s">
        <v>5635</v>
      </c>
      <c r="H1505">
        <v>10467</v>
      </c>
      <c r="I1505" t="s">
        <v>5695</v>
      </c>
      <c r="J1505" t="s">
        <v>5695</v>
      </c>
      <c r="K1505" t="s">
        <v>6492</v>
      </c>
      <c r="L1505" t="s">
        <v>6714</v>
      </c>
      <c r="M1505" t="s">
        <v>6736</v>
      </c>
      <c r="O1505" t="s">
        <v>6763</v>
      </c>
      <c r="R1505" t="s">
        <v>6793</v>
      </c>
      <c r="U1505">
        <v>0</v>
      </c>
      <c r="V1505" t="s">
        <v>6833</v>
      </c>
      <c r="Y1505" t="s">
        <v>8272</v>
      </c>
      <c r="AB1505">
        <v>0</v>
      </c>
      <c r="AC1505" t="s">
        <v>10931</v>
      </c>
      <c r="AE1505">
        <v>0</v>
      </c>
      <c r="AF1505">
        <v>2</v>
      </c>
      <c r="AG1505">
        <v>0</v>
      </c>
      <c r="AH1505">
        <v>248.37</v>
      </c>
      <c r="AK1505" t="s">
        <v>10966</v>
      </c>
      <c r="AL1505">
        <v>42000</v>
      </c>
      <c r="AR1505">
        <v>16.3</v>
      </c>
      <c r="AS1505" t="s">
        <v>6818</v>
      </c>
      <c r="AT1505" t="s">
        <v>288</v>
      </c>
      <c r="AV1505" t="s">
        <v>11231</v>
      </c>
      <c r="AW1505" t="s">
        <v>11152</v>
      </c>
    </row>
    <row r="1506" spans="1:49">
      <c r="A1506" s="1">
        <f>HYPERLINK("https://lsnyc.legalserver.org/matter/dynamic-profile/view/1906104","19-1906104")</f>
        <v>0</v>
      </c>
      <c r="B1506" t="s">
        <v>274</v>
      </c>
      <c r="C1506" t="s">
        <v>1288</v>
      </c>
      <c r="D1506" t="s">
        <v>1251</v>
      </c>
      <c r="E1506" t="s">
        <v>4445</v>
      </c>
      <c r="F1506" t="s">
        <v>5176</v>
      </c>
      <c r="G1506" t="s">
        <v>5635</v>
      </c>
      <c r="H1506">
        <v>10457</v>
      </c>
      <c r="I1506" t="s">
        <v>5695</v>
      </c>
      <c r="J1506" t="s">
        <v>5696</v>
      </c>
      <c r="K1506" t="s">
        <v>6493</v>
      </c>
      <c r="L1506" t="s">
        <v>6714</v>
      </c>
      <c r="M1506" t="s">
        <v>6736</v>
      </c>
      <c r="O1506" t="s">
        <v>6763</v>
      </c>
      <c r="P1506" t="s">
        <v>5697</v>
      </c>
      <c r="R1506" t="s">
        <v>6793</v>
      </c>
      <c r="U1506">
        <v>0</v>
      </c>
      <c r="V1506" t="s">
        <v>6833</v>
      </c>
      <c r="Y1506" t="s">
        <v>8273</v>
      </c>
      <c r="AB1506">
        <v>21</v>
      </c>
      <c r="AC1506" t="s">
        <v>10929</v>
      </c>
      <c r="AE1506">
        <v>0</v>
      </c>
      <c r="AF1506">
        <v>1</v>
      </c>
      <c r="AG1506">
        <v>1</v>
      </c>
      <c r="AH1506">
        <v>153.76</v>
      </c>
      <c r="AK1506" t="s">
        <v>10966</v>
      </c>
      <c r="AL1506">
        <v>26000</v>
      </c>
      <c r="AR1506">
        <v>0</v>
      </c>
      <c r="AT1506" t="s">
        <v>288</v>
      </c>
      <c r="AU1506" t="s">
        <v>5741</v>
      </c>
      <c r="AV1506" t="s">
        <v>11231</v>
      </c>
      <c r="AW1506" t="s">
        <v>6820</v>
      </c>
    </row>
    <row r="1507" spans="1:49">
      <c r="A1507" s="1">
        <f>HYPERLINK("https://lsnyc.legalserver.org/matter/dynamic-profile/view/1898504","19-1898504")</f>
        <v>0</v>
      </c>
      <c r="B1507" t="s">
        <v>185</v>
      </c>
      <c r="C1507" t="s">
        <v>377</v>
      </c>
      <c r="D1507" t="s">
        <v>863</v>
      </c>
      <c r="E1507" t="s">
        <v>4206</v>
      </c>
      <c r="F1507" t="s">
        <v>5116</v>
      </c>
      <c r="G1507" t="s">
        <v>5635</v>
      </c>
      <c r="H1507">
        <v>10467</v>
      </c>
      <c r="I1507" t="s">
        <v>5695</v>
      </c>
      <c r="J1507" t="s">
        <v>5696</v>
      </c>
      <c r="K1507" t="s">
        <v>6494</v>
      </c>
      <c r="L1507" t="s">
        <v>6714</v>
      </c>
      <c r="M1507" t="s">
        <v>6736</v>
      </c>
      <c r="O1507" t="s">
        <v>6763</v>
      </c>
      <c r="R1507" t="s">
        <v>6793</v>
      </c>
      <c r="U1507">
        <v>0</v>
      </c>
      <c r="V1507" t="s">
        <v>6833</v>
      </c>
      <c r="W1507" t="s">
        <v>6839</v>
      </c>
      <c r="Y1507" t="s">
        <v>8274</v>
      </c>
      <c r="AB1507">
        <v>0</v>
      </c>
      <c r="AC1507" t="s">
        <v>8953</v>
      </c>
      <c r="AE1507">
        <v>0</v>
      </c>
      <c r="AF1507">
        <v>2</v>
      </c>
      <c r="AG1507">
        <v>0</v>
      </c>
      <c r="AH1507">
        <v>131.78</v>
      </c>
      <c r="AK1507" t="s">
        <v>10966</v>
      </c>
      <c r="AL1507">
        <v>22284</v>
      </c>
      <c r="AM1507" t="s">
        <v>11072</v>
      </c>
      <c r="AR1507">
        <v>5.5</v>
      </c>
      <c r="AS1507" t="s">
        <v>6811</v>
      </c>
      <c r="AT1507" t="s">
        <v>11217</v>
      </c>
      <c r="AU1507" t="s">
        <v>11228</v>
      </c>
      <c r="AV1507" t="s">
        <v>11231</v>
      </c>
      <c r="AW1507" t="s">
        <v>11123</v>
      </c>
    </row>
    <row r="1508" spans="1:49">
      <c r="A1508" s="1">
        <f>HYPERLINK("https://lsnyc.legalserver.org/matter/dynamic-profile/view/1905083","19-1905083")</f>
        <v>0</v>
      </c>
      <c r="B1508" t="s">
        <v>224</v>
      </c>
      <c r="C1508" t="s">
        <v>1289</v>
      </c>
      <c r="D1508" t="s">
        <v>2648</v>
      </c>
      <c r="E1508" t="s">
        <v>4446</v>
      </c>
      <c r="F1508" t="s">
        <v>5142</v>
      </c>
      <c r="G1508" t="s">
        <v>5637</v>
      </c>
      <c r="H1508">
        <v>11225</v>
      </c>
      <c r="I1508" t="s">
        <v>5697</v>
      </c>
      <c r="J1508" t="s">
        <v>5696</v>
      </c>
      <c r="K1508" t="s">
        <v>6495</v>
      </c>
      <c r="L1508" t="s">
        <v>6714</v>
      </c>
      <c r="M1508" t="s">
        <v>6736</v>
      </c>
      <c r="O1508" t="s">
        <v>6755</v>
      </c>
      <c r="R1508" t="s">
        <v>6793</v>
      </c>
      <c r="U1508">
        <v>0</v>
      </c>
      <c r="V1508" t="s">
        <v>6835</v>
      </c>
      <c r="W1508" t="s">
        <v>6854</v>
      </c>
      <c r="Y1508" t="s">
        <v>8275</v>
      </c>
      <c r="AB1508">
        <v>0</v>
      </c>
      <c r="AE1508">
        <v>0</v>
      </c>
      <c r="AF1508">
        <v>2</v>
      </c>
      <c r="AG1508">
        <v>0</v>
      </c>
      <c r="AH1508">
        <v>68.62</v>
      </c>
      <c r="AK1508" t="s">
        <v>10966</v>
      </c>
      <c r="AL1508">
        <v>11604</v>
      </c>
      <c r="AR1508">
        <v>0.7</v>
      </c>
      <c r="AS1508" t="s">
        <v>6827</v>
      </c>
      <c r="AT1508" t="s">
        <v>11197</v>
      </c>
      <c r="AU1508" t="s">
        <v>5741</v>
      </c>
      <c r="AV1508" t="s">
        <v>11231</v>
      </c>
      <c r="AW1508" t="s">
        <v>6814</v>
      </c>
    </row>
    <row r="1509" spans="1:49">
      <c r="A1509" s="1">
        <f>HYPERLINK("https://lsnyc.legalserver.org/matter/dynamic-profile/view/1902984","19-1902984")</f>
        <v>0</v>
      </c>
      <c r="B1509" t="s">
        <v>222</v>
      </c>
      <c r="C1509" t="s">
        <v>343</v>
      </c>
      <c r="D1509" t="s">
        <v>1796</v>
      </c>
      <c r="E1509" t="s">
        <v>3210</v>
      </c>
      <c r="F1509" t="s">
        <v>5522</v>
      </c>
      <c r="G1509" t="s">
        <v>5635</v>
      </c>
      <c r="H1509">
        <v>10460</v>
      </c>
      <c r="I1509" t="s">
        <v>5696</v>
      </c>
      <c r="J1509" t="s">
        <v>5696</v>
      </c>
      <c r="L1509" t="s">
        <v>6714</v>
      </c>
      <c r="M1509" t="s">
        <v>6736</v>
      </c>
      <c r="O1509" t="s">
        <v>6745</v>
      </c>
      <c r="P1509" t="s">
        <v>5697</v>
      </c>
      <c r="R1509" t="s">
        <v>6793</v>
      </c>
      <c r="U1509">
        <v>343</v>
      </c>
      <c r="V1509" t="s">
        <v>6833</v>
      </c>
      <c r="W1509" t="s">
        <v>6843</v>
      </c>
      <c r="Y1509" t="s">
        <v>8276</v>
      </c>
      <c r="AB1509">
        <v>0</v>
      </c>
      <c r="AD1509" t="s">
        <v>10944</v>
      </c>
      <c r="AE1509">
        <v>1</v>
      </c>
      <c r="AF1509">
        <v>1</v>
      </c>
      <c r="AG1509">
        <v>0</v>
      </c>
      <c r="AH1509">
        <v>112.89</v>
      </c>
      <c r="AK1509" t="s">
        <v>10967</v>
      </c>
      <c r="AL1509">
        <v>14100</v>
      </c>
      <c r="AR1509">
        <v>1.2</v>
      </c>
      <c r="AS1509" t="s">
        <v>11147</v>
      </c>
      <c r="AT1509" t="s">
        <v>219</v>
      </c>
      <c r="AV1509" t="s">
        <v>11231</v>
      </c>
      <c r="AW1509" t="s">
        <v>11138</v>
      </c>
    </row>
    <row r="1510" spans="1:49">
      <c r="A1510" s="1">
        <f>HYPERLINK("https://lsnyc.legalserver.org/matter/dynamic-profile/view/1903429","19-1903429")</f>
        <v>0</v>
      </c>
      <c r="B1510" t="s">
        <v>190</v>
      </c>
      <c r="C1510" t="s">
        <v>1290</v>
      </c>
      <c r="D1510" t="s">
        <v>2649</v>
      </c>
      <c r="E1510" t="s">
        <v>4447</v>
      </c>
      <c r="F1510">
        <v>7</v>
      </c>
      <c r="G1510" t="s">
        <v>5635</v>
      </c>
      <c r="H1510">
        <v>10462</v>
      </c>
      <c r="I1510" t="s">
        <v>5695</v>
      </c>
      <c r="J1510" t="s">
        <v>5696</v>
      </c>
      <c r="K1510" t="s">
        <v>6496</v>
      </c>
      <c r="L1510" t="s">
        <v>6714</v>
      </c>
      <c r="M1510" t="s">
        <v>6736</v>
      </c>
      <c r="O1510" t="s">
        <v>6763</v>
      </c>
      <c r="P1510" t="s">
        <v>5697</v>
      </c>
      <c r="R1510" t="s">
        <v>6793</v>
      </c>
      <c r="S1510" t="s">
        <v>6801</v>
      </c>
      <c r="U1510">
        <v>1200</v>
      </c>
      <c r="V1510" t="s">
        <v>6833</v>
      </c>
      <c r="Y1510" t="s">
        <v>8277</v>
      </c>
      <c r="AB1510">
        <v>16</v>
      </c>
      <c r="AE1510">
        <v>2</v>
      </c>
      <c r="AF1510">
        <v>3</v>
      </c>
      <c r="AG1510">
        <v>0</v>
      </c>
      <c r="AH1510">
        <v>89.08</v>
      </c>
      <c r="AK1510" t="s">
        <v>10967</v>
      </c>
      <c r="AL1510">
        <v>19000</v>
      </c>
      <c r="AR1510">
        <v>0</v>
      </c>
      <c r="AT1510" t="s">
        <v>288</v>
      </c>
      <c r="AU1510" t="s">
        <v>11228</v>
      </c>
      <c r="AV1510" t="s">
        <v>11231</v>
      </c>
      <c r="AW1510" t="s">
        <v>11136</v>
      </c>
    </row>
    <row r="1511" spans="1:49">
      <c r="A1511" s="1">
        <f>HYPERLINK("https://lsnyc.legalserver.org/matter/dynamic-profile/view/1903545","19-1903545")</f>
        <v>0</v>
      </c>
      <c r="B1511" t="s">
        <v>186</v>
      </c>
      <c r="C1511" t="s">
        <v>799</v>
      </c>
      <c r="D1511" t="s">
        <v>1802</v>
      </c>
      <c r="E1511" t="s">
        <v>4448</v>
      </c>
      <c r="F1511" t="s">
        <v>5215</v>
      </c>
      <c r="G1511" t="s">
        <v>5649</v>
      </c>
      <c r="H1511">
        <v>11385</v>
      </c>
      <c r="I1511" t="s">
        <v>5695</v>
      </c>
      <c r="J1511" t="s">
        <v>5696</v>
      </c>
      <c r="K1511" t="s">
        <v>6497</v>
      </c>
      <c r="L1511" t="s">
        <v>6714</v>
      </c>
      <c r="M1511" t="s">
        <v>6736</v>
      </c>
      <c r="O1511" t="s">
        <v>6752</v>
      </c>
      <c r="P1511" t="s">
        <v>5695</v>
      </c>
      <c r="R1511" t="s">
        <v>6793</v>
      </c>
      <c r="U1511">
        <v>1948</v>
      </c>
      <c r="V1511" t="s">
        <v>6837</v>
      </c>
      <c r="W1511" t="s">
        <v>6840</v>
      </c>
      <c r="Y1511" t="s">
        <v>8278</v>
      </c>
      <c r="AB1511">
        <v>3</v>
      </c>
      <c r="AD1511" t="s">
        <v>5741</v>
      </c>
      <c r="AE1511">
        <v>4</v>
      </c>
      <c r="AF1511">
        <v>1</v>
      </c>
      <c r="AG1511">
        <v>2</v>
      </c>
      <c r="AH1511">
        <v>178.15</v>
      </c>
      <c r="AK1511" t="s">
        <v>10967</v>
      </c>
      <c r="AL1511">
        <v>38000</v>
      </c>
      <c r="AR1511">
        <v>2</v>
      </c>
      <c r="AS1511" t="s">
        <v>11168</v>
      </c>
      <c r="AT1511" t="s">
        <v>11184</v>
      </c>
      <c r="AU1511" t="s">
        <v>11228</v>
      </c>
      <c r="AV1511" t="s">
        <v>11231</v>
      </c>
      <c r="AW1511" t="s">
        <v>11147</v>
      </c>
    </row>
    <row r="1512" spans="1:49">
      <c r="A1512" s="1">
        <f>HYPERLINK("https://lsnyc.legalserver.org/matter/dynamic-profile/view/1905175","19-1905175")</f>
        <v>0</v>
      </c>
      <c r="B1512" t="s">
        <v>187</v>
      </c>
      <c r="C1512" t="s">
        <v>392</v>
      </c>
      <c r="D1512" t="s">
        <v>2650</v>
      </c>
      <c r="E1512" t="s">
        <v>4449</v>
      </c>
      <c r="F1512" t="s">
        <v>5205</v>
      </c>
      <c r="G1512" t="s">
        <v>5635</v>
      </c>
      <c r="H1512">
        <v>10468</v>
      </c>
      <c r="I1512" t="s">
        <v>5695</v>
      </c>
      <c r="J1512" t="s">
        <v>5696</v>
      </c>
      <c r="K1512" t="s">
        <v>6498</v>
      </c>
      <c r="L1512" t="s">
        <v>6714</v>
      </c>
      <c r="M1512" t="s">
        <v>6736</v>
      </c>
      <c r="O1512" t="s">
        <v>6763</v>
      </c>
      <c r="R1512" t="s">
        <v>6793</v>
      </c>
      <c r="U1512">
        <v>1225</v>
      </c>
      <c r="V1512" t="s">
        <v>6833</v>
      </c>
      <c r="Y1512" t="s">
        <v>8279</v>
      </c>
      <c r="AB1512">
        <v>35</v>
      </c>
      <c r="AC1512" t="s">
        <v>10929</v>
      </c>
      <c r="AE1512">
        <v>8</v>
      </c>
      <c r="AF1512">
        <v>1</v>
      </c>
      <c r="AG1512">
        <v>1</v>
      </c>
      <c r="AH1512">
        <v>123</v>
      </c>
      <c r="AK1512" t="s">
        <v>10967</v>
      </c>
      <c r="AL1512">
        <v>20800</v>
      </c>
      <c r="AR1512">
        <v>12.85</v>
      </c>
      <c r="AS1512" t="s">
        <v>6821</v>
      </c>
      <c r="AT1512" t="s">
        <v>11200</v>
      </c>
      <c r="AU1512" t="s">
        <v>11228</v>
      </c>
      <c r="AV1512" t="s">
        <v>11231</v>
      </c>
      <c r="AW1512" t="s">
        <v>6808</v>
      </c>
    </row>
    <row r="1513" spans="1:49">
      <c r="A1513" s="1">
        <f>HYPERLINK("https://lsnyc.legalserver.org/matter/dynamic-profile/view/1904254","19-1904254")</f>
        <v>0</v>
      </c>
      <c r="B1513" t="s">
        <v>243</v>
      </c>
      <c r="C1513" t="s">
        <v>731</v>
      </c>
      <c r="D1513" t="s">
        <v>2651</v>
      </c>
      <c r="E1513" t="s">
        <v>4450</v>
      </c>
      <c r="F1513" t="s">
        <v>5097</v>
      </c>
      <c r="G1513" t="s">
        <v>5674</v>
      </c>
      <c r="H1513">
        <v>11373</v>
      </c>
      <c r="I1513" t="s">
        <v>5697</v>
      </c>
      <c r="J1513" t="s">
        <v>5696</v>
      </c>
      <c r="K1513" t="s">
        <v>6499</v>
      </c>
      <c r="L1513" t="s">
        <v>6714</v>
      </c>
      <c r="M1513" t="s">
        <v>6736</v>
      </c>
      <c r="O1513" t="s">
        <v>6752</v>
      </c>
      <c r="P1513" t="s">
        <v>5697</v>
      </c>
      <c r="R1513" t="s">
        <v>6793</v>
      </c>
      <c r="U1513">
        <v>1079.8</v>
      </c>
      <c r="V1513" t="s">
        <v>6837</v>
      </c>
      <c r="W1513" t="s">
        <v>6839</v>
      </c>
      <c r="Y1513" t="s">
        <v>8280</v>
      </c>
      <c r="AB1513">
        <v>0</v>
      </c>
      <c r="AC1513" t="s">
        <v>10929</v>
      </c>
      <c r="AD1513" t="s">
        <v>5741</v>
      </c>
      <c r="AE1513">
        <v>23</v>
      </c>
      <c r="AF1513">
        <v>2</v>
      </c>
      <c r="AG1513">
        <v>1</v>
      </c>
      <c r="AH1513">
        <v>73.14</v>
      </c>
      <c r="AK1513" t="s">
        <v>10967</v>
      </c>
      <c r="AL1513">
        <v>15600</v>
      </c>
      <c r="AR1513">
        <v>0.5</v>
      </c>
      <c r="AS1513" t="s">
        <v>6813</v>
      </c>
      <c r="AT1513" t="s">
        <v>11184</v>
      </c>
      <c r="AU1513" t="s">
        <v>11228</v>
      </c>
      <c r="AV1513" t="s">
        <v>11231</v>
      </c>
      <c r="AW1513" t="s">
        <v>6813</v>
      </c>
    </row>
    <row r="1514" spans="1:49">
      <c r="A1514" s="1">
        <f>HYPERLINK("https://lsnyc.legalserver.org/matter/dynamic-profile/view/1901625","19-1901625")</f>
        <v>0</v>
      </c>
      <c r="B1514" t="s">
        <v>90</v>
      </c>
      <c r="C1514" t="s">
        <v>877</v>
      </c>
      <c r="D1514" t="s">
        <v>2652</v>
      </c>
      <c r="E1514" t="s">
        <v>4451</v>
      </c>
      <c r="F1514" t="s">
        <v>5523</v>
      </c>
      <c r="G1514" t="s">
        <v>5637</v>
      </c>
      <c r="H1514">
        <v>11225</v>
      </c>
      <c r="I1514" t="s">
        <v>5696</v>
      </c>
      <c r="J1514" t="s">
        <v>5696</v>
      </c>
      <c r="K1514" t="s">
        <v>6500</v>
      </c>
      <c r="L1514" t="s">
        <v>6714</v>
      </c>
      <c r="M1514" t="s">
        <v>6736</v>
      </c>
      <c r="O1514" t="s">
        <v>6755</v>
      </c>
      <c r="R1514" t="s">
        <v>6793</v>
      </c>
      <c r="U1514">
        <v>399.28</v>
      </c>
      <c r="V1514" t="s">
        <v>6835</v>
      </c>
      <c r="W1514" t="s">
        <v>6839</v>
      </c>
      <c r="Y1514" t="s">
        <v>8072</v>
      </c>
      <c r="AB1514">
        <v>77</v>
      </c>
      <c r="AE1514">
        <v>0</v>
      </c>
      <c r="AF1514">
        <v>1</v>
      </c>
      <c r="AG1514">
        <v>0</v>
      </c>
      <c r="AH1514">
        <v>0</v>
      </c>
      <c r="AL1514">
        <v>0</v>
      </c>
      <c r="AR1514">
        <v>8.6</v>
      </c>
      <c r="AS1514" t="s">
        <v>6821</v>
      </c>
      <c r="AT1514" t="s">
        <v>11178</v>
      </c>
      <c r="AV1514" t="s">
        <v>11231</v>
      </c>
      <c r="AW1514" t="s">
        <v>11124</v>
      </c>
    </row>
    <row r="1515" spans="1:49">
      <c r="A1515" s="1">
        <f>HYPERLINK("https://lsnyc.legalserver.org/matter/dynamic-profile/view/1904435","19-1904435")</f>
        <v>0</v>
      </c>
      <c r="B1515" t="s">
        <v>251</v>
      </c>
      <c r="C1515" t="s">
        <v>1291</v>
      </c>
      <c r="D1515" t="s">
        <v>847</v>
      </c>
      <c r="E1515" t="s">
        <v>4452</v>
      </c>
      <c r="G1515" t="s">
        <v>5684</v>
      </c>
      <c r="H1515">
        <v>14212</v>
      </c>
      <c r="I1515" t="s">
        <v>5696</v>
      </c>
      <c r="J1515" t="s">
        <v>5696</v>
      </c>
      <c r="K1515" t="s">
        <v>6501</v>
      </c>
      <c r="L1515" t="s">
        <v>6726</v>
      </c>
      <c r="M1515" t="s">
        <v>6736</v>
      </c>
      <c r="O1515" t="s">
        <v>6745</v>
      </c>
      <c r="P1515" t="s">
        <v>5697</v>
      </c>
      <c r="R1515" t="s">
        <v>6795</v>
      </c>
      <c r="S1515" t="s">
        <v>6801</v>
      </c>
      <c r="U1515">
        <v>0</v>
      </c>
      <c r="V1515" t="s">
        <v>6837</v>
      </c>
      <c r="Y1515" t="s">
        <v>8281</v>
      </c>
      <c r="AA1515" t="s">
        <v>10315</v>
      </c>
      <c r="AB1515">
        <v>0</v>
      </c>
      <c r="AE1515">
        <v>0</v>
      </c>
      <c r="AF1515">
        <v>3</v>
      </c>
      <c r="AG1515">
        <v>1</v>
      </c>
      <c r="AH1515">
        <v>80.39</v>
      </c>
      <c r="AL1515">
        <v>20700</v>
      </c>
      <c r="AR1515">
        <v>16</v>
      </c>
      <c r="AS1515" t="s">
        <v>6820</v>
      </c>
      <c r="AT1515" t="s">
        <v>251</v>
      </c>
      <c r="AV1515" t="s">
        <v>11231</v>
      </c>
      <c r="AW1515" t="s">
        <v>6815</v>
      </c>
    </row>
    <row r="1516" spans="1:49">
      <c r="A1516" s="1">
        <f>HYPERLINK("https://lsnyc.legalserver.org/matter/dynamic-profile/view/1904878","19-1904878")</f>
        <v>0</v>
      </c>
      <c r="B1516" t="s">
        <v>254</v>
      </c>
      <c r="C1516" t="s">
        <v>1292</v>
      </c>
      <c r="D1516" t="s">
        <v>1741</v>
      </c>
      <c r="E1516" t="s">
        <v>4453</v>
      </c>
      <c r="F1516" t="s">
        <v>5524</v>
      </c>
      <c r="G1516" t="s">
        <v>5635</v>
      </c>
      <c r="H1516">
        <v>10459</v>
      </c>
      <c r="I1516" t="s">
        <v>5695</v>
      </c>
      <c r="J1516" t="s">
        <v>5696</v>
      </c>
      <c r="L1516" t="s">
        <v>6719</v>
      </c>
      <c r="M1516" t="s">
        <v>6736</v>
      </c>
      <c r="O1516" t="s">
        <v>6745</v>
      </c>
      <c r="P1516" t="s">
        <v>5697</v>
      </c>
      <c r="R1516" t="s">
        <v>6796</v>
      </c>
      <c r="U1516">
        <v>1720</v>
      </c>
      <c r="V1516" t="s">
        <v>6833</v>
      </c>
      <c r="Y1516" t="s">
        <v>7004</v>
      </c>
      <c r="AA1516" t="s">
        <v>10316</v>
      </c>
      <c r="AB1516">
        <v>128</v>
      </c>
      <c r="AC1516" t="s">
        <v>10929</v>
      </c>
      <c r="AD1516" t="s">
        <v>5741</v>
      </c>
      <c r="AE1516">
        <v>11</v>
      </c>
      <c r="AF1516">
        <v>2</v>
      </c>
      <c r="AG1516">
        <v>2</v>
      </c>
      <c r="AH1516">
        <v>131.11</v>
      </c>
      <c r="AK1516" t="s">
        <v>10966</v>
      </c>
      <c r="AL1516">
        <v>33760</v>
      </c>
      <c r="AR1516">
        <v>0</v>
      </c>
      <c r="AT1516" t="s">
        <v>219</v>
      </c>
      <c r="AU1516" t="s">
        <v>11228</v>
      </c>
      <c r="AV1516" t="s">
        <v>11231</v>
      </c>
      <c r="AW1516" t="s">
        <v>6816</v>
      </c>
    </row>
    <row r="1517" spans="1:49">
      <c r="A1517" s="1">
        <f>HYPERLINK("https://lsnyc.legalserver.org/matter/dynamic-profile/view/1904604","19-1904604")</f>
        <v>0</v>
      </c>
      <c r="B1517" t="s">
        <v>254</v>
      </c>
      <c r="C1517" t="s">
        <v>1293</v>
      </c>
      <c r="D1517" t="s">
        <v>2325</v>
      </c>
      <c r="E1517" t="s">
        <v>4454</v>
      </c>
      <c r="F1517">
        <v>7</v>
      </c>
      <c r="G1517" t="s">
        <v>5635</v>
      </c>
      <c r="H1517">
        <v>10460</v>
      </c>
      <c r="I1517" t="s">
        <v>5696</v>
      </c>
      <c r="J1517" t="s">
        <v>5696</v>
      </c>
      <c r="L1517" t="s">
        <v>6719</v>
      </c>
      <c r="M1517" t="s">
        <v>6736</v>
      </c>
      <c r="O1517" t="s">
        <v>6745</v>
      </c>
      <c r="P1517" t="s">
        <v>5697</v>
      </c>
      <c r="R1517" t="s">
        <v>6793</v>
      </c>
      <c r="U1517">
        <v>0</v>
      </c>
      <c r="V1517" t="s">
        <v>6833</v>
      </c>
      <c r="W1517" t="s">
        <v>6843</v>
      </c>
      <c r="Y1517" t="s">
        <v>8282</v>
      </c>
      <c r="Z1517" t="s">
        <v>9056</v>
      </c>
      <c r="AA1517" t="s">
        <v>10317</v>
      </c>
      <c r="AB1517">
        <v>30</v>
      </c>
      <c r="AC1517" t="s">
        <v>10934</v>
      </c>
      <c r="AD1517" t="s">
        <v>10944</v>
      </c>
      <c r="AE1517">
        <v>0</v>
      </c>
      <c r="AF1517">
        <v>2</v>
      </c>
      <c r="AG1517">
        <v>1</v>
      </c>
      <c r="AH1517">
        <v>57.72</v>
      </c>
      <c r="AK1517" t="s">
        <v>10966</v>
      </c>
      <c r="AL1517">
        <v>12312</v>
      </c>
      <c r="AR1517">
        <v>0</v>
      </c>
      <c r="AT1517" t="s">
        <v>219</v>
      </c>
      <c r="AV1517" t="s">
        <v>11231</v>
      </c>
      <c r="AW1517" t="s">
        <v>6810</v>
      </c>
    </row>
    <row r="1518" spans="1:49">
      <c r="A1518" s="1">
        <f>HYPERLINK("https://lsnyc.legalserver.org/matter/dynamic-profile/view/1896436","19-1896436")</f>
        <v>0</v>
      </c>
      <c r="B1518" t="s">
        <v>201</v>
      </c>
      <c r="C1518" t="s">
        <v>355</v>
      </c>
      <c r="D1518" t="s">
        <v>1700</v>
      </c>
      <c r="E1518" t="s">
        <v>4455</v>
      </c>
      <c r="F1518" t="s">
        <v>5316</v>
      </c>
      <c r="G1518" t="s">
        <v>5635</v>
      </c>
      <c r="H1518">
        <v>10467</v>
      </c>
      <c r="I1518" t="s">
        <v>5696</v>
      </c>
      <c r="J1518" t="s">
        <v>5695</v>
      </c>
      <c r="K1518" t="s">
        <v>6502</v>
      </c>
      <c r="M1518" t="s">
        <v>6736</v>
      </c>
      <c r="O1518" t="s">
        <v>6763</v>
      </c>
      <c r="P1518" t="s">
        <v>5697</v>
      </c>
      <c r="R1518" t="s">
        <v>6793</v>
      </c>
      <c r="U1518">
        <v>1375</v>
      </c>
      <c r="V1518" t="s">
        <v>6833</v>
      </c>
      <c r="Y1518" t="s">
        <v>8283</v>
      </c>
      <c r="AA1518" t="s">
        <v>10318</v>
      </c>
      <c r="AB1518">
        <v>6</v>
      </c>
      <c r="AD1518" t="s">
        <v>10948</v>
      </c>
      <c r="AE1518">
        <v>7</v>
      </c>
      <c r="AF1518">
        <v>1</v>
      </c>
      <c r="AG1518">
        <v>0</v>
      </c>
      <c r="AH1518">
        <v>84.06999999999999</v>
      </c>
      <c r="AK1518" t="s">
        <v>10966</v>
      </c>
      <c r="AL1518">
        <v>10500</v>
      </c>
      <c r="AO1518" t="s">
        <v>11096</v>
      </c>
      <c r="AP1518" t="s">
        <v>11098</v>
      </c>
      <c r="AQ1518" t="s">
        <v>11102</v>
      </c>
      <c r="AR1518">
        <v>30.5</v>
      </c>
      <c r="AS1518" t="s">
        <v>6828</v>
      </c>
      <c r="AT1518" t="s">
        <v>219</v>
      </c>
      <c r="AV1518" t="s">
        <v>11231</v>
      </c>
      <c r="AW1518" t="s">
        <v>11153</v>
      </c>
    </row>
    <row r="1519" spans="1:49">
      <c r="A1519" s="1">
        <f>HYPERLINK("https://lsnyc.legalserver.org/matter/dynamic-profile/view/1906090","19-1906090")</f>
        <v>0</v>
      </c>
      <c r="B1519" t="s">
        <v>270</v>
      </c>
      <c r="C1519" t="s">
        <v>481</v>
      </c>
      <c r="D1519" t="s">
        <v>2442</v>
      </c>
      <c r="E1519" t="s">
        <v>4456</v>
      </c>
      <c r="F1519">
        <v>8</v>
      </c>
      <c r="G1519" t="s">
        <v>5637</v>
      </c>
      <c r="H1519">
        <v>11218</v>
      </c>
      <c r="I1519" t="s">
        <v>5695</v>
      </c>
      <c r="J1519" t="s">
        <v>5696</v>
      </c>
      <c r="M1519" t="s">
        <v>6736</v>
      </c>
      <c r="O1519" t="s">
        <v>6745</v>
      </c>
      <c r="P1519" t="s">
        <v>5697</v>
      </c>
      <c r="R1519" t="s">
        <v>6793</v>
      </c>
      <c r="T1519" t="s">
        <v>6820</v>
      </c>
      <c r="U1519">
        <v>1615</v>
      </c>
      <c r="V1519" t="s">
        <v>6835</v>
      </c>
      <c r="Y1519" t="s">
        <v>7936</v>
      </c>
      <c r="AA1519" t="s">
        <v>9974</v>
      </c>
      <c r="AB1519">
        <v>0</v>
      </c>
      <c r="AE1519">
        <v>3</v>
      </c>
      <c r="AF1519">
        <v>1</v>
      </c>
      <c r="AG1519">
        <v>0</v>
      </c>
      <c r="AH1519">
        <v>240.19</v>
      </c>
      <c r="AK1519" t="s">
        <v>10966</v>
      </c>
      <c r="AL1519">
        <v>30000</v>
      </c>
      <c r="AR1519">
        <v>0</v>
      </c>
      <c r="AT1519" t="s">
        <v>278</v>
      </c>
      <c r="AU1519" t="s">
        <v>11228</v>
      </c>
      <c r="AV1519" t="s">
        <v>11231</v>
      </c>
      <c r="AW1519" t="s">
        <v>6820</v>
      </c>
    </row>
    <row r="1520" spans="1:49">
      <c r="A1520" s="1">
        <f>HYPERLINK("https://lsnyc.legalserver.org/matter/dynamic-profile/view/1902550","19-1902550")</f>
        <v>0</v>
      </c>
      <c r="B1520" t="s">
        <v>158</v>
      </c>
      <c r="C1520" t="s">
        <v>491</v>
      </c>
      <c r="D1520" t="s">
        <v>1657</v>
      </c>
      <c r="E1520" t="s">
        <v>4457</v>
      </c>
      <c r="F1520">
        <v>6</v>
      </c>
      <c r="G1520" t="s">
        <v>5637</v>
      </c>
      <c r="H1520">
        <v>11216</v>
      </c>
      <c r="I1520" t="s">
        <v>5696</v>
      </c>
      <c r="J1520" t="s">
        <v>5696</v>
      </c>
      <c r="M1520" t="s">
        <v>6736</v>
      </c>
      <c r="O1520" t="s">
        <v>6755</v>
      </c>
      <c r="R1520" t="s">
        <v>6793</v>
      </c>
      <c r="U1520">
        <v>0</v>
      </c>
      <c r="V1520" t="s">
        <v>6835</v>
      </c>
      <c r="Y1520" t="s">
        <v>8284</v>
      </c>
      <c r="AA1520" t="s">
        <v>10319</v>
      </c>
      <c r="AB1520">
        <v>0</v>
      </c>
      <c r="AE1520">
        <v>0</v>
      </c>
      <c r="AF1520">
        <v>1</v>
      </c>
      <c r="AG1520">
        <v>0</v>
      </c>
      <c r="AH1520">
        <v>89.06</v>
      </c>
      <c r="AL1520">
        <v>11124</v>
      </c>
      <c r="AR1520">
        <v>4.3</v>
      </c>
      <c r="AS1520" t="s">
        <v>6821</v>
      </c>
      <c r="AT1520" t="s">
        <v>141</v>
      </c>
      <c r="AV1520" t="s">
        <v>11231</v>
      </c>
      <c r="AW1520" t="s">
        <v>11116</v>
      </c>
    </row>
    <row r="1521" spans="1:49">
      <c r="A1521" s="1">
        <f>HYPERLINK("https://lsnyc.legalserver.org/matter/dynamic-profile/view/1906136","19-1906136")</f>
        <v>0</v>
      </c>
      <c r="B1521" t="s">
        <v>214</v>
      </c>
      <c r="C1521" t="s">
        <v>837</v>
      </c>
      <c r="D1521" t="s">
        <v>2161</v>
      </c>
      <c r="E1521" t="s">
        <v>3749</v>
      </c>
      <c r="F1521" t="s">
        <v>5347</v>
      </c>
      <c r="G1521" t="s">
        <v>5637</v>
      </c>
      <c r="H1521">
        <v>11216</v>
      </c>
      <c r="I1521" t="s">
        <v>5695</v>
      </c>
      <c r="J1521" t="s">
        <v>5696</v>
      </c>
      <c r="K1521" t="s">
        <v>6503</v>
      </c>
      <c r="M1521" t="s">
        <v>6736</v>
      </c>
      <c r="O1521" t="s">
        <v>6745</v>
      </c>
      <c r="P1521" t="s">
        <v>5695</v>
      </c>
      <c r="R1521" t="s">
        <v>6793</v>
      </c>
      <c r="S1521" t="s">
        <v>6801</v>
      </c>
      <c r="T1521" t="s">
        <v>6820</v>
      </c>
      <c r="U1521">
        <v>1550</v>
      </c>
      <c r="V1521" t="s">
        <v>6835</v>
      </c>
      <c r="W1521" t="s">
        <v>6850</v>
      </c>
      <c r="Y1521" t="s">
        <v>7545</v>
      </c>
      <c r="Z1521" t="s">
        <v>5741</v>
      </c>
      <c r="AA1521" t="s">
        <v>9613</v>
      </c>
      <c r="AB1521">
        <v>82</v>
      </c>
      <c r="AC1521" t="s">
        <v>10929</v>
      </c>
      <c r="AD1521" t="s">
        <v>5741</v>
      </c>
      <c r="AE1521">
        <v>1</v>
      </c>
      <c r="AF1521">
        <v>2</v>
      </c>
      <c r="AG1521">
        <v>0</v>
      </c>
      <c r="AH1521">
        <v>236.55</v>
      </c>
      <c r="AJ1521" t="s">
        <v>10963</v>
      </c>
      <c r="AK1521" t="s">
        <v>10966</v>
      </c>
      <c r="AL1521">
        <v>40000</v>
      </c>
      <c r="AR1521">
        <v>0</v>
      </c>
      <c r="AT1521" t="s">
        <v>69</v>
      </c>
      <c r="AU1521" t="s">
        <v>11228</v>
      </c>
      <c r="AV1521" t="s">
        <v>11231</v>
      </c>
      <c r="AW1521" t="s">
        <v>6820</v>
      </c>
    </row>
    <row r="1522" spans="1:49">
      <c r="A1522" s="1">
        <f>HYPERLINK("https://lsnyc.legalserver.org/matter/dynamic-profile/view/1901742","19-1901742")</f>
        <v>0</v>
      </c>
      <c r="B1522" t="s">
        <v>202</v>
      </c>
      <c r="C1522" t="s">
        <v>1294</v>
      </c>
      <c r="D1522" t="s">
        <v>1697</v>
      </c>
      <c r="E1522" t="s">
        <v>4458</v>
      </c>
      <c r="F1522" t="s">
        <v>5144</v>
      </c>
      <c r="G1522" t="s">
        <v>5635</v>
      </c>
      <c r="H1522">
        <v>10467</v>
      </c>
      <c r="I1522" t="s">
        <v>5696</v>
      </c>
      <c r="J1522" t="s">
        <v>5696</v>
      </c>
      <c r="M1522" t="s">
        <v>6736</v>
      </c>
      <c r="O1522" t="s">
        <v>6763</v>
      </c>
      <c r="R1522" t="s">
        <v>6793</v>
      </c>
      <c r="U1522">
        <v>0</v>
      </c>
      <c r="V1522" t="s">
        <v>6833</v>
      </c>
      <c r="Y1522" t="s">
        <v>8285</v>
      </c>
      <c r="AA1522" t="s">
        <v>10320</v>
      </c>
      <c r="AB1522">
        <v>73</v>
      </c>
      <c r="AE1522">
        <v>0</v>
      </c>
      <c r="AF1522">
        <v>4</v>
      </c>
      <c r="AG1522">
        <v>0</v>
      </c>
      <c r="AH1522">
        <v>0</v>
      </c>
      <c r="AK1522" t="s">
        <v>10967</v>
      </c>
      <c r="AL1522">
        <v>0</v>
      </c>
      <c r="AR1522">
        <v>2.5</v>
      </c>
      <c r="AS1522" t="s">
        <v>6813</v>
      </c>
      <c r="AT1522" t="s">
        <v>219</v>
      </c>
      <c r="AV1522" t="s">
        <v>11231</v>
      </c>
      <c r="AW1522" t="s">
        <v>11120</v>
      </c>
    </row>
    <row r="1523" spans="1:49">
      <c r="A1523" s="1">
        <f>HYPERLINK("https://lsnyc.legalserver.org/matter/dynamic-profile/view/1898462","19-1898462")</f>
        <v>0</v>
      </c>
      <c r="B1523" t="s">
        <v>199</v>
      </c>
      <c r="C1523" t="s">
        <v>1295</v>
      </c>
      <c r="D1523" t="s">
        <v>2653</v>
      </c>
      <c r="E1523" t="s">
        <v>4163</v>
      </c>
      <c r="F1523" t="s">
        <v>5525</v>
      </c>
      <c r="G1523" t="s">
        <v>5635</v>
      </c>
      <c r="H1523">
        <v>10467</v>
      </c>
      <c r="I1523" t="s">
        <v>5695</v>
      </c>
      <c r="J1523" t="s">
        <v>5696</v>
      </c>
      <c r="K1523" t="s">
        <v>6504</v>
      </c>
      <c r="M1523" t="s">
        <v>6736</v>
      </c>
      <c r="O1523" t="s">
        <v>6753</v>
      </c>
      <c r="R1523" t="s">
        <v>6793</v>
      </c>
      <c r="U1523">
        <v>1230</v>
      </c>
      <c r="V1523" t="s">
        <v>6833</v>
      </c>
      <c r="W1523" t="s">
        <v>6848</v>
      </c>
      <c r="Y1523" t="s">
        <v>8286</v>
      </c>
      <c r="AA1523" t="s">
        <v>10321</v>
      </c>
      <c r="AB1523">
        <v>0</v>
      </c>
      <c r="AD1523" t="s">
        <v>5741</v>
      </c>
      <c r="AE1523">
        <v>4</v>
      </c>
      <c r="AF1523">
        <v>1</v>
      </c>
      <c r="AG1523">
        <v>0</v>
      </c>
      <c r="AH1523">
        <v>296.43</v>
      </c>
      <c r="AK1523" t="s">
        <v>10966</v>
      </c>
      <c r="AL1523">
        <v>37024</v>
      </c>
      <c r="AM1523" t="s">
        <v>11073</v>
      </c>
      <c r="AR1523">
        <v>29</v>
      </c>
      <c r="AS1523" t="s">
        <v>6825</v>
      </c>
      <c r="AT1523" t="s">
        <v>11203</v>
      </c>
      <c r="AU1523" t="s">
        <v>11228</v>
      </c>
      <c r="AV1523" t="s">
        <v>11231</v>
      </c>
      <c r="AW1523" t="s">
        <v>11141</v>
      </c>
    </row>
    <row r="1524" spans="1:49">
      <c r="A1524" s="1">
        <f>HYPERLINK("https://lsnyc.legalserver.org/matter/dynamic-profile/view/1905391","19-1905391")</f>
        <v>0</v>
      </c>
      <c r="B1524" t="s">
        <v>103</v>
      </c>
      <c r="C1524" t="s">
        <v>706</v>
      </c>
      <c r="D1524" t="s">
        <v>2654</v>
      </c>
      <c r="E1524" t="s">
        <v>4459</v>
      </c>
      <c r="F1524" t="s">
        <v>5158</v>
      </c>
      <c r="G1524" t="s">
        <v>5635</v>
      </c>
      <c r="H1524">
        <v>10467</v>
      </c>
      <c r="I1524" t="s">
        <v>5695</v>
      </c>
      <c r="J1524" t="s">
        <v>5696</v>
      </c>
      <c r="M1524" t="s">
        <v>6736</v>
      </c>
      <c r="O1524" t="s">
        <v>6747</v>
      </c>
      <c r="P1524" t="s">
        <v>5697</v>
      </c>
      <c r="R1524" t="s">
        <v>6793</v>
      </c>
      <c r="U1524">
        <v>1625</v>
      </c>
      <c r="V1524" t="s">
        <v>6833</v>
      </c>
      <c r="W1524" t="s">
        <v>6841</v>
      </c>
      <c r="Y1524" t="s">
        <v>8287</v>
      </c>
      <c r="AA1524" t="s">
        <v>10322</v>
      </c>
      <c r="AB1524">
        <v>60</v>
      </c>
      <c r="AC1524" t="s">
        <v>8953</v>
      </c>
      <c r="AD1524" t="s">
        <v>5741</v>
      </c>
      <c r="AE1524">
        <v>1</v>
      </c>
      <c r="AF1524">
        <v>1</v>
      </c>
      <c r="AG1524">
        <v>2</v>
      </c>
      <c r="AH1524">
        <v>60.95</v>
      </c>
      <c r="AK1524" t="s">
        <v>10966</v>
      </c>
      <c r="AL1524">
        <v>13000</v>
      </c>
      <c r="AR1524">
        <v>0.5</v>
      </c>
      <c r="AS1524" t="s">
        <v>6822</v>
      </c>
      <c r="AT1524" t="s">
        <v>11187</v>
      </c>
      <c r="AU1524" t="s">
        <v>11228</v>
      </c>
      <c r="AV1524" t="s">
        <v>11231</v>
      </c>
      <c r="AW1524" t="s">
        <v>6822</v>
      </c>
    </row>
    <row r="1525" spans="1:49">
      <c r="A1525" s="1">
        <f>HYPERLINK("https://lsnyc.legalserver.org/matter/dynamic-profile/view/1896606","19-1896606")</f>
        <v>0</v>
      </c>
      <c r="B1525" t="s">
        <v>156</v>
      </c>
      <c r="C1525" t="s">
        <v>880</v>
      </c>
      <c r="D1525" t="s">
        <v>2655</v>
      </c>
      <c r="E1525" t="s">
        <v>4460</v>
      </c>
      <c r="F1525" t="s">
        <v>5304</v>
      </c>
      <c r="G1525" t="s">
        <v>5664</v>
      </c>
      <c r="H1525">
        <v>11369</v>
      </c>
      <c r="I1525" t="s">
        <v>5696</v>
      </c>
      <c r="J1525" t="s">
        <v>5696</v>
      </c>
      <c r="M1525" t="s">
        <v>6736</v>
      </c>
      <c r="O1525" t="s">
        <v>6781</v>
      </c>
      <c r="R1525" t="s">
        <v>6793</v>
      </c>
      <c r="U1525">
        <v>0</v>
      </c>
      <c r="V1525" t="s">
        <v>6837</v>
      </c>
      <c r="Y1525" t="s">
        <v>6898</v>
      </c>
      <c r="AA1525" t="s">
        <v>10323</v>
      </c>
      <c r="AB1525">
        <v>0</v>
      </c>
      <c r="AE1525">
        <v>0</v>
      </c>
      <c r="AF1525">
        <v>1</v>
      </c>
      <c r="AG1525">
        <v>0</v>
      </c>
      <c r="AH1525">
        <v>86.47</v>
      </c>
      <c r="AK1525" t="s">
        <v>10966</v>
      </c>
      <c r="AL1525">
        <v>10800</v>
      </c>
      <c r="AR1525">
        <v>33.4</v>
      </c>
      <c r="AS1525" t="s">
        <v>6821</v>
      </c>
      <c r="AT1525" t="s">
        <v>11205</v>
      </c>
      <c r="AV1525" t="s">
        <v>11231</v>
      </c>
      <c r="AW1525" t="s">
        <v>11122</v>
      </c>
    </row>
    <row r="1526" spans="1:49">
      <c r="A1526" s="1">
        <f>HYPERLINK("https://lsnyc.legalserver.org/matter/dynamic-profile/view/1898611","19-1898611")</f>
        <v>0</v>
      </c>
      <c r="B1526" t="s">
        <v>158</v>
      </c>
      <c r="C1526" t="s">
        <v>1296</v>
      </c>
      <c r="D1526" t="s">
        <v>1646</v>
      </c>
      <c r="E1526" t="s">
        <v>4461</v>
      </c>
      <c r="F1526" t="s">
        <v>5096</v>
      </c>
      <c r="G1526" t="s">
        <v>5637</v>
      </c>
      <c r="H1526">
        <v>11233</v>
      </c>
      <c r="I1526" t="s">
        <v>5696</v>
      </c>
      <c r="J1526" t="s">
        <v>5696</v>
      </c>
      <c r="M1526" t="s">
        <v>6736</v>
      </c>
      <c r="O1526" t="s">
        <v>6745</v>
      </c>
      <c r="R1526" t="s">
        <v>6793</v>
      </c>
      <c r="U1526">
        <v>1900</v>
      </c>
      <c r="V1526" t="s">
        <v>6835</v>
      </c>
      <c r="W1526" t="s">
        <v>6841</v>
      </c>
      <c r="Y1526" t="s">
        <v>8288</v>
      </c>
      <c r="AA1526" t="s">
        <v>10324</v>
      </c>
      <c r="AB1526">
        <v>0</v>
      </c>
      <c r="AC1526" t="s">
        <v>8953</v>
      </c>
      <c r="AD1526" t="s">
        <v>10948</v>
      </c>
      <c r="AE1526">
        <v>0</v>
      </c>
      <c r="AF1526">
        <v>2</v>
      </c>
      <c r="AG1526">
        <v>0</v>
      </c>
      <c r="AH1526">
        <v>57.34</v>
      </c>
      <c r="AK1526" t="s">
        <v>10966</v>
      </c>
      <c r="AL1526">
        <v>9696</v>
      </c>
      <c r="AR1526">
        <v>7.6</v>
      </c>
      <c r="AS1526" t="s">
        <v>6810</v>
      </c>
      <c r="AT1526" t="s">
        <v>11214</v>
      </c>
      <c r="AV1526" t="s">
        <v>11231</v>
      </c>
      <c r="AW1526" t="s">
        <v>11154</v>
      </c>
    </row>
    <row r="1527" spans="1:49">
      <c r="A1527" s="1">
        <f>HYPERLINK("https://lsnyc.legalserver.org/matter/dynamic-profile/view/1903727","19-1903727")</f>
        <v>0</v>
      </c>
      <c r="B1527" t="s">
        <v>199</v>
      </c>
      <c r="C1527" t="s">
        <v>1297</v>
      </c>
      <c r="D1527" t="s">
        <v>1676</v>
      </c>
      <c r="E1527" t="s">
        <v>4462</v>
      </c>
      <c r="F1527" t="s">
        <v>5217</v>
      </c>
      <c r="G1527" t="s">
        <v>5635</v>
      </c>
      <c r="H1527">
        <v>10453</v>
      </c>
      <c r="I1527" t="s">
        <v>5696</v>
      </c>
      <c r="J1527" t="s">
        <v>5696</v>
      </c>
      <c r="M1527" t="s">
        <v>6736</v>
      </c>
      <c r="O1527" t="s">
        <v>6747</v>
      </c>
      <c r="R1527" t="s">
        <v>6793</v>
      </c>
      <c r="U1527">
        <v>0</v>
      </c>
      <c r="V1527" t="s">
        <v>6833</v>
      </c>
      <c r="Y1527" t="s">
        <v>8289</v>
      </c>
      <c r="AA1527" t="s">
        <v>10325</v>
      </c>
      <c r="AB1527">
        <v>0</v>
      </c>
      <c r="AE1527">
        <v>0</v>
      </c>
      <c r="AF1527">
        <v>2</v>
      </c>
      <c r="AG1527">
        <v>0</v>
      </c>
      <c r="AH1527">
        <v>137.03</v>
      </c>
      <c r="AK1527" t="s">
        <v>10966</v>
      </c>
      <c r="AL1527">
        <v>23172</v>
      </c>
      <c r="AR1527">
        <v>9.800000000000001</v>
      </c>
      <c r="AS1527" t="s">
        <v>6821</v>
      </c>
      <c r="AT1527" t="s">
        <v>139</v>
      </c>
      <c r="AV1527" t="s">
        <v>11231</v>
      </c>
      <c r="AW1527" t="s">
        <v>6811</v>
      </c>
    </row>
    <row r="1528" spans="1:49">
      <c r="A1528" s="1">
        <f>HYPERLINK("https://lsnyc.legalserver.org/matter/dynamic-profile/view/1901592","19-1901592")</f>
        <v>0</v>
      </c>
      <c r="B1528" t="s">
        <v>199</v>
      </c>
      <c r="C1528" t="s">
        <v>557</v>
      </c>
      <c r="D1528" t="s">
        <v>2656</v>
      </c>
      <c r="E1528" t="s">
        <v>4463</v>
      </c>
      <c r="F1528" t="s">
        <v>5526</v>
      </c>
      <c r="G1528" t="s">
        <v>5635</v>
      </c>
      <c r="H1528">
        <v>10451</v>
      </c>
      <c r="I1528" t="s">
        <v>5697</v>
      </c>
      <c r="J1528" t="s">
        <v>5696</v>
      </c>
      <c r="M1528" t="s">
        <v>6736</v>
      </c>
      <c r="O1528" t="s">
        <v>6747</v>
      </c>
      <c r="R1528" t="s">
        <v>6793</v>
      </c>
      <c r="U1528">
        <v>0</v>
      </c>
      <c r="V1528" t="s">
        <v>6833</v>
      </c>
      <c r="Y1528" t="s">
        <v>8290</v>
      </c>
      <c r="AA1528" t="s">
        <v>10326</v>
      </c>
      <c r="AB1528">
        <v>0</v>
      </c>
      <c r="AE1528">
        <v>0</v>
      </c>
      <c r="AF1528">
        <v>2</v>
      </c>
      <c r="AG1528">
        <v>1</v>
      </c>
      <c r="AH1528">
        <v>0</v>
      </c>
      <c r="AK1528" t="s">
        <v>10967</v>
      </c>
      <c r="AL1528">
        <v>0</v>
      </c>
      <c r="AM1528" t="s">
        <v>11074</v>
      </c>
      <c r="AR1528">
        <v>31.2</v>
      </c>
      <c r="AS1528" t="s">
        <v>6827</v>
      </c>
      <c r="AT1528" t="s">
        <v>139</v>
      </c>
      <c r="AU1528" t="s">
        <v>5741</v>
      </c>
      <c r="AV1528" t="s">
        <v>11231</v>
      </c>
      <c r="AW1528" t="s">
        <v>11124</v>
      </c>
    </row>
    <row r="1529" spans="1:49">
      <c r="A1529" s="1">
        <f>HYPERLINK("https://lsnyc.legalserver.org/matter/dynamic-profile/view/1905030","19-1905030")</f>
        <v>0</v>
      </c>
      <c r="B1529" t="s">
        <v>242</v>
      </c>
      <c r="C1529" t="s">
        <v>1298</v>
      </c>
      <c r="D1529" t="s">
        <v>471</v>
      </c>
      <c r="E1529" t="s">
        <v>4464</v>
      </c>
      <c r="F1529">
        <v>11</v>
      </c>
      <c r="G1529" t="s">
        <v>5637</v>
      </c>
      <c r="H1529">
        <v>11225</v>
      </c>
      <c r="I1529" t="s">
        <v>5696</v>
      </c>
      <c r="J1529" t="s">
        <v>5696</v>
      </c>
      <c r="M1529" t="s">
        <v>6736</v>
      </c>
      <c r="O1529" t="s">
        <v>6755</v>
      </c>
      <c r="Q1529" t="s">
        <v>6755</v>
      </c>
      <c r="R1529" t="s">
        <v>6793</v>
      </c>
      <c r="U1529">
        <v>0</v>
      </c>
      <c r="V1529" t="s">
        <v>6835</v>
      </c>
      <c r="Y1529" t="s">
        <v>8291</v>
      </c>
      <c r="AA1529" t="s">
        <v>10327</v>
      </c>
      <c r="AB1529">
        <v>0</v>
      </c>
      <c r="AE1529">
        <v>0</v>
      </c>
      <c r="AF1529">
        <v>3</v>
      </c>
      <c r="AG1529">
        <v>0</v>
      </c>
      <c r="AH1529">
        <v>0</v>
      </c>
      <c r="AK1529" t="s">
        <v>10966</v>
      </c>
      <c r="AL1529">
        <v>0</v>
      </c>
      <c r="AR1529">
        <v>6.5</v>
      </c>
      <c r="AS1529" t="s">
        <v>6826</v>
      </c>
      <c r="AT1529" t="s">
        <v>280</v>
      </c>
      <c r="AV1529" t="s">
        <v>11231</v>
      </c>
      <c r="AW1529" t="s">
        <v>6814</v>
      </c>
    </row>
    <row r="1530" spans="1:49">
      <c r="A1530" s="1">
        <f>HYPERLINK("https://lsnyc.legalserver.org/matter/dynamic-profile/view/1895913","19-1895913")</f>
        <v>0</v>
      </c>
      <c r="B1530" t="s">
        <v>190</v>
      </c>
      <c r="C1530" t="s">
        <v>1299</v>
      </c>
      <c r="D1530" t="s">
        <v>2090</v>
      </c>
      <c r="E1530" t="s">
        <v>4465</v>
      </c>
      <c r="F1530" t="s">
        <v>5527</v>
      </c>
      <c r="G1530" t="s">
        <v>5635</v>
      </c>
      <c r="H1530">
        <v>10451</v>
      </c>
      <c r="I1530" t="s">
        <v>5695</v>
      </c>
      <c r="J1530" t="s">
        <v>5696</v>
      </c>
      <c r="M1530" t="s">
        <v>6736</v>
      </c>
      <c r="O1530" t="s">
        <v>6747</v>
      </c>
      <c r="R1530" t="s">
        <v>6796</v>
      </c>
      <c r="U1530">
        <v>0</v>
      </c>
      <c r="V1530" t="s">
        <v>6833</v>
      </c>
      <c r="Y1530" t="s">
        <v>8292</v>
      </c>
      <c r="AA1530" t="s">
        <v>10328</v>
      </c>
      <c r="AB1530">
        <v>0</v>
      </c>
      <c r="AC1530" t="s">
        <v>10931</v>
      </c>
      <c r="AE1530">
        <v>0</v>
      </c>
      <c r="AF1530">
        <v>1</v>
      </c>
      <c r="AG1530">
        <v>3</v>
      </c>
      <c r="AH1530">
        <v>125.83</v>
      </c>
      <c r="AL1530">
        <v>32400</v>
      </c>
      <c r="AR1530">
        <v>3</v>
      </c>
      <c r="AS1530" t="s">
        <v>11126</v>
      </c>
      <c r="AT1530" t="s">
        <v>11217</v>
      </c>
      <c r="AU1530" t="s">
        <v>11228</v>
      </c>
      <c r="AV1530" t="s">
        <v>11231</v>
      </c>
      <c r="AW1530" t="s">
        <v>11170</v>
      </c>
    </row>
    <row r="1531" spans="1:49">
      <c r="A1531" s="1">
        <f>HYPERLINK("https://lsnyc.legalserver.org/matter/dynamic-profile/view/1900532","19-1900532")</f>
        <v>0</v>
      </c>
      <c r="B1531" t="s">
        <v>255</v>
      </c>
      <c r="C1531" t="s">
        <v>1300</v>
      </c>
      <c r="D1531" t="s">
        <v>2657</v>
      </c>
      <c r="E1531" t="s">
        <v>4466</v>
      </c>
      <c r="F1531" t="s">
        <v>5528</v>
      </c>
      <c r="G1531" t="s">
        <v>5637</v>
      </c>
      <c r="H1531">
        <v>11226</v>
      </c>
      <c r="I1531" t="s">
        <v>5696</v>
      </c>
      <c r="J1531" t="s">
        <v>5696</v>
      </c>
      <c r="M1531" t="s">
        <v>6736</v>
      </c>
      <c r="O1531" t="s">
        <v>6755</v>
      </c>
      <c r="R1531" t="s">
        <v>6793</v>
      </c>
      <c r="U1531">
        <v>1413</v>
      </c>
      <c r="V1531" t="s">
        <v>6835</v>
      </c>
      <c r="Y1531" t="s">
        <v>8293</v>
      </c>
      <c r="AA1531" t="s">
        <v>10329</v>
      </c>
      <c r="AB1531">
        <v>0</v>
      </c>
      <c r="AE1531">
        <v>18</v>
      </c>
      <c r="AF1531">
        <v>1</v>
      </c>
      <c r="AG1531">
        <v>3</v>
      </c>
      <c r="AH1531">
        <v>55.47</v>
      </c>
      <c r="AK1531" t="s">
        <v>10966</v>
      </c>
      <c r="AL1531">
        <v>14284</v>
      </c>
      <c r="AR1531">
        <v>3.1</v>
      </c>
      <c r="AS1531" t="s">
        <v>6825</v>
      </c>
      <c r="AT1531" t="s">
        <v>95</v>
      </c>
      <c r="AV1531" t="s">
        <v>11231</v>
      </c>
      <c r="AW1531" t="s">
        <v>6895</v>
      </c>
    </row>
    <row r="1532" spans="1:49">
      <c r="A1532" s="1">
        <f>HYPERLINK("https://lsnyc.legalserver.org/matter/dynamic-profile/view/1896162","19-1896162")</f>
        <v>0</v>
      </c>
      <c r="B1532" t="s">
        <v>206</v>
      </c>
      <c r="C1532" t="s">
        <v>366</v>
      </c>
      <c r="D1532" t="s">
        <v>1746</v>
      </c>
      <c r="E1532" t="s">
        <v>4467</v>
      </c>
      <c r="G1532" t="s">
        <v>5638</v>
      </c>
      <c r="H1532">
        <v>10025</v>
      </c>
      <c r="I1532" t="s">
        <v>5696</v>
      </c>
      <c r="J1532" t="s">
        <v>5696</v>
      </c>
      <c r="M1532" t="s">
        <v>6736</v>
      </c>
      <c r="O1532" t="s">
        <v>6749</v>
      </c>
      <c r="P1532" t="s">
        <v>5697</v>
      </c>
      <c r="R1532" t="s">
        <v>6793</v>
      </c>
      <c r="U1532">
        <v>950</v>
      </c>
      <c r="V1532" t="s">
        <v>6836</v>
      </c>
      <c r="Y1532" t="s">
        <v>8294</v>
      </c>
      <c r="AA1532" t="s">
        <v>10330</v>
      </c>
      <c r="AB1532">
        <v>0</v>
      </c>
      <c r="AC1532" t="s">
        <v>10935</v>
      </c>
      <c r="AE1532">
        <v>25</v>
      </c>
      <c r="AF1532">
        <v>1</v>
      </c>
      <c r="AG1532">
        <v>0</v>
      </c>
      <c r="AH1532">
        <v>208.17</v>
      </c>
      <c r="AK1532" t="s">
        <v>10966</v>
      </c>
      <c r="AL1532">
        <v>26000</v>
      </c>
      <c r="AR1532">
        <v>1.8</v>
      </c>
      <c r="AS1532" t="s">
        <v>6811</v>
      </c>
      <c r="AT1532" t="s">
        <v>301</v>
      </c>
      <c r="AV1532" t="s">
        <v>11231</v>
      </c>
      <c r="AW1532" t="s">
        <v>11167</v>
      </c>
    </row>
    <row r="1533" spans="1:49">
      <c r="A1533" s="1">
        <f>HYPERLINK("https://lsnyc.legalserver.org/matter/dynamic-profile/view/1903981","19-1903981")</f>
        <v>0</v>
      </c>
      <c r="B1533" t="s">
        <v>245</v>
      </c>
      <c r="C1533" t="s">
        <v>790</v>
      </c>
      <c r="D1533" t="s">
        <v>1873</v>
      </c>
      <c r="E1533" t="s">
        <v>4300</v>
      </c>
      <c r="F1533">
        <v>302</v>
      </c>
      <c r="G1533" t="s">
        <v>5638</v>
      </c>
      <c r="H1533">
        <v>10027</v>
      </c>
      <c r="I1533" t="s">
        <v>5695</v>
      </c>
      <c r="J1533" t="s">
        <v>5696</v>
      </c>
      <c r="K1533" t="s">
        <v>6505</v>
      </c>
      <c r="M1533" t="s">
        <v>6736</v>
      </c>
      <c r="O1533" t="s">
        <v>6749</v>
      </c>
      <c r="P1533" t="s">
        <v>5697</v>
      </c>
      <c r="R1533" t="s">
        <v>6796</v>
      </c>
      <c r="S1533" t="s">
        <v>6801</v>
      </c>
      <c r="U1533">
        <v>1100</v>
      </c>
      <c r="V1533" t="s">
        <v>6836</v>
      </c>
      <c r="W1533" t="s">
        <v>6839</v>
      </c>
      <c r="Y1533" t="s">
        <v>8295</v>
      </c>
      <c r="AA1533" t="s">
        <v>10331</v>
      </c>
      <c r="AB1533">
        <v>0</v>
      </c>
      <c r="AC1533" t="s">
        <v>10929</v>
      </c>
      <c r="AD1533" t="s">
        <v>5741</v>
      </c>
      <c r="AE1533">
        <v>7</v>
      </c>
      <c r="AF1533">
        <v>2</v>
      </c>
      <c r="AG1533">
        <v>1</v>
      </c>
      <c r="AH1533">
        <v>148.22</v>
      </c>
      <c r="AK1533" t="s">
        <v>10966</v>
      </c>
      <c r="AL1533">
        <v>31616.04</v>
      </c>
      <c r="AR1533">
        <v>0</v>
      </c>
      <c r="AT1533" t="s">
        <v>305</v>
      </c>
      <c r="AV1533" t="s">
        <v>11231</v>
      </c>
      <c r="AW1533" t="s">
        <v>6825</v>
      </c>
    </row>
    <row r="1534" spans="1:49">
      <c r="A1534" s="1">
        <f>HYPERLINK("https://lsnyc.legalserver.org/matter/dynamic-profile/view/1905559","19-1905559")</f>
        <v>0</v>
      </c>
      <c r="B1534" t="s">
        <v>222</v>
      </c>
      <c r="C1534" t="s">
        <v>439</v>
      </c>
      <c r="D1534" t="s">
        <v>2658</v>
      </c>
      <c r="E1534" t="s">
        <v>4468</v>
      </c>
      <c r="F1534" t="s">
        <v>5328</v>
      </c>
      <c r="G1534" t="s">
        <v>5635</v>
      </c>
      <c r="H1534">
        <v>10453</v>
      </c>
      <c r="I1534" t="s">
        <v>5696</v>
      </c>
      <c r="J1534" t="s">
        <v>5696</v>
      </c>
      <c r="K1534" t="s">
        <v>6506</v>
      </c>
      <c r="M1534" t="s">
        <v>6736</v>
      </c>
      <c r="O1534" t="s">
        <v>6745</v>
      </c>
      <c r="R1534" t="s">
        <v>6793</v>
      </c>
      <c r="S1534" t="s">
        <v>6801</v>
      </c>
      <c r="U1534">
        <v>0</v>
      </c>
      <c r="V1534" t="s">
        <v>6833</v>
      </c>
      <c r="Y1534" t="s">
        <v>8296</v>
      </c>
      <c r="AA1534" t="s">
        <v>10332</v>
      </c>
      <c r="AB1534">
        <v>0</v>
      </c>
      <c r="AE1534">
        <v>0</v>
      </c>
      <c r="AF1534">
        <v>4</v>
      </c>
      <c r="AG1534">
        <v>0</v>
      </c>
      <c r="AH1534">
        <v>0</v>
      </c>
      <c r="AK1534" t="s">
        <v>10967</v>
      </c>
      <c r="AL1534">
        <v>0</v>
      </c>
      <c r="AR1534">
        <v>0</v>
      </c>
      <c r="AT1534" t="s">
        <v>222</v>
      </c>
      <c r="AV1534" t="s">
        <v>11231</v>
      </c>
      <c r="AW1534" t="s">
        <v>6819</v>
      </c>
    </row>
    <row r="1535" spans="1:49">
      <c r="A1535" s="1">
        <f>HYPERLINK("https://lsnyc.legalserver.org/matter/dynamic-profile/view/1902873","19-1902873")</f>
        <v>0</v>
      </c>
      <c r="B1535" t="s">
        <v>198</v>
      </c>
      <c r="C1535" t="s">
        <v>1301</v>
      </c>
      <c r="D1535" t="s">
        <v>2659</v>
      </c>
      <c r="E1535" t="s">
        <v>4469</v>
      </c>
      <c r="F1535" t="s">
        <v>5187</v>
      </c>
      <c r="G1535" t="s">
        <v>5635</v>
      </c>
      <c r="H1535">
        <v>10474</v>
      </c>
      <c r="I1535" t="s">
        <v>5696</v>
      </c>
      <c r="J1535" t="s">
        <v>5696</v>
      </c>
      <c r="M1535" t="s">
        <v>6736</v>
      </c>
      <c r="O1535" t="s">
        <v>6747</v>
      </c>
      <c r="R1535" t="s">
        <v>6793</v>
      </c>
      <c r="U1535">
        <v>785</v>
      </c>
      <c r="V1535" t="s">
        <v>6833</v>
      </c>
      <c r="W1535" t="s">
        <v>6843</v>
      </c>
      <c r="Y1535" t="s">
        <v>8297</v>
      </c>
      <c r="AA1535" t="s">
        <v>10333</v>
      </c>
      <c r="AB1535">
        <v>0</v>
      </c>
      <c r="AC1535" t="s">
        <v>10929</v>
      </c>
      <c r="AE1535">
        <v>4</v>
      </c>
      <c r="AF1535">
        <v>1</v>
      </c>
      <c r="AG1535">
        <v>0</v>
      </c>
      <c r="AH1535">
        <v>17.58</v>
      </c>
      <c r="AK1535" t="s">
        <v>10966</v>
      </c>
      <c r="AL1535">
        <v>2196</v>
      </c>
      <c r="AR1535">
        <v>0</v>
      </c>
      <c r="AT1535" t="s">
        <v>11217</v>
      </c>
      <c r="AV1535" t="s">
        <v>11231</v>
      </c>
      <c r="AW1535" t="s">
        <v>11131</v>
      </c>
    </row>
    <row r="1536" spans="1:49">
      <c r="A1536" s="1">
        <f>HYPERLINK("https://lsnyc.legalserver.org/matter/dynamic-profile/view/1904493","19-1904493")</f>
        <v>0</v>
      </c>
      <c r="B1536" t="s">
        <v>223</v>
      </c>
      <c r="C1536" t="s">
        <v>707</v>
      </c>
      <c r="D1536" t="s">
        <v>2660</v>
      </c>
      <c r="E1536" t="s">
        <v>4470</v>
      </c>
      <c r="F1536" t="s">
        <v>5529</v>
      </c>
      <c r="G1536" t="s">
        <v>5638</v>
      </c>
      <c r="H1536">
        <v>10033</v>
      </c>
      <c r="I1536" t="s">
        <v>5695</v>
      </c>
      <c r="J1536" t="s">
        <v>5696</v>
      </c>
      <c r="M1536" t="s">
        <v>6736</v>
      </c>
      <c r="O1536" t="s">
        <v>6745</v>
      </c>
      <c r="P1536" t="s">
        <v>5697</v>
      </c>
      <c r="R1536" t="s">
        <v>6793</v>
      </c>
      <c r="T1536" t="s">
        <v>6810</v>
      </c>
      <c r="U1536">
        <v>1213</v>
      </c>
      <c r="V1536" t="s">
        <v>6836</v>
      </c>
      <c r="W1536" t="s">
        <v>6843</v>
      </c>
      <c r="Y1536" t="s">
        <v>8298</v>
      </c>
      <c r="AA1536" t="s">
        <v>10334</v>
      </c>
      <c r="AB1536">
        <v>24</v>
      </c>
      <c r="AD1536" t="s">
        <v>10947</v>
      </c>
      <c r="AE1536">
        <v>4</v>
      </c>
      <c r="AF1536">
        <v>1</v>
      </c>
      <c r="AG1536">
        <v>0</v>
      </c>
      <c r="AH1536">
        <v>39.41</v>
      </c>
      <c r="AK1536" t="s">
        <v>10966</v>
      </c>
      <c r="AL1536">
        <v>4922</v>
      </c>
      <c r="AR1536">
        <v>3.9</v>
      </c>
      <c r="AS1536" t="s">
        <v>6826</v>
      </c>
      <c r="AT1536" t="s">
        <v>11201</v>
      </c>
      <c r="AU1536" t="s">
        <v>11228</v>
      </c>
      <c r="AV1536" t="s">
        <v>11231</v>
      </c>
      <c r="AW1536" t="s">
        <v>6810</v>
      </c>
    </row>
    <row r="1537" spans="1:49">
      <c r="A1537" s="1">
        <f>HYPERLINK("https://lsnyc.legalserver.org/matter/dynamic-profile/view/1901337","19-1901337")</f>
        <v>0</v>
      </c>
      <c r="B1537" t="s">
        <v>129</v>
      </c>
      <c r="C1537" t="s">
        <v>420</v>
      </c>
      <c r="D1537" t="s">
        <v>2661</v>
      </c>
      <c r="E1537" t="s">
        <v>4471</v>
      </c>
      <c r="F1537" t="s">
        <v>5360</v>
      </c>
      <c r="G1537" t="s">
        <v>5637</v>
      </c>
      <c r="H1537">
        <v>11220</v>
      </c>
      <c r="I1537" t="s">
        <v>5696</v>
      </c>
      <c r="J1537" t="s">
        <v>5696</v>
      </c>
      <c r="M1537" t="s">
        <v>6736</v>
      </c>
      <c r="O1537" t="s">
        <v>6746</v>
      </c>
      <c r="R1537" t="s">
        <v>6793</v>
      </c>
      <c r="U1537">
        <v>1344</v>
      </c>
      <c r="V1537" t="s">
        <v>6835</v>
      </c>
      <c r="W1537" t="s">
        <v>6843</v>
      </c>
      <c r="Y1537" t="s">
        <v>8299</v>
      </c>
      <c r="Z1537" t="s">
        <v>9057</v>
      </c>
      <c r="AA1537" t="s">
        <v>10335</v>
      </c>
      <c r="AB1537">
        <v>6</v>
      </c>
      <c r="AC1537" t="s">
        <v>10929</v>
      </c>
      <c r="AD1537" t="s">
        <v>10944</v>
      </c>
      <c r="AE1537">
        <v>9</v>
      </c>
      <c r="AF1537">
        <v>1</v>
      </c>
      <c r="AG1537">
        <v>0</v>
      </c>
      <c r="AH1537">
        <v>81.86</v>
      </c>
      <c r="AK1537" t="s">
        <v>10966</v>
      </c>
      <c r="AL1537">
        <v>10224</v>
      </c>
      <c r="AR1537">
        <v>9.699999999999999</v>
      </c>
      <c r="AS1537" t="s">
        <v>6815</v>
      </c>
      <c r="AT1537" t="s">
        <v>11178</v>
      </c>
      <c r="AV1537" t="s">
        <v>11231</v>
      </c>
      <c r="AW1537" t="s">
        <v>11148</v>
      </c>
    </row>
    <row r="1538" spans="1:49">
      <c r="A1538" s="1">
        <f>HYPERLINK("https://lsnyc.legalserver.org/matter/dynamic-profile/view/1899175","19-1899175")</f>
        <v>0</v>
      </c>
      <c r="B1538" t="s">
        <v>98</v>
      </c>
      <c r="C1538" t="s">
        <v>1302</v>
      </c>
      <c r="D1538" t="s">
        <v>2662</v>
      </c>
      <c r="E1538" t="s">
        <v>4472</v>
      </c>
      <c r="F1538">
        <v>55</v>
      </c>
      <c r="G1538" t="s">
        <v>5638</v>
      </c>
      <c r="H1538">
        <v>10040</v>
      </c>
      <c r="I1538" t="s">
        <v>5696</v>
      </c>
      <c r="J1538" t="s">
        <v>5696</v>
      </c>
      <c r="M1538" t="s">
        <v>6736</v>
      </c>
      <c r="O1538" t="s">
        <v>6759</v>
      </c>
      <c r="R1538" t="s">
        <v>6793</v>
      </c>
      <c r="U1538">
        <v>1325</v>
      </c>
      <c r="V1538" t="s">
        <v>6836</v>
      </c>
      <c r="W1538" t="s">
        <v>6843</v>
      </c>
      <c r="Y1538" t="s">
        <v>8300</v>
      </c>
      <c r="AA1538" t="s">
        <v>10336</v>
      </c>
      <c r="AB1538">
        <v>0</v>
      </c>
      <c r="AC1538" t="s">
        <v>10929</v>
      </c>
      <c r="AD1538" t="s">
        <v>5741</v>
      </c>
      <c r="AE1538">
        <v>4</v>
      </c>
      <c r="AF1538">
        <v>1</v>
      </c>
      <c r="AG1538">
        <v>2</v>
      </c>
      <c r="AH1538">
        <v>117.21</v>
      </c>
      <c r="AK1538" t="s">
        <v>10967</v>
      </c>
      <c r="AL1538">
        <v>25000</v>
      </c>
      <c r="AR1538">
        <v>68.59999999999999</v>
      </c>
      <c r="AS1538" t="s">
        <v>6822</v>
      </c>
      <c r="AT1538" t="s">
        <v>305</v>
      </c>
      <c r="AV1538" t="s">
        <v>11231</v>
      </c>
      <c r="AW1538" t="s">
        <v>11134</v>
      </c>
    </row>
    <row r="1539" spans="1:49">
      <c r="A1539" s="1">
        <f>HYPERLINK("https://lsnyc.legalserver.org/matter/dynamic-profile/view/1897086","19-1897086")</f>
        <v>0</v>
      </c>
      <c r="B1539" t="s">
        <v>78</v>
      </c>
      <c r="C1539" t="s">
        <v>643</v>
      </c>
      <c r="D1539" t="s">
        <v>1985</v>
      </c>
      <c r="E1539" t="s">
        <v>4473</v>
      </c>
      <c r="F1539" t="s">
        <v>5287</v>
      </c>
      <c r="G1539" t="s">
        <v>5638</v>
      </c>
      <c r="H1539">
        <v>10025</v>
      </c>
      <c r="I1539" t="s">
        <v>5695</v>
      </c>
      <c r="J1539" t="s">
        <v>5695</v>
      </c>
      <c r="M1539" t="s">
        <v>6736</v>
      </c>
      <c r="O1539" t="s">
        <v>6749</v>
      </c>
      <c r="P1539" t="s">
        <v>5697</v>
      </c>
      <c r="R1539" t="s">
        <v>6794</v>
      </c>
      <c r="U1539">
        <v>621</v>
      </c>
      <c r="V1539" t="s">
        <v>6836</v>
      </c>
      <c r="Y1539" t="s">
        <v>8301</v>
      </c>
      <c r="AA1539" t="s">
        <v>10337</v>
      </c>
      <c r="AB1539">
        <v>0</v>
      </c>
      <c r="AC1539" t="s">
        <v>10931</v>
      </c>
      <c r="AE1539">
        <v>13</v>
      </c>
      <c r="AF1539">
        <v>3</v>
      </c>
      <c r="AG1539">
        <v>0</v>
      </c>
      <c r="AH1539">
        <v>42.66</v>
      </c>
      <c r="AL1539">
        <v>9100</v>
      </c>
      <c r="AR1539">
        <v>33</v>
      </c>
      <c r="AS1539" t="s">
        <v>6824</v>
      </c>
      <c r="AT1539" t="s">
        <v>229</v>
      </c>
      <c r="AV1539" t="s">
        <v>11231</v>
      </c>
      <c r="AW1539" t="s">
        <v>11121</v>
      </c>
    </row>
    <row r="1540" spans="1:49">
      <c r="A1540" s="1">
        <f>HYPERLINK("https://lsnyc.legalserver.org/matter/dynamic-profile/view/1905107","19-1905107")</f>
        <v>0</v>
      </c>
      <c r="B1540" t="s">
        <v>59</v>
      </c>
      <c r="C1540" t="s">
        <v>1303</v>
      </c>
      <c r="D1540" t="s">
        <v>2663</v>
      </c>
      <c r="E1540" t="s">
        <v>4474</v>
      </c>
      <c r="F1540" t="s">
        <v>5109</v>
      </c>
      <c r="G1540" t="s">
        <v>5676</v>
      </c>
      <c r="H1540">
        <v>11385</v>
      </c>
      <c r="I1540" t="s">
        <v>5697</v>
      </c>
      <c r="J1540" t="s">
        <v>5696</v>
      </c>
      <c r="K1540" t="s">
        <v>6507</v>
      </c>
      <c r="M1540" t="s">
        <v>6736</v>
      </c>
      <c r="O1540" t="s">
        <v>6752</v>
      </c>
      <c r="P1540" t="s">
        <v>5695</v>
      </c>
      <c r="R1540" t="s">
        <v>6793</v>
      </c>
      <c r="T1540" t="s">
        <v>6814</v>
      </c>
      <c r="U1540">
        <v>1365</v>
      </c>
      <c r="V1540" t="s">
        <v>6837</v>
      </c>
      <c r="W1540" t="s">
        <v>6839</v>
      </c>
      <c r="Y1540" t="s">
        <v>8302</v>
      </c>
      <c r="AB1540">
        <v>6</v>
      </c>
      <c r="AC1540" t="s">
        <v>10929</v>
      </c>
      <c r="AD1540" t="s">
        <v>10945</v>
      </c>
      <c r="AE1540">
        <v>10</v>
      </c>
      <c r="AF1540">
        <v>1</v>
      </c>
      <c r="AG1540">
        <v>0</v>
      </c>
      <c r="AH1540">
        <v>0</v>
      </c>
      <c r="AK1540" t="s">
        <v>10966</v>
      </c>
      <c r="AL1540">
        <v>0</v>
      </c>
      <c r="AR1540">
        <v>5</v>
      </c>
      <c r="AS1540" t="s">
        <v>6821</v>
      </c>
      <c r="AT1540" t="s">
        <v>11184</v>
      </c>
      <c r="AU1540" t="s">
        <v>11228</v>
      </c>
      <c r="AV1540" t="s">
        <v>11231</v>
      </c>
      <c r="AW1540" t="s">
        <v>6814</v>
      </c>
    </row>
    <row r="1541" spans="1:49">
      <c r="A1541" s="1">
        <f>HYPERLINK("https://lsnyc.legalserver.org/matter/dynamic-profile/view/1903511","19-1903511")</f>
        <v>0</v>
      </c>
      <c r="B1541" t="s">
        <v>278</v>
      </c>
      <c r="C1541" t="s">
        <v>1304</v>
      </c>
      <c r="D1541" t="s">
        <v>2664</v>
      </c>
      <c r="E1541" t="s">
        <v>4475</v>
      </c>
      <c r="F1541" t="s">
        <v>5162</v>
      </c>
      <c r="G1541" t="s">
        <v>5637</v>
      </c>
      <c r="H1541">
        <v>11230</v>
      </c>
      <c r="I1541" t="s">
        <v>5696</v>
      </c>
      <c r="J1541" t="s">
        <v>5696</v>
      </c>
      <c r="L1541" t="s">
        <v>6729</v>
      </c>
      <c r="O1541" t="s">
        <v>6753</v>
      </c>
      <c r="P1541" t="s">
        <v>5697</v>
      </c>
      <c r="R1541" t="s">
        <v>6795</v>
      </c>
      <c r="U1541">
        <v>1350</v>
      </c>
      <c r="V1541" t="s">
        <v>6835</v>
      </c>
      <c r="Y1541" t="s">
        <v>8303</v>
      </c>
      <c r="AA1541" t="s">
        <v>10338</v>
      </c>
      <c r="AB1541">
        <v>41</v>
      </c>
      <c r="AE1541">
        <v>9</v>
      </c>
      <c r="AF1541">
        <v>2</v>
      </c>
      <c r="AG1541">
        <v>1</v>
      </c>
      <c r="AH1541">
        <v>248.48</v>
      </c>
      <c r="AK1541" t="s">
        <v>10966</v>
      </c>
      <c r="AL1541">
        <v>53000</v>
      </c>
      <c r="AR1541">
        <v>1</v>
      </c>
      <c r="AS1541" t="s">
        <v>11147</v>
      </c>
      <c r="AT1541" t="s">
        <v>11185</v>
      </c>
      <c r="AV1541" t="s">
        <v>11231</v>
      </c>
      <c r="AW1541" t="s">
        <v>11147</v>
      </c>
    </row>
    <row r="1542" spans="1:49">
      <c r="A1542" s="1">
        <f>HYPERLINK("https://lsnyc.legalserver.org/matter/dynamic-profile/view/1903667","19-1903667")</f>
        <v>0</v>
      </c>
      <c r="B1542" t="s">
        <v>60</v>
      </c>
      <c r="C1542" t="s">
        <v>1305</v>
      </c>
      <c r="D1542" t="s">
        <v>2665</v>
      </c>
      <c r="E1542" t="s">
        <v>4476</v>
      </c>
      <c r="F1542" t="s">
        <v>5530</v>
      </c>
      <c r="G1542" t="s">
        <v>5636</v>
      </c>
      <c r="H1542">
        <v>10314</v>
      </c>
      <c r="I1542" t="s">
        <v>5695</v>
      </c>
      <c r="J1542" t="s">
        <v>5696</v>
      </c>
      <c r="L1542" t="s">
        <v>6711</v>
      </c>
      <c r="O1542" t="s">
        <v>6745</v>
      </c>
      <c r="P1542" t="s">
        <v>5695</v>
      </c>
      <c r="R1542" t="s">
        <v>6793</v>
      </c>
      <c r="U1542">
        <v>859</v>
      </c>
      <c r="V1542" t="s">
        <v>6834</v>
      </c>
      <c r="W1542" t="s">
        <v>6843</v>
      </c>
      <c r="Y1542" t="s">
        <v>8304</v>
      </c>
      <c r="AA1542" t="s">
        <v>10339</v>
      </c>
      <c r="AB1542">
        <v>96</v>
      </c>
      <c r="AC1542" t="s">
        <v>10929</v>
      </c>
      <c r="AD1542" t="s">
        <v>10945</v>
      </c>
      <c r="AE1542">
        <v>7</v>
      </c>
      <c r="AF1542">
        <v>1</v>
      </c>
      <c r="AG1542">
        <v>0</v>
      </c>
      <c r="AH1542">
        <v>167.65</v>
      </c>
      <c r="AK1542" t="s">
        <v>10966</v>
      </c>
      <c r="AL1542">
        <v>20940</v>
      </c>
      <c r="AR1542">
        <v>0.2</v>
      </c>
      <c r="AS1542" t="s">
        <v>11144</v>
      </c>
      <c r="AT1542" t="s">
        <v>11177</v>
      </c>
      <c r="AU1542" t="s">
        <v>11228</v>
      </c>
      <c r="AV1542" t="s">
        <v>11231</v>
      </c>
      <c r="AW1542" t="s">
        <v>11144</v>
      </c>
    </row>
    <row r="1543" spans="1:49">
      <c r="A1543" s="1">
        <f>HYPERLINK("https://lsnyc.legalserver.org/matter/dynamic-profile/view/1903665","19-1903665")</f>
        <v>0</v>
      </c>
      <c r="B1543" t="s">
        <v>60</v>
      </c>
      <c r="C1543" t="s">
        <v>1306</v>
      </c>
      <c r="D1543" t="s">
        <v>2666</v>
      </c>
      <c r="E1543" t="s">
        <v>4477</v>
      </c>
      <c r="F1543" t="s">
        <v>5531</v>
      </c>
      <c r="G1543" t="s">
        <v>5636</v>
      </c>
      <c r="H1543">
        <v>10314</v>
      </c>
      <c r="I1543" t="s">
        <v>5695</v>
      </c>
      <c r="J1543" t="s">
        <v>5696</v>
      </c>
      <c r="L1543" t="s">
        <v>6711</v>
      </c>
      <c r="O1543" t="s">
        <v>6745</v>
      </c>
      <c r="P1543" t="s">
        <v>5695</v>
      </c>
      <c r="R1543" t="s">
        <v>6793</v>
      </c>
      <c r="U1543">
        <v>859</v>
      </c>
      <c r="V1543" t="s">
        <v>6834</v>
      </c>
      <c r="W1543" t="s">
        <v>6843</v>
      </c>
      <c r="Y1543" t="s">
        <v>8305</v>
      </c>
      <c r="AA1543" t="s">
        <v>10340</v>
      </c>
      <c r="AB1543">
        <v>96</v>
      </c>
      <c r="AC1543" t="s">
        <v>10929</v>
      </c>
      <c r="AD1543" t="s">
        <v>10945</v>
      </c>
      <c r="AE1543">
        <v>7</v>
      </c>
      <c r="AF1543">
        <v>1</v>
      </c>
      <c r="AG1543">
        <v>0</v>
      </c>
      <c r="AH1543">
        <v>211.37</v>
      </c>
      <c r="AK1543" t="s">
        <v>10966</v>
      </c>
      <c r="AL1543">
        <v>26400</v>
      </c>
      <c r="AR1543">
        <v>0.2</v>
      </c>
      <c r="AS1543" t="s">
        <v>11144</v>
      </c>
      <c r="AT1543" t="s">
        <v>11177</v>
      </c>
      <c r="AU1543" t="s">
        <v>11228</v>
      </c>
      <c r="AV1543" t="s">
        <v>11231</v>
      </c>
      <c r="AW1543" t="s">
        <v>11144</v>
      </c>
    </row>
    <row r="1544" spans="1:49">
      <c r="A1544" s="1">
        <f>HYPERLINK("https://lsnyc.legalserver.org/matter/dynamic-profile/view/1903687","19-1903687")</f>
        <v>0</v>
      </c>
      <c r="B1544" t="s">
        <v>60</v>
      </c>
      <c r="C1544" t="s">
        <v>1307</v>
      </c>
      <c r="D1544" t="s">
        <v>2667</v>
      </c>
      <c r="E1544" t="s">
        <v>4476</v>
      </c>
      <c r="F1544" t="s">
        <v>5532</v>
      </c>
      <c r="G1544" t="s">
        <v>5636</v>
      </c>
      <c r="H1544">
        <v>10314</v>
      </c>
      <c r="I1544" t="s">
        <v>5695</v>
      </c>
      <c r="J1544" t="s">
        <v>5696</v>
      </c>
      <c r="L1544" t="s">
        <v>6711</v>
      </c>
      <c r="O1544" t="s">
        <v>6745</v>
      </c>
      <c r="P1544" t="s">
        <v>5695</v>
      </c>
      <c r="R1544" t="s">
        <v>6793</v>
      </c>
      <c r="U1544">
        <v>871</v>
      </c>
      <c r="V1544" t="s">
        <v>6834</v>
      </c>
      <c r="W1544" t="s">
        <v>6843</v>
      </c>
      <c r="Y1544" t="s">
        <v>8306</v>
      </c>
      <c r="AA1544" t="s">
        <v>10341</v>
      </c>
      <c r="AB1544">
        <v>96</v>
      </c>
      <c r="AC1544" t="s">
        <v>10929</v>
      </c>
      <c r="AD1544" t="s">
        <v>10945</v>
      </c>
      <c r="AE1544">
        <v>4</v>
      </c>
      <c r="AF1544">
        <v>1</v>
      </c>
      <c r="AG1544">
        <v>0</v>
      </c>
      <c r="AH1544">
        <v>115.29</v>
      </c>
      <c r="AK1544" t="s">
        <v>10967</v>
      </c>
      <c r="AL1544">
        <v>14400</v>
      </c>
      <c r="AR1544">
        <v>0.2</v>
      </c>
      <c r="AS1544" t="s">
        <v>11144</v>
      </c>
      <c r="AT1544" t="s">
        <v>11177</v>
      </c>
      <c r="AU1544" t="s">
        <v>11228</v>
      </c>
      <c r="AV1544" t="s">
        <v>11231</v>
      </c>
      <c r="AW1544" t="s">
        <v>11144</v>
      </c>
    </row>
    <row r="1545" spans="1:49">
      <c r="A1545" s="1">
        <f>HYPERLINK("https://lsnyc.legalserver.org/matter/dynamic-profile/view/1903648","19-1903648")</f>
        <v>0</v>
      </c>
      <c r="B1545" t="s">
        <v>60</v>
      </c>
      <c r="C1545" t="s">
        <v>442</v>
      </c>
      <c r="D1545" t="s">
        <v>2668</v>
      </c>
      <c r="E1545" t="s">
        <v>4478</v>
      </c>
      <c r="F1545" t="s">
        <v>5533</v>
      </c>
      <c r="G1545" t="s">
        <v>5636</v>
      </c>
      <c r="H1545">
        <v>10314</v>
      </c>
      <c r="I1545" t="s">
        <v>5695</v>
      </c>
      <c r="J1545" t="s">
        <v>5696</v>
      </c>
      <c r="L1545" t="s">
        <v>6711</v>
      </c>
      <c r="O1545" t="s">
        <v>6745</v>
      </c>
      <c r="P1545" t="s">
        <v>5695</v>
      </c>
      <c r="R1545" t="s">
        <v>6793</v>
      </c>
      <c r="U1545">
        <v>907</v>
      </c>
      <c r="V1545" t="s">
        <v>6834</v>
      </c>
      <c r="W1545" t="s">
        <v>6843</v>
      </c>
      <c r="Y1545" t="s">
        <v>8307</v>
      </c>
      <c r="AA1545" t="s">
        <v>10342</v>
      </c>
      <c r="AB1545">
        <v>96</v>
      </c>
      <c r="AC1545" t="s">
        <v>10929</v>
      </c>
      <c r="AD1545" t="s">
        <v>5741</v>
      </c>
      <c r="AE1545">
        <v>4</v>
      </c>
      <c r="AF1545">
        <v>1</v>
      </c>
      <c r="AG1545">
        <v>0</v>
      </c>
      <c r="AH1545">
        <v>242.21</v>
      </c>
      <c r="AK1545" t="s">
        <v>10966</v>
      </c>
      <c r="AL1545">
        <v>30252</v>
      </c>
      <c r="AR1545">
        <v>0.2</v>
      </c>
      <c r="AS1545" t="s">
        <v>11144</v>
      </c>
      <c r="AT1545" t="s">
        <v>11177</v>
      </c>
      <c r="AU1545" t="s">
        <v>11228</v>
      </c>
      <c r="AV1545" t="s">
        <v>11231</v>
      </c>
      <c r="AW1545" t="s">
        <v>11144</v>
      </c>
    </row>
    <row r="1546" spans="1:49">
      <c r="A1546" s="1">
        <f>HYPERLINK("https://lsnyc.legalserver.org/matter/dynamic-profile/view/1903659","19-1903659")</f>
        <v>0</v>
      </c>
      <c r="B1546" t="s">
        <v>60</v>
      </c>
      <c r="C1546" t="s">
        <v>1308</v>
      </c>
      <c r="D1546" t="s">
        <v>2669</v>
      </c>
      <c r="E1546" t="s">
        <v>4476</v>
      </c>
      <c r="F1546" t="s">
        <v>5534</v>
      </c>
      <c r="G1546" t="s">
        <v>5636</v>
      </c>
      <c r="H1546">
        <v>10314</v>
      </c>
      <c r="I1546" t="s">
        <v>5695</v>
      </c>
      <c r="J1546" t="s">
        <v>5696</v>
      </c>
      <c r="L1546" t="s">
        <v>6711</v>
      </c>
      <c r="O1546" t="s">
        <v>6745</v>
      </c>
      <c r="P1546" t="s">
        <v>5695</v>
      </c>
      <c r="R1546" t="s">
        <v>6793</v>
      </c>
      <c r="U1546">
        <v>864</v>
      </c>
      <c r="V1546" t="s">
        <v>6834</v>
      </c>
      <c r="W1546" t="s">
        <v>6843</v>
      </c>
      <c r="Y1546" t="s">
        <v>8308</v>
      </c>
      <c r="AA1546" t="s">
        <v>10343</v>
      </c>
      <c r="AB1546">
        <v>96</v>
      </c>
      <c r="AC1546" t="s">
        <v>10929</v>
      </c>
      <c r="AD1546" t="s">
        <v>10945</v>
      </c>
      <c r="AE1546">
        <v>9</v>
      </c>
      <c r="AF1546">
        <v>1</v>
      </c>
      <c r="AG1546">
        <v>0</v>
      </c>
      <c r="AH1546">
        <v>124.71</v>
      </c>
      <c r="AK1546" t="s">
        <v>10966</v>
      </c>
      <c r="AL1546">
        <v>15576</v>
      </c>
      <c r="AR1546">
        <v>0.2</v>
      </c>
      <c r="AS1546" t="s">
        <v>11144</v>
      </c>
      <c r="AT1546" t="s">
        <v>11177</v>
      </c>
      <c r="AU1546" t="s">
        <v>11228</v>
      </c>
      <c r="AV1546" t="s">
        <v>11231</v>
      </c>
      <c r="AW1546" t="s">
        <v>11144</v>
      </c>
    </row>
    <row r="1547" spans="1:49">
      <c r="A1547" s="1">
        <f>HYPERLINK("https://lsnyc.legalserver.org/matter/dynamic-profile/view/1903672","19-1903672")</f>
        <v>0</v>
      </c>
      <c r="B1547" t="s">
        <v>60</v>
      </c>
      <c r="C1547" t="s">
        <v>491</v>
      </c>
      <c r="D1547" t="s">
        <v>2670</v>
      </c>
      <c r="E1547" t="s">
        <v>4476</v>
      </c>
      <c r="F1547" t="s">
        <v>5535</v>
      </c>
      <c r="G1547" t="s">
        <v>5636</v>
      </c>
      <c r="H1547">
        <v>10314</v>
      </c>
      <c r="I1547" t="s">
        <v>5695</v>
      </c>
      <c r="J1547" t="s">
        <v>5696</v>
      </c>
      <c r="L1547" t="s">
        <v>6711</v>
      </c>
      <c r="O1547" t="s">
        <v>6745</v>
      </c>
      <c r="P1547" t="s">
        <v>5695</v>
      </c>
      <c r="R1547" t="s">
        <v>6793</v>
      </c>
      <c r="U1547">
        <v>967</v>
      </c>
      <c r="V1547" t="s">
        <v>6834</v>
      </c>
      <c r="W1547" t="s">
        <v>6843</v>
      </c>
      <c r="Y1547" t="s">
        <v>8309</v>
      </c>
      <c r="AA1547" t="s">
        <v>10344</v>
      </c>
      <c r="AB1547">
        <v>96</v>
      </c>
      <c r="AD1547" t="s">
        <v>10945</v>
      </c>
      <c r="AE1547">
        <v>8</v>
      </c>
      <c r="AF1547">
        <v>1</v>
      </c>
      <c r="AG1547">
        <v>0</v>
      </c>
      <c r="AH1547">
        <v>236.89</v>
      </c>
      <c r="AK1547" t="s">
        <v>10966</v>
      </c>
      <c r="AL1547">
        <v>29587.92</v>
      </c>
      <c r="AR1547">
        <v>1</v>
      </c>
      <c r="AS1547" t="s">
        <v>6819</v>
      </c>
      <c r="AT1547" t="s">
        <v>11177</v>
      </c>
      <c r="AU1547" t="s">
        <v>11228</v>
      </c>
      <c r="AV1547" t="s">
        <v>11231</v>
      </c>
      <c r="AW1547" t="s">
        <v>11144</v>
      </c>
    </row>
    <row r="1548" spans="1:49">
      <c r="A1548" s="1">
        <f>HYPERLINK("https://lsnyc.legalserver.org/matter/dynamic-profile/view/1901897","19-1901897")</f>
        <v>0</v>
      </c>
      <c r="B1548" t="s">
        <v>60</v>
      </c>
      <c r="C1548" t="s">
        <v>901</v>
      </c>
      <c r="D1548" t="s">
        <v>2671</v>
      </c>
      <c r="E1548" t="s">
        <v>4476</v>
      </c>
      <c r="F1548" t="s">
        <v>5536</v>
      </c>
      <c r="G1548" t="s">
        <v>5636</v>
      </c>
      <c r="H1548">
        <v>10314</v>
      </c>
      <c r="I1548" t="s">
        <v>5695</v>
      </c>
      <c r="J1548" t="s">
        <v>5696</v>
      </c>
      <c r="L1548" t="s">
        <v>6711</v>
      </c>
      <c r="O1548" t="s">
        <v>6745</v>
      </c>
      <c r="P1548" t="s">
        <v>5695</v>
      </c>
      <c r="R1548" t="s">
        <v>6793</v>
      </c>
      <c r="U1548">
        <v>0</v>
      </c>
      <c r="V1548" t="s">
        <v>6834</v>
      </c>
      <c r="W1548" t="s">
        <v>6843</v>
      </c>
      <c r="Y1548" t="s">
        <v>8310</v>
      </c>
      <c r="AA1548" t="s">
        <v>10345</v>
      </c>
      <c r="AB1548">
        <v>96</v>
      </c>
      <c r="AC1548" t="s">
        <v>10929</v>
      </c>
      <c r="AD1548" t="s">
        <v>10945</v>
      </c>
      <c r="AE1548">
        <v>8</v>
      </c>
      <c r="AF1548">
        <v>1</v>
      </c>
      <c r="AG1548">
        <v>0</v>
      </c>
      <c r="AH1548">
        <v>138.34</v>
      </c>
      <c r="AK1548" t="s">
        <v>10966</v>
      </c>
      <c r="AL1548">
        <v>17278.8</v>
      </c>
      <c r="AR1548">
        <v>0.2</v>
      </c>
      <c r="AS1548" t="s">
        <v>11149</v>
      </c>
      <c r="AT1548" t="s">
        <v>11177</v>
      </c>
      <c r="AU1548" t="s">
        <v>11228</v>
      </c>
      <c r="AV1548" t="s">
        <v>11231</v>
      </c>
      <c r="AW1548" t="s">
        <v>11150</v>
      </c>
    </row>
    <row r="1549" spans="1:49">
      <c r="A1549" s="1">
        <f>HYPERLINK("https://lsnyc.legalserver.org/matter/dynamic-profile/view/1903670","19-1903670")</f>
        <v>0</v>
      </c>
      <c r="B1549" t="s">
        <v>60</v>
      </c>
      <c r="C1549" t="s">
        <v>1062</v>
      </c>
      <c r="D1549" t="s">
        <v>2672</v>
      </c>
      <c r="E1549" t="s">
        <v>4476</v>
      </c>
      <c r="F1549" t="s">
        <v>5537</v>
      </c>
      <c r="G1549" t="s">
        <v>5636</v>
      </c>
      <c r="H1549">
        <v>10314</v>
      </c>
      <c r="I1549" t="s">
        <v>5695</v>
      </c>
      <c r="J1549" t="s">
        <v>5696</v>
      </c>
      <c r="L1549" t="s">
        <v>6711</v>
      </c>
      <c r="O1549" t="s">
        <v>6745</v>
      </c>
      <c r="P1549" t="s">
        <v>5695</v>
      </c>
      <c r="R1549" t="s">
        <v>6793</v>
      </c>
      <c r="U1549">
        <v>1400</v>
      </c>
      <c r="V1549" t="s">
        <v>6834</v>
      </c>
      <c r="W1549" t="s">
        <v>6843</v>
      </c>
      <c r="Y1549" t="s">
        <v>8311</v>
      </c>
      <c r="AA1549" t="s">
        <v>10346</v>
      </c>
      <c r="AB1549">
        <v>96</v>
      </c>
      <c r="AC1549" t="s">
        <v>10929</v>
      </c>
      <c r="AD1549" t="s">
        <v>10945</v>
      </c>
      <c r="AE1549">
        <v>9</v>
      </c>
      <c r="AF1549">
        <v>1</v>
      </c>
      <c r="AG1549">
        <v>0</v>
      </c>
      <c r="AH1549">
        <v>134.51</v>
      </c>
      <c r="AK1549" t="s">
        <v>10966</v>
      </c>
      <c r="AL1549">
        <v>16800</v>
      </c>
      <c r="AR1549">
        <v>0.2</v>
      </c>
      <c r="AS1549" t="s">
        <v>11144</v>
      </c>
      <c r="AT1549" t="s">
        <v>11177</v>
      </c>
      <c r="AU1549" t="s">
        <v>11228</v>
      </c>
      <c r="AV1549" t="s">
        <v>11231</v>
      </c>
      <c r="AW1549" t="s">
        <v>11144</v>
      </c>
    </row>
    <row r="1550" spans="1:49">
      <c r="A1550" s="1">
        <f>HYPERLINK("https://lsnyc.legalserver.org/matter/dynamic-profile/view/1903663","19-1903663")</f>
        <v>0</v>
      </c>
      <c r="B1550" t="s">
        <v>60</v>
      </c>
      <c r="C1550" t="s">
        <v>1074</v>
      </c>
      <c r="D1550" t="s">
        <v>2673</v>
      </c>
      <c r="E1550" t="s">
        <v>4476</v>
      </c>
      <c r="F1550" t="s">
        <v>5538</v>
      </c>
      <c r="G1550" t="s">
        <v>5636</v>
      </c>
      <c r="H1550">
        <v>10314</v>
      </c>
      <c r="I1550" t="s">
        <v>5695</v>
      </c>
      <c r="J1550" t="s">
        <v>5696</v>
      </c>
      <c r="L1550" t="s">
        <v>6711</v>
      </c>
      <c r="O1550" t="s">
        <v>6745</v>
      </c>
      <c r="P1550" t="s">
        <v>5695</v>
      </c>
      <c r="R1550" t="s">
        <v>6793</v>
      </c>
      <c r="U1550">
        <v>1788</v>
      </c>
      <c r="V1550" t="s">
        <v>6834</v>
      </c>
      <c r="W1550" t="s">
        <v>6843</v>
      </c>
      <c r="Y1550" t="s">
        <v>8312</v>
      </c>
      <c r="AA1550" t="s">
        <v>10347</v>
      </c>
      <c r="AB1550">
        <v>96</v>
      </c>
      <c r="AC1550" t="s">
        <v>10929</v>
      </c>
      <c r="AD1550" t="s">
        <v>10945</v>
      </c>
      <c r="AE1550">
        <v>9</v>
      </c>
      <c r="AF1550">
        <v>2</v>
      </c>
      <c r="AG1550">
        <v>0</v>
      </c>
      <c r="AH1550">
        <v>41.58</v>
      </c>
      <c r="AK1550" t="s">
        <v>10966</v>
      </c>
      <c r="AL1550">
        <v>7032</v>
      </c>
      <c r="AR1550">
        <v>0.2</v>
      </c>
      <c r="AS1550" t="s">
        <v>11144</v>
      </c>
      <c r="AT1550" t="s">
        <v>11177</v>
      </c>
      <c r="AU1550" t="s">
        <v>11228</v>
      </c>
      <c r="AV1550" t="s">
        <v>11231</v>
      </c>
      <c r="AW1550" t="s">
        <v>11144</v>
      </c>
    </row>
    <row r="1551" spans="1:49">
      <c r="A1551" s="1">
        <f>HYPERLINK("https://lsnyc.legalserver.org/matter/dynamic-profile/view/1906317","19-1906317")</f>
        <v>0</v>
      </c>
      <c r="B1551" t="s">
        <v>105</v>
      </c>
      <c r="C1551" t="s">
        <v>694</v>
      </c>
      <c r="D1551" t="s">
        <v>1685</v>
      </c>
      <c r="E1551" t="s">
        <v>4479</v>
      </c>
      <c r="F1551" t="s">
        <v>5161</v>
      </c>
      <c r="G1551" t="s">
        <v>5635</v>
      </c>
      <c r="H1551">
        <v>10457</v>
      </c>
      <c r="I1551" t="s">
        <v>5695</v>
      </c>
      <c r="J1551" t="s">
        <v>5696</v>
      </c>
      <c r="K1551" t="s">
        <v>6508</v>
      </c>
      <c r="L1551" t="s">
        <v>6730</v>
      </c>
      <c r="O1551" t="s">
        <v>6763</v>
      </c>
      <c r="R1551" t="s">
        <v>6793</v>
      </c>
      <c r="U1551">
        <v>1000</v>
      </c>
      <c r="V1551" t="s">
        <v>6833</v>
      </c>
      <c r="Y1551" t="s">
        <v>7630</v>
      </c>
      <c r="AA1551" t="s">
        <v>10348</v>
      </c>
      <c r="AB1551">
        <v>3</v>
      </c>
      <c r="AE1551">
        <v>8</v>
      </c>
      <c r="AF1551">
        <v>1</v>
      </c>
      <c r="AG1551">
        <v>4</v>
      </c>
      <c r="AH1551">
        <v>42.66</v>
      </c>
      <c r="AK1551" t="s">
        <v>10966</v>
      </c>
      <c r="AL1551">
        <v>12870</v>
      </c>
      <c r="AR1551">
        <v>0</v>
      </c>
      <c r="AT1551" t="s">
        <v>288</v>
      </c>
      <c r="AU1551" t="s">
        <v>11228</v>
      </c>
      <c r="AV1551" t="s">
        <v>11231</v>
      </c>
      <c r="AW1551" t="s">
        <v>6827</v>
      </c>
    </row>
    <row r="1552" spans="1:49">
      <c r="A1552" s="1">
        <f>HYPERLINK("https://lsnyc.legalserver.org/matter/dynamic-profile/view/1902681","19-1902681")</f>
        <v>0</v>
      </c>
      <c r="B1552" t="s">
        <v>279</v>
      </c>
      <c r="C1552" t="s">
        <v>1309</v>
      </c>
      <c r="D1552" t="s">
        <v>2674</v>
      </c>
      <c r="E1552" t="s">
        <v>4480</v>
      </c>
      <c r="F1552" t="s">
        <v>5100</v>
      </c>
      <c r="G1552" t="s">
        <v>5635</v>
      </c>
      <c r="H1552">
        <v>10459</v>
      </c>
      <c r="I1552" t="s">
        <v>5696</v>
      </c>
      <c r="J1552" t="s">
        <v>5696</v>
      </c>
      <c r="K1552" t="s">
        <v>6509</v>
      </c>
      <c r="L1552" t="s">
        <v>6712</v>
      </c>
      <c r="O1552" t="s">
        <v>6748</v>
      </c>
      <c r="R1552" t="s">
        <v>6793</v>
      </c>
      <c r="U1552">
        <v>318</v>
      </c>
      <c r="V1552" t="s">
        <v>6833</v>
      </c>
      <c r="W1552" t="s">
        <v>6853</v>
      </c>
      <c r="Y1552" t="s">
        <v>8313</v>
      </c>
      <c r="AA1552" t="s">
        <v>10349</v>
      </c>
      <c r="AB1552">
        <v>26</v>
      </c>
      <c r="AE1552">
        <v>29</v>
      </c>
      <c r="AF1552">
        <v>1</v>
      </c>
      <c r="AG1552">
        <v>0</v>
      </c>
      <c r="AH1552">
        <v>55.53</v>
      </c>
      <c r="AK1552" t="s">
        <v>10966</v>
      </c>
      <c r="AL1552">
        <v>6936</v>
      </c>
      <c r="AR1552">
        <v>1</v>
      </c>
      <c r="AS1552" t="s">
        <v>11137</v>
      </c>
      <c r="AT1552" t="s">
        <v>11210</v>
      </c>
      <c r="AV1552" t="s">
        <v>11231</v>
      </c>
      <c r="AW1552" t="s">
        <v>11137</v>
      </c>
    </row>
    <row r="1553" spans="1:49">
      <c r="A1553" s="1">
        <f>HYPERLINK("https://lsnyc.legalserver.org/matter/dynamic-profile/view/1906294","19-1906294")</f>
        <v>0</v>
      </c>
      <c r="B1553" t="s">
        <v>280</v>
      </c>
      <c r="C1553" t="s">
        <v>335</v>
      </c>
      <c r="D1553" t="s">
        <v>1765</v>
      </c>
      <c r="E1553" t="s">
        <v>4481</v>
      </c>
      <c r="F1553" t="s">
        <v>5098</v>
      </c>
      <c r="G1553" t="s">
        <v>5637</v>
      </c>
      <c r="H1553">
        <v>11219</v>
      </c>
      <c r="I1553" t="s">
        <v>5696</v>
      </c>
      <c r="J1553" t="s">
        <v>5696</v>
      </c>
      <c r="K1553" t="s">
        <v>6510</v>
      </c>
      <c r="L1553" t="s">
        <v>6712</v>
      </c>
      <c r="O1553" t="s">
        <v>6746</v>
      </c>
      <c r="R1553" t="s">
        <v>6793</v>
      </c>
      <c r="U1553">
        <v>1200</v>
      </c>
      <c r="V1553" t="s">
        <v>6835</v>
      </c>
      <c r="Y1553" t="s">
        <v>7528</v>
      </c>
      <c r="AA1553" t="s">
        <v>10350</v>
      </c>
      <c r="AB1553">
        <v>0</v>
      </c>
      <c r="AD1553" t="s">
        <v>5741</v>
      </c>
      <c r="AE1553">
        <v>2</v>
      </c>
      <c r="AF1553">
        <v>1</v>
      </c>
      <c r="AG1553">
        <v>0</v>
      </c>
      <c r="AH1553">
        <v>0</v>
      </c>
      <c r="AK1553" t="s">
        <v>10966</v>
      </c>
      <c r="AL1553">
        <v>0</v>
      </c>
      <c r="AR1553">
        <v>0</v>
      </c>
      <c r="AT1553" t="s">
        <v>280</v>
      </c>
      <c r="AU1553" t="s">
        <v>11228</v>
      </c>
      <c r="AV1553" t="s">
        <v>11231</v>
      </c>
      <c r="AW1553" t="s">
        <v>6827</v>
      </c>
    </row>
    <row r="1554" spans="1:49">
      <c r="A1554" s="1">
        <f>HYPERLINK("https://lsnyc.legalserver.org/matter/dynamic-profile/view/1904288","19-1904288")</f>
        <v>0</v>
      </c>
      <c r="B1554" t="s">
        <v>278</v>
      </c>
      <c r="C1554" t="s">
        <v>1310</v>
      </c>
      <c r="D1554" t="s">
        <v>2675</v>
      </c>
      <c r="E1554" t="s">
        <v>4482</v>
      </c>
      <c r="F1554" t="s">
        <v>5162</v>
      </c>
      <c r="G1554" t="s">
        <v>5637</v>
      </c>
      <c r="H1554">
        <v>11206</v>
      </c>
      <c r="I1554" t="s">
        <v>5696</v>
      </c>
      <c r="J1554" t="s">
        <v>5696</v>
      </c>
      <c r="K1554" t="s">
        <v>6511</v>
      </c>
      <c r="L1554" t="s">
        <v>6712</v>
      </c>
      <c r="O1554" t="s">
        <v>6748</v>
      </c>
      <c r="R1554" t="s">
        <v>6793</v>
      </c>
      <c r="U1554">
        <v>1017</v>
      </c>
      <c r="V1554" t="s">
        <v>6835</v>
      </c>
      <c r="W1554" t="s">
        <v>6849</v>
      </c>
      <c r="Y1554" t="s">
        <v>8314</v>
      </c>
      <c r="AA1554" t="s">
        <v>10351</v>
      </c>
      <c r="AB1554">
        <v>16</v>
      </c>
      <c r="AC1554" t="s">
        <v>10936</v>
      </c>
      <c r="AD1554" t="s">
        <v>5741</v>
      </c>
      <c r="AE1554">
        <v>3</v>
      </c>
      <c r="AF1554">
        <v>1</v>
      </c>
      <c r="AG1554">
        <v>1</v>
      </c>
      <c r="AH1554">
        <v>26.61</v>
      </c>
      <c r="AK1554" t="s">
        <v>10966</v>
      </c>
      <c r="AL1554">
        <v>4500</v>
      </c>
      <c r="AR1554">
        <v>0.9</v>
      </c>
      <c r="AS1554" t="s">
        <v>6822</v>
      </c>
      <c r="AT1554" t="s">
        <v>11180</v>
      </c>
      <c r="AV1554" t="s">
        <v>11231</v>
      </c>
      <c r="AW1554" t="s">
        <v>6813</v>
      </c>
    </row>
    <row r="1555" spans="1:49">
      <c r="A1555" s="1">
        <f>HYPERLINK("https://lsnyc.legalserver.org/matter/dynamic-profile/view/1903506","19-1903506")</f>
        <v>0</v>
      </c>
      <c r="B1555" t="s">
        <v>278</v>
      </c>
      <c r="C1555" t="s">
        <v>1031</v>
      </c>
      <c r="D1555" t="s">
        <v>2676</v>
      </c>
      <c r="E1555" t="s">
        <v>4483</v>
      </c>
      <c r="F1555" t="s">
        <v>5539</v>
      </c>
      <c r="G1555" t="s">
        <v>5637</v>
      </c>
      <c r="H1555">
        <v>11225</v>
      </c>
      <c r="I1555" t="s">
        <v>5696</v>
      </c>
      <c r="J1555" t="s">
        <v>5696</v>
      </c>
      <c r="K1555" t="s">
        <v>6512</v>
      </c>
      <c r="L1555" t="s">
        <v>6712</v>
      </c>
      <c r="O1555" t="s">
        <v>6753</v>
      </c>
      <c r="R1555" t="s">
        <v>6793</v>
      </c>
      <c r="U1555">
        <v>1495</v>
      </c>
      <c r="V1555" t="s">
        <v>6835</v>
      </c>
      <c r="Y1555" t="s">
        <v>7893</v>
      </c>
      <c r="AA1555" t="s">
        <v>10352</v>
      </c>
      <c r="AB1555">
        <v>65</v>
      </c>
      <c r="AE1555">
        <v>7</v>
      </c>
      <c r="AF1555">
        <v>1</v>
      </c>
      <c r="AG1555">
        <v>0</v>
      </c>
      <c r="AH1555">
        <v>288.23</v>
      </c>
      <c r="AK1555" t="s">
        <v>10966</v>
      </c>
      <c r="AL1555">
        <v>36000</v>
      </c>
      <c r="AR1555">
        <v>0.5</v>
      </c>
      <c r="AS1555" t="s">
        <v>11147</v>
      </c>
      <c r="AT1555" t="s">
        <v>11181</v>
      </c>
      <c r="AV1555" t="s">
        <v>11231</v>
      </c>
      <c r="AW1555" t="s">
        <v>11147</v>
      </c>
    </row>
    <row r="1556" spans="1:49">
      <c r="A1556" s="1">
        <f>HYPERLINK("https://lsnyc.legalserver.org/matter/dynamic-profile/view/1902493","19-1902493")</f>
        <v>0</v>
      </c>
      <c r="B1556" t="s">
        <v>278</v>
      </c>
      <c r="C1556" t="s">
        <v>767</v>
      </c>
      <c r="D1556" t="s">
        <v>356</v>
      </c>
      <c r="E1556" t="s">
        <v>4484</v>
      </c>
      <c r="F1556">
        <v>305</v>
      </c>
      <c r="G1556" t="s">
        <v>5637</v>
      </c>
      <c r="H1556">
        <v>11206</v>
      </c>
      <c r="I1556" t="s">
        <v>5696</v>
      </c>
      <c r="J1556" t="s">
        <v>5696</v>
      </c>
      <c r="K1556" t="s">
        <v>6513</v>
      </c>
      <c r="L1556" t="s">
        <v>6712</v>
      </c>
      <c r="O1556" t="s">
        <v>6748</v>
      </c>
      <c r="R1556" t="s">
        <v>6793</v>
      </c>
      <c r="U1556">
        <v>2100</v>
      </c>
      <c r="V1556" t="s">
        <v>6835</v>
      </c>
      <c r="W1556" t="s">
        <v>6841</v>
      </c>
      <c r="Y1556" t="s">
        <v>8315</v>
      </c>
      <c r="AA1556" t="s">
        <v>10353</v>
      </c>
      <c r="AB1556">
        <v>50</v>
      </c>
      <c r="AC1556" t="s">
        <v>8953</v>
      </c>
      <c r="AE1556">
        <v>5</v>
      </c>
      <c r="AF1556">
        <v>1</v>
      </c>
      <c r="AG1556">
        <v>0</v>
      </c>
      <c r="AH1556">
        <v>0</v>
      </c>
      <c r="AK1556" t="s">
        <v>10966</v>
      </c>
      <c r="AL1556">
        <v>0</v>
      </c>
      <c r="AR1556">
        <v>1.9</v>
      </c>
      <c r="AS1556" t="s">
        <v>6812</v>
      </c>
      <c r="AT1556" t="s">
        <v>11183</v>
      </c>
      <c r="AV1556" t="s">
        <v>11231</v>
      </c>
      <c r="AW1556" t="s">
        <v>11117</v>
      </c>
    </row>
    <row r="1557" spans="1:49">
      <c r="A1557" s="1">
        <f>HYPERLINK("https://lsnyc.legalserver.org/matter/dynamic-profile/view/1904208","19-1904208")</f>
        <v>0</v>
      </c>
      <c r="B1557" t="s">
        <v>281</v>
      </c>
      <c r="C1557" t="s">
        <v>350</v>
      </c>
      <c r="D1557" t="s">
        <v>2677</v>
      </c>
      <c r="E1557" t="s">
        <v>4485</v>
      </c>
      <c r="F1557">
        <v>210</v>
      </c>
      <c r="G1557" t="s">
        <v>5636</v>
      </c>
      <c r="H1557">
        <v>10303</v>
      </c>
      <c r="I1557" t="s">
        <v>5695</v>
      </c>
      <c r="J1557" t="s">
        <v>5696</v>
      </c>
      <c r="K1557" t="s">
        <v>6514</v>
      </c>
      <c r="L1557" t="s">
        <v>6712</v>
      </c>
      <c r="O1557" t="s">
        <v>6745</v>
      </c>
      <c r="P1557" t="s">
        <v>5697</v>
      </c>
      <c r="R1557" t="s">
        <v>6793</v>
      </c>
      <c r="S1557" t="s">
        <v>6801</v>
      </c>
      <c r="U1557">
        <v>1020</v>
      </c>
      <c r="V1557" t="s">
        <v>6834</v>
      </c>
      <c r="W1557" t="s">
        <v>6841</v>
      </c>
      <c r="Y1557" t="s">
        <v>8316</v>
      </c>
      <c r="AA1557" t="s">
        <v>10354</v>
      </c>
      <c r="AB1557">
        <v>0</v>
      </c>
      <c r="AD1557" t="s">
        <v>5741</v>
      </c>
      <c r="AE1557">
        <v>3</v>
      </c>
      <c r="AF1557">
        <v>1</v>
      </c>
      <c r="AG1557">
        <v>0</v>
      </c>
      <c r="AH1557">
        <v>124.9</v>
      </c>
      <c r="AK1557" t="s">
        <v>10966</v>
      </c>
      <c r="AL1557">
        <v>15600</v>
      </c>
      <c r="AR1557">
        <v>11.75</v>
      </c>
      <c r="AS1557" t="s">
        <v>6820</v>
      </c>
      <c r="AT1557" t="s">
        <v>11177</v>
      </c>
      <c r="AU1557" t="s">
        <v>11228</v>
      </c>
      <c r="AV1557" t="s">
        <v>11231</v>
      </c>
      <c r="AW1557" t="s">
        <v>6818</v>
      </c>
    </row>
    <row r="1558" spans="1:49">
      <c r="A1558" s="1">
        <f>HYPERLINK("https://lsnyc.legalserver.org/matter/dynamic-profile/view/1902456","19-1902456")</f>
        <v>0</v>
      </c>
      <c r="B1558" t="s">
        <v>278</v>
      </c>
      <c r="C1558" t="s">
        <v>1311</v>
      </c>
      <c r="D1558" t="s">
        <v>2500</v>
      </c>
      <c r="E1558" t="s">
        <v>4486</v>
      </c>
      <c r="F1558" t="s">
        <v>5304</v>
      </c>
      <c r="G1558" t="s">
        <v>5637</v>
      </c>
      <c r="H1558">
        <v>11215</v>
      </c>
      <c r="I1558" t="s">
        <v>5696</v>
      </c>
      <c r="J1558" t="s">
        <v>5696</v>
      </c>
      <c r="K1558" t="s">
        <v>6515</v>
      </c>
      <c r="L1558" t="s">
        <v>6712</v>
      </c>
      <c r="O1558" t="s">
        <v>6748</v>
      </c>
      <c r="R1558" t="s">
        <v>6793</v>
      </c>
      <c r="U1558">
        <v>186</v>
      </c>
      <c r="V1558" t="s">
        <v>6835</v>
      </c>
      <c r="Y1558" t="s">
        <v>8317</v>
      </c>
      <c r="AA1558" t="s">
        <v>10355</v>
      </c>
      <c r="AB1558">
        <v>49</v>
      </c>
      <c r="AE1558">
        <v>7</v>
      </c>
      <c r="AF1558">
        <v>1</v>
      </c>
      <c r="AG1558">
        <v>0</v>
      </c>
      <c r="AH1558">
        <v>63.6</v>
      </c>
      <c r="AK1558" t="s">
        <v>10966</v>
      </c>
      <c r="AL1558">
        <v>7944</v>
      </c>
      <c r="AR1558">
        <v>0.6</v>
      </c>
      <c r="AS1558" t="s">
        <v>11117</v>
      </c>
      <c r="AT1558" t="s">
        <v>11188</v>
      </c>
      <c r="AV1558" t="s">
        <v>11231</v>
      </c>
      <c r="AW1558" t="s">
        <v>11117</v>
      </c>
    </row>
    <row r="1559" spans="1:49">
      <c r="A1559" s="1">
        <f>HYPERLINK("https://lsnyc.legalserver.org/matter/dynamic-profile/view/1902740","19-1902740")</f>
        <v>0</v>
      </c>
      <c r="B1559" t="s">
        <v>132</v>
      </c>
      <c r="C1559" t="s">
        <v>577</v>
      </c>
      <c r="D1559" t="s">
        <v>2543</v>
      </c>
      <c r="E1559" t="s">
        <v>4487</v>
      </c>
      <c r="F1559" t="s">
        <v>5110</v>
      </c>
      <c r="G1559" t="s">
        <v>5637</v>
      </c>
      <c r="H1559">
        <v>11233</v>
      </c>
      <c r="I1559" t="s">
        <v>5696</v>
      </c>
      <c r="J1559" t="s">
        <v>5696</v>
      </c>
      <c r="K1559" t="s">
        <v>6516</v>
      </c>
      <c r="L1559" t="s">
        <v>6712</v>
      </c>
      <c r="O1559" t="s">
        <v>6771</v>
      </c>
      <c r="R1559" t="s">
        <v>6793</v>
      </c>
      <c r="U1559">
        <v>1200</v>
      </c>
      <c r="V1559" t="s">
        <v>6835</v>
      </c>
      <c r="W1559" t="s">
        <v>6840</v>
      </c>
      <c r="Y1559" t="s">
        <v>8318</v>
      </c>
      <c r="AA1559" t="s">
        <v>10356</v>
      </c>
      <c r="AB1559">
        <v>6</v>
      </c>
      <c r="AC1559" t="s">
        <v>10929</v>
      </c>
      <c r="AD1559" t="s">
        <v>10948</v>
      </c>
      <c r="AE1559">
        <v>4</v>
      </c>
      <c r="AF1559">
        <v>2</v>
      </c>
      <c r="AG1559">
        <v>0</v>
      </c>
      <c r="AH1559">
        <v>61.6</v>
      </c>
      <c r="AK1559" t="s">
        <v>10966</v>
      </c>
      <c r="AL1559">
        <v>10416</v>
      </c>
      <c r="AR1559">
        <v>35.65</v>
      </c>
      <c r="AS1559" t="s">
        <v>6827</v>
      </c>
      <c r="AT1559" t="s">
        <v>11186</v>
      </c>
      <c r="AV1559" t="s">
        <v>11231</v>
      </c>
      <c r="AW1559" t="s">
        <v>11133</v>
      </c>
    </row>
    <row r="1560" spans="1:49">
      <c r="A1560" s="1">
        <f>HYPERLINK("https://lsnyc.legalserver.org/matter/dynamic-profile/view/1899803","19-1899803")</f>
        <v>0</v>
      </c>
      <c r="B1560" t="s">
        <v>119</v>
      </c>
      <c r="C1560" t="s">
        <v>1312</v>
      </c>
      <c r="D1560" t="s">
        <v>2678</v>
      </c>
      <c r="E1560" t="s">
        <v>4488</v>
      </c>
      <c r="F1560" t="s">
        <v>5116</v>
      </c>
      <c r="G1560" t="s">
        <v>5637</v>
      </c>
      <c r="H1560">
        <v>11212</v>
      </c>
      <c r="I1560" t="s">
        <v>5697</v>
      </c>
      <c r="J1560" t="s">
        <v>5696</v>
      </c>
      <c r="K1560" t="s">
        <v>6517</v>
      </c>
      <c r="L1560" t="s">
        <v>6712</v>
      </c>
      <c r="O1560" t="s">
        <v>6745</v>
      </c>
      <c r="P1560" t="s">
        <v>5697</v>
      </c>
      <c r="R1560" t="s">
        <v>6793</v>
      </c>
      <c r="S1560" t="s">
        <v>6801</v>
      </c>
      <c r="U1560">
        <v>2200</v>
      </c>
      <c r="V1560" t="s">
        <v>6835</v>
      </c>
      <c r="Y1560" t="s">
        <v>8319</v>
      </c>
      <c r="AA1560" t="s">
        <v>10357</v>
      </c>
      <c r="AB1560">
        <v>5</v>
      </c>
      <c r="AC1560" t="s">
        <v>10930</v>
      </c>
      <c r="AD1560" t="s">
        <v>5741</v>
      </c>
      <c r="AE1560">
        <v>1</v>
      </c>
      <c r="AF1560">
        <v>1</v>
      </c>
      <c r="AG1560">
        <v>1</v>
      </c>
      <c r="AH1560">
        <v>218.1</v>
      </c>
      <c r="AK1560" t="s">
        <v>10966</v>
      </c>
      <c r="AL1560">
        <v>36880</v>
      </c>
      <c r="AR1560">
        <v>29.6</v>
      </c>
      <c r="AS1560" t="s">
        <v>6828</v>
      </c>
      <c r="AT1560" t="s">
        <v>11180</v>
      </c>
      <c r="AU1560" t="s">
        <v>5741</v>
      </c>
      <c r="AV1560" t="s">
        <v>11231</v>
      </c>
      <c r="AW1560" t="s">
        <v>11132</v>
      </c>
    </row>
    <row r="1561" spans="1:49">
      <c r="A1561" s="1">
        <f>HYPERLINK("https://lsnyc.legalserver.org/matter/dynamic-profile/view/1903565","19-1903565")</f>
        <v>0</v>
      </c>
      <c r="B1561" t="s">
        <v>199</v>
      </c>
      <c r="C1561" t="s">
        <v>1313</v>
      </c>
      <c r="D1561" t="s">
        <v>2679</v>
      </c>
      <c r="E1561" t="s">
        <v>4489</v>
      </c>
      <c r="F1561" t="s">
        <v>5347</v>
      </c>
      <c r="G1561" t="s">
        <v>5635</v>
      </c>
      <c r="H1561">
        <v>10467</v>
      </c>
      <c r="I1561" t="s">
        <v>5695</v>
      </c>
      <c r="J1561" t="s">
        <v>5696</v>
      </c>
      <c r="K1561" t="s">
        <v>6518</v>
      </c>
      <c r="L1561" t="s">
        <v>6712</v>
      </c>
      <c r="O1561" t="s">
        <v>6763</v>
      </c>
      <c r="P1561" t="s">
        <v>5697</v>
      </c>
      <c r="R1561" t="s">
        <v>6793</v>
      </c>
      <c r="S1561" t="s">
        <v>6801</v>
      </c>
      <c r="U1561">
        <v>0</v>
      </c>
      <c r="V1561" t="s">
        <v>6833</v>
      </c>
      <c r="Y1561" t="s">
        <v>8320</v>
      </c>
      <c r="AA1561" t="s">
        <v>10358</v>
      </c>
      <c r="AB1561">
        <v>0</v>
      </c>
      <c r="AC1561" t="s">
        <v>10933</v>
      </c>
      <c r="AE1561">
        <v>8</v>
      </c>
      <c r="AF1561">
        <v>1</v>
      </c>
      <c r="AG1561">
        <v>0</v>
      </c>
      <c r="AH1561">
        <v>51.21</v>
      </c>
      <c r="AK1561" t="s">
        <v>10966</v>
      </c>
      <c r="AL1561">
        <v>6396</v>
      </c>
      <c r="AR1561">
        <v>9</v>
      </c>
      <c r="AS1561" t="s">
        <v>6823</v>
      </c>
      <c r="AT1561" t="s">
        <v>288</v>
      </c>
      <c r="AU1561" t="s">
        <v>11228</v>
      </c>
      <c r="AV1561" t="s">
        <v>11231</v>
      </c>
      <c r="AW1561" t="s">
        <v>11147</v>
      </c>
    </row>
    <row r="1562" spans="1:49">
      <c r="A1562" s="1">
        <f>HYPERLINK("https://lsnyc.legalserver.org/matter/dynamic-profile/view/1903717","19-1903717")</f>
        <v>0</v>
      </c>
      <c r="B1562" t="s">
        <v>89</v>
      </c>
      <c r="C1562" t="s">
        <v>450</v>
      </c>
      <c r="D1562" t="s">
        <v>2680</v>
      </c>
      <c r="E1562" t="s">
        <v>4490</v>
      </c>
      <c r="G1562" t="s">
        <v>5636</v>
      </c>
      <c r="H1562">
        <v>10303</v>
      </c>
      <c r="I1562" t="s">
        <v>5695</v>
      </c>
      <c r="J1562" t="s">
        <v>5696</v>
      </c>
      <c r="K1562" t="s">
        <v>6519</v>
      </c>
      <c r="L1562" t="s">
        <v>6712</v>
      </c>
      <c r="O1562" t="s">
        <v>6762</v>
      </c>
      <c r="P1562" t="s">
        <v>5697</v>
      </c>
      <c r="R1562" t="s">
        <v>6793</v>
      </c>
      <c r="S1562" t="s">
        <v>6801</v>
      </c>
      <c r="T1562" t="s">
        <v>6811</v>
      </c>
      <c r="U1562">
        <v>2700</v>
      </c>
      <c r="V1562" t="s">
        <v>6834</v>
      </c>
      <c r="W1562" t="s">
        <v>6839</v>
      </c>
      <c r="Y1562" t="s">
        <v>8321</v>
      </c>
      <c r="AA1562" t="s">
        <v>10359</v>
      </c>
      <c r="AB1562">
        <v>1</v>
      </c>
      <c r="AC1562" t="s">
        <v>10930</v>
      </c>
      <c r="AD1562" t="s">
        <v>5741</v>
      </c>
      <c r="AE1562">
        <v>2</v>
      </c>
      <c r="AF1562">
        <v>2</v>
      </c>
      <c r="AG1562">
        <v>1</v>
      </c>
      <c r="AH1562">
        <v>142.52</v>
      </c>
      <c r="AK1562" t="s">
        <v>10966</v>
      </c>
      <c r="AL1562">
        <v>30400</v>
      </c>
      <c r="AR1562">
        <v>0.2</v>
      </c>
      <c r="AS1562" t="s">
        <v>6822</v>
      </c>
      <c r="AT1562" t="s">
        <v>11177</v>
      </c>
      <c r="AU1562" t="s">
        <v>11228</v>
      </c>
      <c r="AV1562" t="s">
        <v>11231</v>
      </c>
      <c r="AW1562" t="s">
        <v>6811</v>
      </c>
    </row>
    <row r="1563" spans="1:49">
      <c r="A1563" s="1">
        <f>HYPERLINK("https://lsnyc.legalserver.org/matter/dynamic-profile/view/1905824","19-1905824")</f>
        <v>0</v>
      </c>
      <c r="B1563" t="s">
        <v>60</v>
      </c>
      <c r="C1563" t="s">
        <v>1314</v>
      </c>
      <c r="D1563" t="s">
        <v>2438</v>
      </c>
      <c r="E1563" t="s">
        <v>4491</v>
      </c>
      <c r="F1563" t="s">
        <v>5154</v>
      </c>
      <c r="G1563" t="s">
        <v>5636</v>
      </c>
      <c r="H1563">
        <v>10302</v>
      </c>
      <c r="I1563" t="s">
        <v>5695</v>
      </c>
      <c r="J1563" t="s">
        <v>5696</v>
      </c>
      <c r="K1563" t="s">
        <v>6520</v>
      </c>
      <c r="L1563" t="s">
        <v>6712</v>
      </c>
      <c r="O1563" t="s">
        <v>6762</v>
      </c>
      <c r="P1563" t="s">
        <v>5697</v>
      </c>
      <c r="R1563" t="s">
        <v>6793</v>
      </c>
      <c r="S1563" t="s">
        <v>6801</v>
      </c>
      <c r="T1563" t="s">
        <v>6824</v>
      </c>
      <c r="U1563">
        <v>1105</v>
      </c>
      <c r="V1563" t="s">
        <v>6834</v>
      </c>
      <c r="W1563" t="s">
        <v>6839</v>
      </c>
      <c r="Y1563" t="s">
        <v>8322</v>
      </c>
      <c r="AA1563" t="s">
        <v>10360</v>
      </c>
      <c r="AB1563">
        <v>12</v>
      </c>
      <c r="AC1563" t="s">
        <v>10929</v>
      </c>
      <c r="AD1563" t="s">
        <v>5741</v>
      </c>
      <c r="AE1563">
        <v>15</v>
      </c>
      <c r="AF1563">
        <v>2</v>
      </c>
      <c r="AG1563">
        <v>2</v>
      </c>
      <c r="AH1563">
        <v>189.83</v>
      </c>
      <c r="AK1563" t="s">
        <v>10966</v>
      </c>
      <c r="AL1563">
        <v>48880</v>
      </c>
      <c r="AR1563">
        <v>1.2</v>
      </c>
      <c r="AS1563" t="s">
        <v>6824</v>
      </c>
      <c r="AT1563" t="s">
        <v>11177</v>
      </c>
      <c r="AU1563" t="s">
        <v>11228</v>
      </c>
      <c r="AV1563" t="s">
        <v>11231</v>
      </c>
      <c r="AW1563" t="s">
        <v>6824</v>
      </c>
    </row>
    <row r="1564" spans="1:49">
      <c r="A1564" s="1">
        <f>HYPERLINK("https://lsnyc.legalserver.org/matter/dynamic-profile/view/1904281","19-1904281")</f>
        <v>0</v>
      </c>
      <c r="B1564" t="s">
        <v>228</v>
      </c>
      <c r="C1564" t="s">
        <v>334</v>
      </c>
      <c r="D1564" t="s">
        <v>2681</v>
      </c>
      <c r="E1564" t="s">
        <v>4492</v>
      </c>
      <c r="F1564" t="s">
        <v>5116</v>
      </c>
      <c r="G1564" t="s">
        <v>5637</v>
      </c>
      <c r="H1564">
        <v>11212</v>
      </c>
      <c r="I1564" t="s">
        <v>5695</v>
      </c>
      <c r="J1564" t="s">
        <v>5696</v>
      </c>
      <c r="K1564" t="s">
        <v>6521</v>
      </c>
      <c r="L1564" t="s">
        <v>6712</v>
      </c>
      <c r="O1564" t="s">
        <v>6745</v>
      </c>
      <c r="P1564" t="s">
        <v>5697</v>
      </c>
      <c r="R1564" t="s">
        <v>6793</v>
      </c>
      <c r="S1564" t="s">
        <v>6801</v>
      </c>
      <c r="T1564" t="s">
        <v>6824</v>
      </c>
      <c r="U1564">
        <v>1800</v>
      </c>
      <c r="V1564" t="s">
        <v>6835</v>
      </c>
      <c r="W1564" t="s">
        <v>6853</v>
      </c>
      <c r="Y1564" t="s">
        <v>8323</v>
      </c>
      <c r="Z1564" t="s">
        <v>9058</v>
      </c>
      <c r="AA1564" t="s">
        <v>10361</v>
      </c>
      <c r="AB1564">
        <v>4</v>
      </c>
      <c r="AC1564" t="s">
        <v>10930</v>
      </c>
      <c r="AD1564" t="s">
        <v>10948</v>
      </c>
      <c r="AE1564">
        <v>4</v>
      </c>
      <c r="AF1564">
        <v>4</v>
      </c>
      <c r="AG1564">
        <v>0</v>
      </c>
      <c r="AH1564">
        <v>111.01</v>
      </c>
      <c r="AK1564" t="s">
        <v>10966</v>
      </c>
      <c r="AL1564">
        <v>28584</v>
      </c>
      <c r="AR1564">
        <v>1</v>
      </c>
      <c r="AS1564" t="s">
        <v>6813</v>
      </c>
      <c r="AT1564" t="s">
        <v>11192</v>
      </c>
      <c r="AU1564" t="s">
        <v>11228</v>
      </c>
      <c r="AV1564" t="s">
        <v>11231</v>
      </c>
      <c r="AW1564" t="s">
        <v>6813</v>
      </c>
    </row>
    <row r="1565" spans="1:49">
      <c r="A1565" s="1">
        <f>HYPERLINK("https://lsnyc.legalserver.org/matter/dynamic-profile/view/1905864","19-1905864")</f>
        <v>0</v>
      </c>
      <c r="B1565" t="s">
        <v>195</v>
      </c>
      <c r="C1565" t="s">
        <v>376</v>
      </c>
      <c r="D1565" t="s">
        <v>2682</v>
      </c>
      <c r="E1565" t="s">
        <v>4493</v>
      </c>
      <c r="G1565" t="s">
        <v>5635</v>
      </c>
      <c r="H1565">
        <v>10467</v>
      </c>
      <c r="I1565" t="s">
        <v>5695</v>
      </c>
      <c r="J1565" t="s">
        <v>5696</v>
      </c>
      <c r="K1565" t="s">
        <v>6522</v>
      </c>
      <c r="L1565" t="s">
        <v>6712</v>
      </c>
      <c r="O1565" t="s">
        <v>6763</v>
      </c>
      <c r="P1565" t="s">
        <v>5697</v>
      </c>
      <c r="R1565" t="s">
        <v>6793</v>
      </c>
      <c r="U1565">
        <v>1998</v>
      </c>
      <c r="V1565" t="s">
        <v>6833</v>
      </c>
      <c r="W1565" t="s">
        <v>6841</v>
      </c>
      <c r="Y1565" t="s">
        <v>8324</v>
      </c>
      <c r="AA1565" t="s">
        <v>10362</v>
      </c>
      <c r="AB1565">
        <v>3</v>
      </c>
      <c r="AC1565" t="s">
        <v>10930</v>
      </c>
      <c r="AD1565" t="s">
        <v>10944</v>
      </c>
      <c r="AE1565">
        <v>3</v>
      </c>
      <c r="AF1565">
        <v>3</v>
      </c>
      <c r="AG1565">
        <v>0</v>
      </c>
      <c r="AH1565">
        <v>12.49</v>
      </c>
      <c r="AK1565" t="s">
        <v>10966</v>
      </c>
      <c r="AL1565">
        <v>2664</v>
      </c>
      <c r="AR1565">
        <v>0</v>
      </c>
      <c r="AT1565" t="s">
        <v>11196</v>
      </c>
      <c r="AV1565" t="s">
        <v>11231</v>
      </c>
      <c r="AW1565" t="s">
        <v>6824</v>
      </c>
    </row>
    <row r="1566" spans="1:49">
      <c r="A1566" s="1">
        <f>HYPERLINK("https://lsnyc.legalserver.org/matter/dynamic-profile/view/1899688","19-1899688")</f>
        <v>0</v>
      </c>
      <c r="B1566" t="s">
        <v>136</v>
      </c>
      <c r="C1566" t="s">
        <v>1315</v>
      </c>
      <c r="D1566" t="s">
        <v>2683</v>
      </c>
      <c r="E1566" t="s">
        <v>4494</v>
      </c>
      <c r="F1566" t="s">
        <v>5109</v>
      </c>
      <c r="G1566" t="s">
        <v>5637</v>
      </c>
      <c r="H1566">
        <v>11207</v>
      </c>
      <c r="I1566" t="s">
        <v>5696</v>
      </c>
      <c r="J1566" t="s">
        <v>5696</v>
      </c>
      <c r="K1566" t="s">
        <v>6523</v>
      </c>
      <c r="L1566" t="s">
        <v>6712</v>
      </c>
      <c r="O1566" t="s">
        <v>6771</v>
      </c>
      <c r="R1566" t="s">
        <v>6793</v>
      </c>
      <c r="U1566">
        <v>1700</v>
      </c>
      <c r="V1566" t="s">
        <v>6835</v>
      </c>
      <c r="W1566" t="s">
        <v>6845</v>
      </c>
      <c r="Y1566" t="s">
        <v>8325</v>
      </c>
      <c r="AA1566" t="s">
        <v>10363</v>
      </c>
      <c r="AB1566">
        <v>2</v>
      </c>
      <c r="AD1566" t="s">
        <v>10948</v>
      </c>
      <c r="AE1566">
        <v>1</v>
      </c>
      <c r="AF1566">
        <v>1</v>
      </c>
      <c r="AG1566">
        <v>0</v>
      </c>
      <c r="AH1566">
        <v>115.92</v>
      </c>
      <c r="AK1566" t="s">
        <v>10966</v>
      </c>
      <c r="AL1566">
        <v>14478.96</v>
      </c>
      <c r="AR1566">
        <v>20.75</v>
      </c>
      <c r="AS1566" t="s">
        <v>6822</v>
      </c>
      <c r="AT1566" t="s">
        <v>11192</v>
      </c>
      <c r="AV1566" t="s">
        <v>11231</v>
      </c>
      <c r="AW1566" t="s">
        <v>11146</v>
      </c>
    </row>
    <row r="1567" spans="1:49">
      <c r="A1567" s="1">
        <f>HYPERLINK("https://lsnyc.legalserver.org/matter/dynamic-profile/view/1904656","19-1904656")</f>
        <v>0</v>
      </c>
      <c r="B1567" t="s">
        <v>281</v>
      </c>
      <c r="C1567" t="s">
        <v>1316</v>
      </c>
      <c r="D1567" t="s">
        <v>2684</v>
      </c>
      <c r="E1567" t="s">
        <v>4495</v>
      </c>
      <c r="F1567" t="s">
        <v>5540</v>
      </c>
      <c r="G1567" t="s">
        <v>5636</v>
      </c>
      <c r="H1567">
        <v>10303</v>
      </c>
      <c r="I1567" t="s">
        <v>5695</v>
      </c>
      <c r="J1567" t="s">
        <v>5696</v>
      </c>
      <c r="K1567" t="s">
        <v>6524</v>
      </c>
      <c r="L1567" t="s">
        <v>6712</v>
      </c>
      <c r="O1567" t="s">
        <v>6762</v>
      </c>
      <c r="P1567" t="s">
        <v>5697</v>
      </c>
      <c r="R1567" t="s">
        <v>6793</v>
      </c>
      <c r="S1567" t="s">
        <v>6801</v>
      </c>
      <c r="T1567" t="s">
        <v>6809</v>
      </c>
      <c r="U1567">
        <v>2359</v>
      </c>
      <c r="V1567" t="s">
        <v>6834</v>
      </c>
      <c r="W1567" t="s">
        <v>6839</v>
      </c>
      <c r="Y1567" t="s">
        <v>8326</v>
      </c>
      <c r="AA1567" t="s">
        <v>10364</v>
      </c>
      <c r="AB1567">
        <v>0</v>
      </c>
      <c r="AC1567" t="s">
        <v>10930</v>
      </c>
      <c r="AD1567" t="s">
        <v>10944</v>
      </c>
      <c r="AE1567">
        <v>1</v>
      </c>
      <c r="AF1567">
        <v>2</v>
      </c>
      <c r="AG1567">
        <v>2</v>
      </c>
      <c r="AH1567">
        <v>68.23999999999999</v>
      </c>
      <c r="AL1567">
        <v>17571.6</v>
      </c>
      <c r="AR1567">
        <v>9.6</v>
      </c>
      <c r="AS1567" t="s">
        <v>6824</v>
      </c>
      <c r="AT1567" t="s">
        <v>11177</v>
      </c>
      <c r="AU1567" t="s">
        <v>11228</v>
      </c>
      <c r="AV1567" t="s">
        <v>11231</v>
      </c>
      <c r="AW1567" t="s">
        <v>6809</v>
      </c>
    </row>
    <row r="1568" spans="1:49">
      <c r="A1568" s="1">
        <f>HYPERLINK("https://lsnyc.legalserver.org/matter/dynamic-profile/view/1904419","19-1904419")</f>
        <v>0</v>
      </c>
      <c r="B1568" t="s">
        <v>282</v>
      </c>
      <c r="C1568" t="s">
        <v>1317</v>
      </c>
      <c r="D1568" t="s">
        <v>2685</v>
      </c>
      <c r="E1568" t="s">
        <v>4496</v>
      </c>
      <c r="F1568" t="s">
        <v>5541</v>
      </c>
      <c r="G1568" t="s">
        <v>5637</v>
      </c>
      <c r="H1568">
        <v>11213</v>
      </c>
      <c r="I1568" t="s">
        <v>5695</v>
      </c>
      <c r="J1568" t="s">
        <v>5696</v>
      </c>
      <c r="K1568" t="s">
        <v>6525</v>
      </c>
      <c r="L1568" t="s">
        <v>6712</v>
      </c>
      <c r="O1568" t="s">
        <v>6745</v>
      </c>
      <c r="P1568" t="s">
        <v>5697</v>
      </c>
      <c r="R1568" t="s">
        <v>6793</v>
      </c>
      <c r="S1568" t="s">
        <v>6801</v>
      </c>
      <c r="U1568">
        <v>876</v>
      </c>
      <c r="V1568" t="s">
        <v>6835</v>
      </c>
      <c r="W1568" t="s">
        <v>6849</v>
      </c>
      <c r="Y1568" t="s">
        <v>8327</v>
      </c>
      <c r="Z1568" t="s">
        <v>5741</v>
      </c>
      <c r="AA1568" t="s">
        <v>10365</v>
      </c>
      <c r="AB1568">
        <v>107</v>
      </c>
      <c r="AC1568" t="s">
        <v>10929</v>
      </c>
      <c r="AD1568" t="s">
        <v>5741</v>
      </c>
      <c r="AE1568">
        <v>35</v>
      </c>
      <c r="AF1568">
        <v>1</v>
      </c>
      <c r="AG1568">
        <v>0</v>
      </c>
      <c r="AH1568">
        <v>333.07</v>
      </c>
      <c r="AK1568" t="s">
        <v>10966</v>
      </c>
      <c r="AL1568">
        <v>41600</v>
      </c>
      <c r="AR1568">
        <v>1.1</v>
      </c>
      <c r="AS1568" t="s">
        <v>6809</v>
      </c>
      <c r="AT1568" t="s">
        <v>69</v>
      </c>
      <c r="AU1568" t="s">
        <v>11228</v>
      </c>
      <c r="AV1568" t="s">
        <v>11231</v>
      </c>
      <c r="AW1568" t="s">
        <v>6815</v>
      </c>
    </row>
    <row r="1569" spans="1:49">
      <c r="A1569" s="1">
        <f>HYPERLINK("https://lsnyc.legalserver.org/matter/dynamic-profile/view/1905942","19-1905942")</f>
        <v>0</v>
      </c>
      <c r="B1569" t="s">
        <v>218</v>
      </c>
      <c r="C1569" t="s">
        <v>1318</v>
      </c>
      <c r="D1569" t="s">
        <v>2686</v>
      </c>
      <c r="E1569" t="s">
        <v>4497</v>
      </c>
      <c r="F1569">
        <v>24</v>
      </c>
      <c r="G1569" t="s">
        <v>5635</v>
      </c>
      <c r="H1569">
        <v>10468</v>
      </c>
      <c r="I1569" t="s">
        <v>5695</v>
      </c>
      <c r="J1569" t="s">
        <v>5696</v>
      </c>
      <c r="K1569" t="s">
        <v>6526</v>
      </c>
      <c r="L1569" t="s">
        <v>6712</v>
      </c>
      <c r="O1569" t="s">
        <v>6763</v>
      </c>
      <c r="P1569" t="s">
        <v>5697</v>
      </c>
      <c r="R1569" t="s">
        <v>6793</v>
      </c>
      <c r="U1569">
        <v>0</v>
      </c>
      <c r="V1569" t="s">
        <v>6833</v>
      </c>
      <c r="Y1569" t="s">
        <v>8328</v>
      </c>
      <c r="AA1569" t="s">
        <v>10366</v>
      </c>
      <c r="AB1569">
        <v>38</v>
      </c>
      <c r="AE1569">
        <v>30</v>
      </c>
      <c r="AF1569">
        <v>3</v>
      </c>
      <c r="AG1569">
        <v>0</v>
      </c>
      <c r="AH1569">
        <v>255.98</v>
      </c>
      <c r="AK1569" t="s">
        <v>10966</v>
      </c>
      <c r="AL1569">
        <v>54600</v>
      </c>
      <c r="AR1569">
        <v>0</v>
      </c>
      <c r="AT1569" t="s">
        <v>288</v>
      </c>
      <c r="AU1569" t="s">
        <v>11228</v>
      </c>
      <c r="AV1569" t="s">
        <v>11231</v>
      </c>
      <c r="AW1569" t="s">
        <v>6826</v>
      </c>
    </row>
    <row r="1570" spans="1:49">
      <c r="A1570" s="1">
        <f>HYPERLINK("https://lsnyc.legalserver.org/matter/dynamic-profile/view/1905240","19-1905240")</f>
        <v>0</v>
      </c>
      <c r="B1570" t="s">
        <v>282</v>
      </c>
      <c r="C1570" t="s">
        <v>908</v>
      </c>
      <c r="D1570" t="s">
        <v>2687</v>
      </c>
      <c r="E1570" t="s">
        <v>4498</v>
      </c>
      <c r="F1570" t="s">
        <v>5300</v>
      </c>
      <c r="G1570" t="s">
        <v>5637</v>
      </c>
      <c r="H1570">
        <v>11233</v>
      </c>
      <c r="I1570" t="s">
        <v>5697</v>
      </c>
      <c r="J1570" t="s">
        <v>5696</v>
      </c>
      <c r="K1570" t="s">
        <v>6527</v>
      </c>
      <c r="L1570" t="s">
        <v>6712</v>
      </c>
      <c r="O1570" t="s">
        <v>6745</v>
      </c>
      <c r="P1570" t="s">
        <v>5697</v>
      </c>
      <c r="R1570" t="s">
        <v>6793</v>
      </c>
      <c r="S1570" t="s">
        <v>6801</v>
      </c>
      <c r="U1570">
        <v>1506</v>
      </c>
      <c r="V1570" t="s">
        <v>6835</v>
      </c>
      <c r="W1570" t="s">
        <v>6849</v>
      </c>
      <c r="Y1570" t="s">
        <v>8329</v>
      </c>
      <c r="Z1570" t="s">
        <v>9059</v>
      </c>
      <c r="AA1570" t="s">
        <v>10367</v>
      </c>
      <c r="AB1570">
        <v>3</v>
      </c>
      <c r="AC1570" t="s">
        <v>10930</v>
      </c>
      <c r="AD1570" t="s">
        <v>10944</v>
      </c>
      <c r="AE1570">
        <v>2010</v>
      </c>
      <c r="AF1570">
        <v>1</v>
      </c>
      <c r="AG1570">
        <v>1</v>
      </c>
      <c r="AH1570">
        <v>12.77</v>
      </c>
      <c r="AK1570" t="s">
        <v>10966</v>
      </c>
      <c r="AL1570">
        <v>2160</v>
      </c>
      <c r="AR1570">
        <v>0.1</v>
      </c>
      <c r="AS1570" t="s">
        <v>6820</v>
      </c>
      <c r="AT1570" t="s">
        <v>69</v>
      </c>
      <c r="AU1570" t="s">
        <v>5741</v>
      </c>
      <c r="AV1570" t="s">
        <v>11231</v>
      </c>
      <c r="AW1570" t="s">
        <v>6808</v>
      </c>
    </row>
    <row r="1571" spans="1:49">
      <c r="A1571" s="1">
        <f>HYPERLINK("https://lsnyc.legalserver.org/matter/dynamic-profile/view/1902689","19-1902689")</f>
        <v>0</v>
      </c>
      <c r="B1571" t="s">
        <v>101</v>
      </c>
      <c r="C1571" t="s">
        <v>1319</v>
      </c>
      <c r="D1571" t="s">
        <v>2688</v>
      </c>
      <c r="E1571" t="s">
        <v>4499</v>
      </c>
      <c r="F1571" t="s">
        <v>5118</v>
      </c>
      <c r="G1571" t="s">
        <v>5636</v>
      </c>
      <c r="H1571">
        <v>10301</v>
      </c>
      <c r="I1571" t="s">
        <v>5695</v>
      </c>
      <c r="J1571" t="s">
        <v>5696</v>
      </c>
      <c r="K1571" t="s">
        <v>6528</v>
      </c>
      <c r="L1571" t="s">
        <v>6712</v>
      </c>
      <c r="O1571" t="s">
        <v>6745</v>
      </c>
      <c r="P1571" t="s">
        <v>5697</v>
      </c>
      <c r="R1571" t="s">
        <v>6793</v>
      </c>
      <c r="S1571" t="s">
        <v>6801</v>
      </c>
      <c r="U1571">
        <v>1025</v>
      </c>
      <c r="V1571" t="s">
        <v>6834</v>
      </c>
      <c r="W1571" t="s">
        <v>6839</v>
      </c>
      <c r="Y1571" t="s">
        <v>8330</v>
      </c>
      <c r="AA1571" t="s">
        <v>10368</v>
      </c>
      <c r="AB1571">
        <v>2</v>
      </c>
      <c r="AC1571" t="s">
        <v>10930</v>
      </c>
      <c r="AD1571" t="s">
        <v>5741</v>
      </c>
      <c r="AE1571">
        <v>6</v>
      </c>
      <c r="AF1571">
        <v>1</v>
      </c>
      <c r="AG1571">
        <v>0</v>
      </c>
      <c r="AH1571">
        <v>158.21</v>
      </c>
      <c r="AK1571" t="s">
        <v>10966</v>
      </c>
      <c r="AL1571">
        <v>19760</v>
      </c>
      <c r="AR1571">
        <v>7</v>
      </c>
      <c r="AS1571" t="s">
        <v>6819</v>
      </c>
      <c r="AT1571" t="s">
        <v>11177</v>
      </c>
      <c r="AU1571" t="s">
        <v>11228</v>
      </c>
      <c r="AV1571" t="s">
        <v>11231</v>
      </c>
      <c r="AW1571" t="s">
        <v>6807</v>
      </c>
    </row>
    <row r="1572" spans="1:49">
      <c r="A1572" s="1">
        <f>HYPERLINK("https://lsnyc.legalserver.org/matter/dynamic-profile/view/1895582","19-1895582")</f>
        <v>0</v>
      </c>
      <c r="B1572" t="s">
        <v>155</v>
      </c>
      <c r="C1572" t="s">
        <v>1320</v>
      </c>
      <c r="D1572" t="s">
        <v>1893</v>
      </c>
      <c r="E1572" t="s">
        <v>4500</v>
      </c>
      <c r="G1572" t="s">
        <v>5637</v>
      </c>
      <c r="H1572">
        <v>11233</v>
      </c>
      <c r="I1572" t="s">
        <v>5697</v>
      </c>
      <c r="J1572" t="s">
        <v>5697</v>
      </c>
      <c r="K1572" t="s">
        <v>6529</v>
      </c>
      <c r="L1572" t="s">
        <v>6712</v>
      </c>
      <c r="O1572" t="s">
        <v>6745</v>
      </c>
      <c r="P1572" t="s">
        <v>5697</v>
      </c>
      <c r="R1572" t="s">
        <v>6793</v>
      </c>
      <c r="S1572" t="s">
        <v>6801</v>
      </c>
      <c r="U1572">
        <v>750</v>
      </c>
      <c r="V1572" t="s">
        <v>6835</v>
      </c>
      <c r="W1572" t="s">
        <v>6839</v>
      </c>
      <c r="Y1572" t="s">
        <v>8331</v>
      </c>
      <c r="Z1572" t="s">
        <v>9060</v>
      </c>
      <c r="AA1572" t="s">
        <v>10369</v>
      </c>
      <c r="AB1572">
        <v>2</v>
      </c>
      <c r="AC1572" t="s">
        <v>10930</v>
      </c>
      <c r="AD1572" t="s">
        <v>5741</v>
      </c>
      <c r="AE1572">
        <v>2</v>
      </c>
      <c r="AF1572">
        <v>1</v>
      </c>
      <c r="AG1572">
        <v>0</v>
      </c>
      <c r="AH1572">
        <v>124.11</v>
      </c>
      <c r="AK1572" t="s">
        <v>10966</v>
      </c>
      <c r="AL1572">
        <v>15501.6</v>
      </c>
      <c r="AR1572">
        <v>4.25</v>
      </c>
      <c r="AS1572" t="s">
        <v>11147</v>
      </c>
      <c r="AT1572" t="s">
        <v>11183</v>
      </c>
      <c r="AU1572" t="s">
        <v>11229</v>
      </c>
      <c r="AV1572" t="s">
        <v>11231</v>
      </c>
      <c r="AW1572" t="s">
        <v>11119</v>
      </c>
    </row>
    <row r="1573" spans="1:49">
      <c r="A1573" s="1">
        <f>HYPERLINK("https://lsnyc.legalserver.org/matter/dynamic-profile/view/1903626","19-1903626")</f>
        <v>0</v>
      </c>
      <c r="B1573" t="s">
        <v>245</v>
      </c>
      <c r="C1573" t="s">
        <v>1215</v>
      </c>
      <c r="D1573" t="s">
        <v>2689</v>
      </c>
      <c r="E1573" t="s">
        <v>4501</v>
      </c>
      <c r="F1573" t="s">
        <v>5118</v>
      </c>
      <c r="G1573" t="s">
        <v>5638</v>
      </c>
      <c r="H1573">
        <v>10033</v>
      </c>
      <c r="I1573" t="s">
        <v>5696</v>
      </c>
      <c r="J1573" t="s">
        <v>5696</v>
      </c>
      <c r="K1573">
        <v>63076</v>
      </c>
      <c r="L1573" t="s">
        <v>6712</v>
      </c>
      <c r="O1573" t="s">
        <v>6745</v>
      </c>
      <c r="R1573" t="s">
        <v>6793</v>
      </c>
      <c r="U1573">
        <v>1000</v>
      </c>
      <c r="V1573" t="s">
        <v>6836</v>
      </c>
      <c r="Y1573" t="s">
        <v>8332</v>
      </c>
      <c r="AA1573" t="s">
        <v>10370</v>
      </c>
      <c r="AB1573">
        <v>0</v>
      </c>
      <c r="AE1573">
        <v>1</v>
      </c>
      <c r="AF1573">
        <v>2</v>
      </c>
      <c r="AG1573">
        <v>2</v>
      </c>
      <c r="AH1573">
        <v>58.56</v>
      </c>
      <c r="AK1573" t="s">
        <v>10967</v>
      </c>
      <c r="AL1573">
        <v>15080</v>
      </c>
      <c r="AR1573">
        <v>2.85</v>
      </c>
      <c r="AS1573" t="s">
        <v>6812</v>
      </c>
      <c r="AT1573" t="s">
        <v>11194</v>
      </c>
      <c r="AV1573" t="s">
        <v>11231</v>
      </c>
      <c r="AW1573" t="s">
        <v>11144</v>
      </c>
    </row>
    <row r="1574" spans="1:49">
      <c r="A1574" s="1">
        <f>HYPERLINK("https://lsnyc.legalserver.org/matter/dynamic-profile/view/1906190","19-1906190")</f>
        <v>0</v>
      </c>
      <c r="B1574" t="s">
        <v>222</v>
      </c>
      <c r="C1574" t="s">
        <v>458</v>
      </c>
      <c r="D1574" t="s">
        <v>2690</v>
      </c>
      <c r="E1574" t="s">
        <v>3210</v>
      </c>
      <c r="F1574" t="s">
        <v>5349</v>
      </c>
      <c r="G1574" t="s">
        <v>5635</v>
      </c>
      <c r="H1574">
        <v>10460</v>
      </c>
      <c r="I1574" t="s">
        <v>5695</v>
      </c>
      <c r="J1574" t="s">
        <v>5696</v>
      </c>
      <c r="K1574" t="s">
        <v>6530</v>
      </c>
      <c r="L1574" t="s">
        <v>6712</v>
      </c>
      <c r="O1574" t="s">
        <v>6747</v>
      </c>
      <c r="P1574" t="s">
        <v>5697</v>
      </c>
      <c r="R1574" t="s">
        <v>6793</v>
      </c>
      <c r="U1574">
        <v>239</v>
      </c>
      <c r="V1574" t="s">
        <v>6833</v>
      </c>
      <c r="W1574" t="s">
        <v>6838</v>
      </c>
      <c r="Y1574" t="s">
        <v>8333</v>
      </c>
      <c r="AA1574" t="s">
        <v>10371</v>
      </c>
      <c r="AB1574">
        <v>0</v>
      </c>
      <c r="AC1574" t="s">
        <v>10941</v>
      </c>
      <c r="AD1574" t="s">
        <v>10944</v>
      </c>
      <c r="AE1574">
        <v>45</v>
      </c>
      <c r="AF1574">
        <v>1</v>
      </c>
      <c r="AG1574">
        <v>0</v>
      </c>
      <c r="AH1574">
        <v>79.73999999999999</v>
      </c>
      <c r="AL1574">
        <v>9960</v>
      </c>
      <c r="AR1574">
        <v>0</v>
      </c>
      <c r="AT1574" t="s">
        <v>11196</v>
      </c>
      <c r="AV1574" t="s">
        <v>11231</v>
      </c>
      <c r="AW1574" t="s">
        <v>6821</v>
      </c>
    </row>
    <row r="1575" spans="1:49">
      <c r="A1575" s="1">
        <f>HYPERLINK("https://lsnyc.legalserver.org/matter/dynamic-profile/view/1903275","19-1903275")</f>
        <v>0</v>
      </c>
      <c r="B1575" t="s">
        <v>278</v>
      </c>
      <c r="C1575" t="s">
        <v>353</v>
      </c>
      <c r="D1575" t="s">
        <v>2691</v>
      </c>
      <c r="E1575" t="s">
        <v>4502</v>
      </c>
      <c r="F1575" t="s">
        <v>5371</v>
      </c>
      <c r="G1575" t="s">
        <v>5637</v>
      </c>
      <c r="H1575">
        <v>11237</v>
      </c>
      <c r="I1575" t="s">
        <v>5696</v>
      </c>
      <c r="J1575" t="s">
        <v>5696</v>
      </c>
      <c r="K1575" t="s">
        <v>6531</v>
      </c>
      <c r="L1575" t="s">
        <v>6712</v>
      </c>
      <c r="O1575" t="s">
        <v>6748</v>
      </c>
      <c r="R1575" t="s">
        <v>6793</v>
      </c>
      <c r="U1575">
        <v>600</v>
      </c>
      <c r="V1575" t="s">
        <v>6835</v>
      </c>
      <c r="Y1575" t="s">
        <v>8334</v>
      </c>
      <c r="AA1575" t="s">
        <v>10372</v>
      </c>
      <c r="AB1575">
        <v>0</v>
      </c>
      <c r="AC1575" t="s">
        <v>8953</v>
      </c>
      <c r="AD1575" t="s">
        <v>5741</v>
      </c>
      <c r="AE1575">
        <v>35</v>
      </c>
      <c r="AF1575">
        <v>2</v>
      </c>
      <c r="AG1575">
        <v>0</v>
      </c>
      <c r="AH1575">
        <v>106.45</v>
      </c>
      <c r="AK1575" t="s">
        <v>10966</v>
      </c>
      <c r="AL1575">
        <v>18000</v>
      </c>
      <c r="AR1575">
        <v>1</v>
      </c>
      <c r="AS1575" t="s">
        <v>11139</v>
      </c>
      <c r="AT1575" t="s">
        <v>11186</v>
      </c>
      <c r="AV1575" t="s">
        <v>11231</v>
      </c>
      <c r="AW1575" t="s">
        <v>11139</v>
      </c>
    </row>
    <row r="1576" spans="1:49">
      <c r="A1576" s="1">
        <f>HYPERLINK("https://lsnyc.legalserver.org/matter/dynamic-profile/view/1906167","19-1906167")</f>
        <v>0</v>
      </c>
      <c r="B1576" t="s">
        <v>60</v>
      </c>
      <c r="C1576" t="s">
        <v>801</v>
      </c>
      <c r="D1576" t="s">
        <v>2692</v>
      </c>
      <c r="E1576" t="s">
        <v>4503</v>
      </c>
      <c r="F1576" t="s">
        <v>5542</v>
      </c>
      <c r="G1576" t="s">
        <v>5636</v>
      </c>
      <c r="H1576">
        <v>10310</v>
      </c>
      <c r="I1576" t="s">
        <v>5695</v>
      </c>
      <c r="J1576" t="s">
        <v>5696</v>
      </c>
      <c r="K1576" t="s">
        <v>6532</v>
      </c>
      <c r="L1576" t="s">
        <v>6712</v>
      </c>
      <c r="O1576" t="s">
        <v>6762</v>
      </c>
      <c r="P1576" t="s">
        <v>5697</v>
      </c>
      <c r="R1576" t="s">
        <v>6793</v>
      </c>
      <c r="S1576" t="s">
        <v>6801</v>
      </c>
      <c r="U1576">
        <v>1210</v>
      </c>
      <c r="V1576" t="s">
        <v>6834</v>
      </c>
      <c r="Y1576" t="s">
        <v>8335</v>
      </c>
      <c r="AA1576" t="s">
        <v>10373</v>
      </c>
      <c r="AB1576">
        <v>0</v>
      </c>
      <c r="AE1576">
        <v>5</v>
      </c>
      <c r="AF1576">
        <v>1</v>
      </c>
      <c r="AG1576">
        <v>3</v>
      </c>
      <c r="AH1576">
        <v>142.51</v>
      </c>
      <c r="AK1576" t="s">
        <v>10966</v>
      </c>
      <c r="AL1576">
        <v>36696</v>
      </c>
      <c r="AR1576">
        <v>0</v>
      </c>
      <c r="AT1576" t="s">
        <v>264</v>
      </c>
      <c r="AV1576" t="s">
        <v>11231</v>
      </c>
      <c r="AW1576" t="s">
        <v>6821</v>
      </c>
    </row>
    <row r="1577" spans="1:49">
      <c r="A1577" s="1">
        <f>HYPERLINK("https://lsnyc.legalserver.org/matter/dynamic-profile/view/1899123","19-1899123")</f>
        <v>0</v>
      </c>
      <c r="B1577" t="s">
        <v>89</v>
      </c>
      <c r="C1577" t="s">
        <v>1321</v>
      </c>
      <c r="D1577" t="s">
        <v>2256</v>
      </c>
      <c r="E1577" t="s">
        <v>4504</v>
      </c>
      <c r="F1577" t="s">
        <v>5243</v>
      </c>
      <c r="G1577" t="s">
        <v>5636</v>
      </c>
      <c r="H1577">
        <v>10306</v>
      </c>
      <c r="I1577" t="s">
        <v>5695</v>
      </c>
      <c r="J1577" t="s">
        <v>5696</v>
      </c>
      <c r="K1577" t="s">
        <v>6533</v>
      </c>
      <c r="L1577" t="s">
        <v>6712</v>
      </c>
      <c r="O1577" t="s">
        <v>6751</v>
      </c>
      <c r="P1577" t="s">
        <v>5697</v>
      </c>
      <c r="R1577" t="s">
        <v>6793</v>
      </c>
      <c r="U1577">
        <v>1500</v>
      </c>
      <c r="V1577" t="s">
        <v>6834</v>
      </c>
      <c r="W1577" t="s">
        <v>6844</v>
      </c>
      <c r="Y1577" t="s">
        <v>8336</v>
      </c>
      <c r="AA1577" t="s">
        <v>10374</v>
      </c>
      <c r="AB1577">
        <v>2</v>
      </c>
      <c r="AC1577" t="s">
        <v>10930</v>
      </c>
      <c r="AD1577" t="s">
        <v>5741</v>
      </c>
      <c r="AE1577">
        <v>4</v>
      </c>
      <c r="AF1577">
        <v>3</v>
      </c>
      <c r="AG1577">
        <v>0</v>
      </c>
      <c r="AH1577">
        <v>121.89</v>
      </c>
      <c r="AK1577" t="s">
        <v>10966</v>
      </c>
      <c r="AL1577">
        <v>26000</v>
      </c>
      <c r="AR1577">
        <v>3.75</v>
      </c>
      <c r="AS1577" t="s">
        <v>6827</v>
      </c>
      <c r="AT1577" t="s">
        <v>11225</v>
      </c>
      <c r="AU1577" t="s">
        <v>11228</v>
      </c>
      <c r="AV1577" t="s">
        <v>11231</v>
      </c>
      <c r="AW1577" t="s">
        <v>6810</v>
      </c>
    </row>
    <row r="1578" spans="1:49">
      <c r="A1578" s="1">
        <f>HYPERLINK("https://lsnyc.legalserver.org/matter/dynamic-profile/view/1901047","19-1901047")</f>
        <v>0</v>
      </c>
      <c r="B1578" t="s">
        <v>237</v>
      </c>
      <c r="C1578" t="s">
        <v>1322</v>
      </c>
      <c r="D1578" t="s">
        <v>2693</v>
      </c>
      <c r="E1578" t="s">
        <v>4505</v>
      </c>
      <c r="F1578" t="s">
        <v>5543</v>
      </c>
      <c r="G1578" t="s">
        <v>5644</v>
      </c>
      <c r="H1578">
        <v>11434</v>
      </c>
      <c r="I1578" t="s">
        <v>5696</v>
      </c>
      <c r="J1578" t="s">
        <v>5696</v>
      </c>
      <c r="K1578" t="s">
        <v>6534</v>
      </c>
      <c r="L1578" t="s">
        <v>6712</v>
      </c>
      <c r="O1578" t="s">
        <v>6750</v>
      </c>
      <c r="R1578" t="s">
        <v>6793</v>
      </c>
      <c r="U1578">
        <v>1400</v>
      </c>
      <c r="V1578" t="s">
        <v>6837</v>
      </c>
      <c r="Y1578" t="s">
        <v>8337</v>
      </c>
      <c r="AA1578" t="s">
        <v>10375</v>
      </c>
      <c r="AB1578">
        <v>2</v>
      </c>
      <c r="AD1578" t="s">
        <v>5741</v>
      </c>
      <c r="AE1578">
        <v>1</v>
      </c>
      <c r="AF1578">
        <v>2</v>
      </c>
      <c r="AG1578">
        <v>0</v>
      </c>
      <c r="AH1578">
        <v>0</v>
      </c>
      <c r="AL1578">
        <v>0</v>
      </c>
      <c r="AR1578">
        <v>27</v>
      </c>
      <c r="AS1578" t="s">
        <v>6812</v>
      </c>
      <c r="AT1578" t="s">
        <v>237</v>
      </c>
      <c r="AV1578" t="s">
        <v>11231</v>
      </c>
      <c r="AW1578" t="s">
        <v>11120</v>
      </c>
    </row>
    <row r="1579" spans="1:49">
      <c r="A1579" s="1">
        <f>HYPERLINK("https://lsnyc.legalserver.org/matter/dynamic-profile/view/1903617","19-1903617")</f>
        <v>0</v>
      </c>
      <c r="B1579" t="s">
        <v>78</v>
      </c>
      <c r="C1579" t="s">
        <v>1323</v>
      </c>
      <c r="D1579" t="s">
        <v>1048</v>
      </c>
      <c r="E1579" t="s">
        <v>4506</v>
      </c>
      <c r="F1579" t="s">
        <v>5148</v>
      </c>
      <c r="G1579" t="s">
        <v>5638</v>
      </c>
      <c r="H1579">
        <v>10033</v>
      </c>
      <c r="I1579" t="s">
        <v>5696</v>
      </c>
      <c r="J1579" t="s">
        <v>5696</v>
      </c>
      <c r="K1579">
        <v>62779</v>
      </c>
      <c r="L1579" t="s">
        <v>6712</v>
      </c>
      <c r="O1579" t="s">
        <v>6745</v>
      </c>
      <c r="R1579" t="s">
        <v>6793</v>
      </c>
      <c r="U1579">
        <v>1123.72</v>
      </c>
      <c r="V1579" t="s">
        <v>6836</v>
      </c>
      <c r="Y1579" t="s">
        <v>8338</v>
      </c>
      <c r="AA1579" t="s">
        <v>10376</v>
      </c>
      <c r="AB1579">
        <v>0</v>
      </c>
      <c r="AE1579">
        <v>29</v>
      </c>
      <c r="AF1579">
        <v>2</v>
      </c>
      <c r="AG1579">
        <v>0</v>
      </c>
      <c r="AH1579">
        <v>92.25</v>
      </c>
      <c r="AK1579" t="s">
        <v>10967</v>
      </c>
      <c r="AL1579">
        <v>15600</v>
      </c>
      <c r="AR1579">
        <v>2.25</v>
      </c>
      <c r="AS1579" t="s">
        <v>6824</v>
      </c>
      <c r="AT1579" t="s">
        <v>11194</v>
      </c>
      <c r="AV1579" t="s">
        <v>11231</v>
      </c>
      <c r="AW1579" t="s">
        <v>11144</v>
      </c>
    </row>
    <row r="1580" spans="1:49">
      <c r="A1580" s="1">
        <f>HYPERLINK("https://lsnyc.legalserver.org/matter/dynamic-profile/view/1905406","19-1905406")</f>
        <v>0</v>
      </c>
      <c r="B1580" t="s">
        <v>89</v>
      </c>
      <c r="C1580" t="s">
        <v>1324</v>
      </c>
      <c r="D1580" t="s">
        <v>2694</v>
      </c>
      <c r="E1580" t="s">
        <v>4507</v>
      </c>
      <c r="F1580" t="s">
        <v>5544</v>
      </c>
      <c r="G1580" t="s">
        <v>5636</v>
      </c>
      <c r="H1580">
        <v>10314</v>
      </c>
      <c r="I1580" t="s">
        <v>5695</v>
      </c>
      <c r="J1580" t="s">
        <v>5696</v>
      </c>
      <c r="K1580" t="s">
        <v>6535</v>
      </c>
      <c r="L1580" t="s">
        <v>6712</v>
      </c>
      <c r="O1580" t="s">
        <v>6762</v>
      </c>
      <c r="P1580" t="s">
        <v>5697</v>
      </c>
      <c r="R1580" t="s">
        <v>6793</v>
      </c>
      <c r="S1580" t="s">
        <v>6801</v>
      </c>
      <c r="T1580" t="s">
        <v>6822</v>
      </c>
      <c r="U1580">
        <v>700</v>
      </c>
      <c r="V1580" t="s">
        <v>6834</v>
      </c>
      <c r="W1580" t="s">
        <v>6839</v>
      </c>
      <c r="Y1580" t="s">
        <v>8339</v>
      </c>
      <c r="AA1580" t="s">
        <v>10377</v>
      </c>
      <c r="AB1580">
        <v>3</v>
      </c>
      <c r="AC1580" t="s">
        <v>10930</v>
      </c>
      <c r="AD1580" t="s">
        <v>5741</v>
      </c>
      <c r="AE1580">
        <v>6</v>
      </c>
      <c r="AF1580">
        <v>2</v>
      </c>
      <c r="AG1580">
        <v>1</v>
      </c>
      <c r="AH1580">
        <v>17.67</v>
      </c>
      <c r="AK1580" t="s">
        <v>10966</v>
      </c>
      <c r="AL1580">
        <v>3770</v>
      </c>
      <c r="AR1580">
        <v>0</v>
      </c>
      <c r="AT1580" t="s">
        <v>11177</v>
      </c>
      <c r="AU1580" t="s">
        <v>11228</v>
      </c>
      <c r="AV1580" t="s">
        <v>11231</v>
      </c>
      <c r="AW1580" t="s">
        <v>6822</v>
      </c>
    </row>
    <row r="1581" spans="1:49">
      <c r="A1581" s="1">
        <f>HYPERLINK("https://lsnyc.legalserver.org/matter/dynamic-profile/view/1899598","19-1899598")</f>
        <v>0</v>
      </c>
      <c r="B1581" t="s">
        <v>51</v>
      </c>
      <c r="C1581" t="s">
        <v>1325</v>
      </c>
      <c r="D1581" t="s">
        <v>2695</v>
      </c>
      <c r="E1581" t="s">
        <v>4508</v>
      </c>
      <c r="F1581" t="s">
        <v>5545</v>
      </c>
      <c r="G1581" t="s">
        <v>5636</v>
      </c>
      <c r="H1581">
        <v>10304</v>
      </c>
      <c r="I1581" t="s">
        <v>5696</v>
      </c>
      <c r="J1581" t="s">
        <v>5696</v>
      </c>
      <c r="K1581" t="s">
        <v>6536</v>
      </c>
      <c r="L1581" t="s">
        <v>6712</v>
      </c>
      <c r="O1581" t="s">
        <v>6745</v>
      </c>
      <c r="R1581" t="s">
        <v>6793</v>
      </c>
      <c r="U1581">
        <v>241</v>
      </c>
      <c r="V1581" t="s">
        <v>6834</v>
      </c>
      <c r="W1581" t="s">
        <v>6841</v>
      </c>
      <c r="Y1581" t="s">
        <v>8340</v>
      </c>
      <c r="AA1581" t="s">
        <v>10378</v>
      </c>
      <c r="AB1581">
        <v>0</v>
      </c>
      <c r="AE1581">
        <v>13</v>
      </c>
      <c r="AF1581">
        <v>1</v>
      </c>
      <c r="AG1581">
        <v>0</v>
      </c>
      <c r="AH1581">
        <v>91.56</v>
      </c>
      <c r="AK1581" t="s">
        <v>10966</v>
      </c>
      <c r="AL1581">
        <v>11436</v>
      </c>
      <c r="AR1581">
        <v>12.55</v>
      </c>
      <c r="AS1581" t="s">
        <v>6828</v>
      </c>
      <c r="AT1581" t="s">
        <v>11188</v>
      </c>
      <c r="AV1581" t="s">
        <v>11231</v>
      </c>
      <c r="AW1581" t="s">
        <v>11128</v>
      </c>
    </row>
    <row r="1582" spans="1:49">
      <c r="A1582" s="1">
        <f>HYPERLINK("https://lsnyc.legalserver.org/matter/dynamic-profile/view/1902019","19-1902019")</f>
        <v>0</v>
      </c>
      <c r="B1582" t="s">
        <v>103</v>
      </c>
      <c r="C1582" t="s">
        <v>1326</v>
      </c>
      <c r="D1582" t="s">
        <v>2696</v>
      </c>
      <c r="E1582" t="s">
        <v>4509</v>
      </c>
      <c r="F1582" t="s">
        <v>5316</v>
      </c>
      <c r="G1582" t="s">
        <v>5635</v>
      </c>
      <c r="H1582">
        <v>10468</v>
      </c>
      <c r="I1582" t="s">
        <v>5695</v>
      </c>
      <c r="J1582" t="s">
        <v>5696</v>
      </c>
      <c r="K1582" t="s">
        <v>6537</v>
      </c>
      <c r="L1582" t="s">
        <v>6712</v>
      </c>
      <c r="O1582" t="s">
        <v>6763</v>
      </c>
      <c r="P1582" t="s">
        <v>5697</v>
      </c>
      <c r="R1582" t="s">
        <v>6793</v>
      </c>
      <c r="U1582">
        <v>0</v>
      </c>
      <c r="V1582" t="s">
        <v>6833</v>
      </c>
      <c r="Y1582" t="s">
        <v>8341</v>
      </c>
      <c r="Z1582" t="s">
        <v>9061</v>
      </c>
      <c r="AA1582" t="s">
        <v>10379</v>
      </c>
      <c r="AB1582">
        <v>0</v>
      </c>
      <c r="AE1582">
        <v>0</v>
      </c>
      <c r="AF1582">
        <v>1</v>
      </c>
      <c r="AG1582">
        <v>0</v>
      </c>
      <c r="AH1582">
        <v>76.86</v>
      </c>
      <c r="AK1582" t="s">
        <v>10966</v>
      </c>
      <c r="AL1582">
        <v>9600</v>
      </c>
      <c r="AR1582">
        <v>1.75</v>
      </c>
      <c r="AS1582" t="s">
        <v>6820</v>
      </c>
      <c r="AT1582" t="s">
        <v>288</v>
      </c>
      <c r="AU1582" t="s">
        <v>11229</v>
      </c>
      <c r="AV1582" t="s">
        <v>11231</v>
      </c>
      <c r="AW1582" t="s">
        <v>11161</v>
      </c>
    </row>
    <row r="1583" spans="1:49">
      <c r="A1583" s="1">
        <f>HYPERLINK("https://lsnyc.legalserver.org/matter/dynamic-profile/view/1898236","19-1898236")</f>
        <v>0</v>
      </c>
      <c r="B1583" t="s">
        <v>101</v>
      </c>
      <c r="C1583" t="s">
        <v>1327</v>
      </c>
      <c r="D1583" t="s">
        <v>2697</v>
      </c>
      <c r="E1583" t="s">
        <v>4510</v>
      </c>
      <c r="G1583" t="s">
        <v>5636</v>
      </c>
      <c r="H1583">
        <v>10312</v>
      </c>
      <c r="I1583" t="s">
        <v>5696</v>
      </c>
      <c r="J1583" t="s">
        <v>5696</v>
      </c>
      <c r="K1583" t="s">
        <v>6538</v>
      </c>
      <c r="L1583" t="s">
        <v>6712</v>
      </c>
      <c r="O1583" t="s">
        <v>6751</v>
      </c>
      <c r="P1583" t="s">
        <v>5697</v>
      </c>
      <c r="R1583" t="s">
        <v>6793</v>
      </c>
      <c r="S1583" t="s">
        <v>6801</v>
      </c>
      <c r="U1583">
        <v>1500</v>
      </c>
      <c r="V1583" t="s">
        <v>6834</v>
      </c>
      <c r="W1583" t="s">
        <v>6839</v>
      </c>
      <c r="Y1583" t="s">
        <v>8342</v>
      </c>
      <c r="AA1583" t="s">
        <v>10380</v>
      </c>
      <c r="AB1583">
        <v>1</v>
      </c>
      <c r="AC1583" t="s">
        <v>10930</v>
      </c>
      <c r="AD1583" t="s">
        <v>5741</v>
      </c>
      <c r="AE1583">
        <v>13</v>
      </c>
      <c r="AF1583">
        <v>4</v>
      </c>
      <c r="AG1583">
        <v>5</v>
      </c>
      <c r="AH1583">
        <v>80.45999999999999</v>
      </c>
      <c r="AK1583" t="s">
        <v>10966</v>
      </c>
      <c r="AL1583">
        <v>38500</v>
      </c>
      <c r="AR1583">
        <v>5.3</v>
      </c>
      <c r="AS1583" t="s">
        <v>6812</v>
      </c>
      <c r="AT1583" t="s">
        <v>11177</v>
      </c>
      <c r="AV1583" t="s">
        <v>11231</v>
      </c>
      <c r="AW1583" t="s">
        <v>11158</v>
      </c>
    </row>
    <row r="1584" spans="1:49">
      <c r="A1584" s="1">
        <f>HYPERLINK("https://lsnyc.legalserver.org/matter/dynamic-profile/view/1906298","19-1906298")</f>
        <v>0</v>
      </c>
      <c r="B1584" t="s">
        <v>53</v>
      </c>
      <c r="C1584" t="s">
        <v>889</v>
      </c>
      <c r="D1584" t="s">
        <v>1673</v>
      </c>
      <c r="E1584" t="s">
        <v>4511</v>
      </c>
      <c r="F1584">
        <v>2</v>
      </c>
      <c r="G1584" t="s">
        <v>5635</v>
      </c>
      <c r="H1584">
        <v>10463</v>
      </c>
      <c r="I1584" t="s">
        <v>5695</v>
      </c>
      <c r="J1584" t="s">
        <v>5696</v>
      </c>
      <c r="K1584" t="s">
        <v>6539</v>
      </c>
      <c r="L1584" t="s">
        <v>6712</v>
      </c>
      <c r="O1584" t="s">
        <v>6747</v>
      </c>
      <c r="P1584" t="s">
        <v>5697</v>
      </c>
      <c r="R1584" t="s">
        <v>6793</v>
      </c>
      <c r="U1584">
        <v>1783</v>
      </c>
      <c r="V1584" t="s">
        <v>6833</v>
      </c>
      <c r="Y1584" t="s">
        <v>8343</v>
      </c>
      <c r="AA1584" t="s">
        <v>10381</v>
      </c>
      <c r="AB1584">
        <v>0</v>
      </c>
      <c r="AD1584" t="s">
        <v>10944</v>
      </c>
      <c r="AE1584">
        <v>7</v>
      </c>
      <c r="AF1584">
        <v>5</v>
      </c>
      <c r="AG1584">
        <v>0</v>
      </c>
      <c r="AH1584">
        <v>68.84</v>
      </c>
      <c r="AK1584" t="s">
        <v>10966</v>
      </c>
      <c r="AL1584">
        <v>20768.36</v>
      </c>
      <c r="AR1584">
        <v>0</v>
      </c>
      <c r="AT1584" t="s">
        <v>288</v>
      </c>
      <c r="AU1584" t="s">
        <v>11228</v>
      </c>
      <c r="AV1584" t="s">
        <v>11231</v>
      </c>
      <c r="AW1584" t="s">
        <v>6827</v>
      </c>
    </row>
    <row r="1585" spans="1:49">
      <c r="A1585" s="1">
        <f>HYPERLINK("https://lsnyc.legalserver.org/matter/dynamic-profile/view/1901609","19-1901609")</f>
        <v>0</v>
      </c>
      <c r="B1585" t="s">
        <v>217</v>
      </c>
      <c r="C1585" t="s">
        <v>1328</v>
      </c>
      <c r="D1585" t="s">
        <v>2698</v>
      </c>
      <c r="E1585" t="s">
        <v>4512</v>
      </c>
      <c r="F1585" t="s">
        <v>5546</v>
      </c>
      <c r="G1585" t="s">
        <v>5685</v>
      </c>
      <c r="H1585">
        <v>11375</v>
      </c>
      <c r="I1585" t="s">
        <v>5695</v>
      </c>
      <c r="J1585" t="s">
        <v>5696</v>
      </c>
      <c r="K1585" t="s">
        <v>6540</v>
      </c>
      <c r="L1585" t="s">
        <v>6712</v>
      </c>
      <c r="O1585" t="s">
        <v>6750</v>
      </c>
      <c r="R1585" t="s">
        <v>6793</v>
      </c>
      <c r="U1585">
        <v>1500</v>
      </c>
      <c r="V1585" t="s">
        <v>6837</v>
      </c>
      <c r="W1585" t="s">
        <v>6840</v>
      </c>
      <c r="Y1585" t="s">
        <v>8344</v>
      </c>
      <c r="Z1585" t="s">
        <v>5741</v>
      </c>
      <c r="AA1585" t="s">
        <v>10382</v>
      </c>
      <c r="AB1585">
        <v>96</v>
      </c>
      <c r="AC1585" t="s">
        <v>10936</v>
      </c>
      <c r="AD1585" t="s">
        <v>5741</v>
      </c>
      <c r="AE1585">
        <v>3</v>
      </c>
      <c r="AF1585">
        <v>1</v>
      </c>
      <c r="AG1585">
        <v>0</v>
      </c>
      <c r="AH1585">
        <v>160.13</v>
      </c>
      <c r="AL1585">
        <v>20000</v>
      </c>
      <c r="AR1585">
        <v>35.12</v>
      </c>
      <c r="AS1585" t="s">
        <v>6826</v>
      </c>
      <c r="AT1585" t="s">
        <v>11184</v>
      </c>
      <c r="AU1585" t="s">
        <v>11228</v>
      </c>
      <c r="AV1585" t="s">
        <v>11231</v>
      </c>
      <c r="AW1585" t="s">
        <v>11124</v>
      </c>
    </row>
    <row r="1586" spans="1:49">
      <c r="A1586" s="1">
        <f>HYPERLINK("https://lsnyc.legalserver.org/matter/dynamic-profile/view/1906013","19-1906013")</f>
        <v>0</v>
      </c>
      <c r="B1586" t="s">
        <v>66</v>
      </c>
      <c r="C1586" t="s">
        <v>330</v>
      </c>
      <c r="D1586" t="s">
        <v>2699</v>
      </c>
      <c r="E1586" t="s">
        <v>4513</v>
      </c>
      <c r="F1586" t="s">
        <v>5223</v>
      </c>
      <c r="G1586" t="s">
        <v>5635</v>
      </c>
      <c r="H1586">
        <v>10470</v>
      </c>
      <c r="I1586" t="s">
        <v>5695</v>
      </c>
      <c r="J1586" t="s">
        <v>5696</v>
      </c>
      <c r="K1586" t="s">
        <v>6541</v>
      </c>
      <c r="L1586" t="s">
        <v>6712</v>
      </c>
      <c r="O1586" t="s">
        <v>6747</v>
      </c>
      <c r="P1586" t="s">
        <v>5697</v>
      </c>
      <c r="R1586" t="s">
        <v>6793</v>
      </c>
      <c r="U1586">
        <v>1350</v>
      </c>
      <c r="V1586" t="s">
        <v>6833</v>
      </c>
      <c r="Y1586" t="s">
        <v>8345</v>
      </c>
      <c r="AA1586" t="s">
        <v>10383</v>
      </c>
      <c r="AB1586">
        <v>3</v>
      </c>
      <c r="AE1586">
        <v>3</v>
      </c>
      <c r="AF1586">
        <v>1</v>
      </c>
      <c r="AG1586">
        <v>0</v>
      </c>
      <c r="AH1586">
        <v>39.55</v>
      </c>
      <c r="AK1586" t="s">
        <v>10966</v>
      </c>
      <c r="AL1586">
        <v>4940</v>
      </c>
      <c r="AR1586">
        <v>0.3</v>
      </c>
      <c r="AS1586" t="s">
        <v>11168</v>
      </c>
      <c r="AT1586" t="s">
        <v>288</v>
      </c>
      <c r="AU1586" t="s">
        <v>11228</v>
      </c>
      <c r="AV1586" t="s">
        <v>11231</v>
      </c>
      <c r="AW1586" t="s">
        <v>6826</v>
      </c>
    </row>
    <row r="1587" spans="1:49">
      <c r="A1587" s="1">
        <f>HYPERLINK("https://lsnyc.legalserver.org/matter/dynamic-profile/view/1900559","19-1900559")</f>
        <v>0</v>
      </c>
      <c r="B1587" t="s">
        <v>105</v>
      </c>
      <c r="C1587" t="s">
        <v>390</v>
      </c>
      <c r="D1587" t="s">
        <v>2700</v>
      </c>
      <c r="E1587" t="s">
        <v>4514</v>
      </c>
      <c r="F1587" t="s">
        <v>5244</v>
      </c>
      <c r="G1587" t="s">
        <v>5635</v>
      </c>
      <c r="H1587">
        <v>10462</v>
      </c>
      <c r="I1587" t="s">
        <v>5695</v>
      </c>
      <c r="J1587" t="s">
        <v>5696</v>
      </c>
      <c r="K1587" t="s">
        <v>6542</v>
      </c>
      <c r="L1587" t="s">
        <v>6712</v>
      </c>
      <c r="O1587" t="s">
        <v>6763</v>
      </c>
      <c r="P1587" t="s">
        <v>5697</v>
      </c>
      <c r="R1587" t="s">
        <v>6793</v>
      </c>
      <c r="U1587">
        <v>1470</v>
      </c>
      <c r="V1587" t="s">
        <v>6833</v>
      </c>
      <c r="Y1587" t="s">
        <v>8346</v>
      </c>
      <c r="Z1587" t="s">
        <v>9062</v>
      </c>
      <c r="AA1587" t="s">
        <v>10384</v>
      </c>
      <c r="AB1587">
        <v>0</v>
      </c>
      <c r="AE1587">
        <v>0</v>
      </c>
      <c r="AF1587">
        <v>1</v>
      </c>
      <c r="AG1587">
        <v>0</v>
      </c>
      <c r="AH1587">
        <v>72.06</v>
      </c>
      <c r="AK1587" t="s">
        <v>10966</v>
      </c>
      <c r="AL1587">
        <v>9000</v>
      </c>
      <c r="AR1587">
        <v>3.5</v>
      </c>
      <c r="AS1587" t="s">
        <v>6815</v>
      </c>
      <c r="AT1587" t="s">
        <v>288</v>
      </c>
      <c r="AU1587" t="s">
        <v>11229</v>
      </c>
      <c r="AV1587" t="s">
        <v>11231</v>
      </c>
      <c r="AW1587" t="s">
        <v>6895</v>
      </c>
    </row>
    <row r="1588" spans="1:49">
      <c r="A1588" s="1">
        <f>HYPERLINK("https://lsnyc.legalserver.org/matter/dynamic-profile/view/1903960","19-1903960")</f>
        <v>0</v>
      </c>
      <c r="B1588" t="s">
        <v>79</v>
      </c>
      <c r="C1588" t="s">
        <v>491</v>
      </c>
      <c r="D1588" t="s">
        <v>2701</v>
      </c>
      <c r="E1588" t="s">
        <v>4515</v>
      </c>
      <c r="F1588" t="s">
        <v>5244</v>
      </c>
      <c r="G1588" t="s">
        <v>5646</v>
      </c>
      <c r="H1588">
        <v>11358</v>
      </c>
      <c r="I1588" t="s">
        <v>5696</v>
      </c>
      <c r="J1588" t="s">
        <v>5696</v>
      </c>
      <c r="K1588" t="s">
        <v>5727</v>
      </c>
      <c r="L1588" t="s">
        <v>6712</v>
      </c>
      <c r="O1588" t="s">
        <v>6748</v>
      </c>
      <c r="P1588" t="s">
        <v>5697</v>
      </c>
      <c r="R1588" t="s">
        <v>6793</v>
      </c>
      <c r="S1588" t="s">
        <v>6801</v>
      </c>
      <c r="U1588">
        <v>1900</v>
      </c>
      <c r="V1588" t="s">
        <v>6837</v>
      </c>
      <c r="W1588" t="s">
        <v>6851</v>
      </c>
      <c r="Y1588" t="s">
        <v>8347</v>
      </c>
      <c r="AA1588" t="s">
        <v>10385</v>
      </c>
      <c r="AB1588">
        <v>3</v>
      </c>
      <c r="AC1588" t="s">
        <v>10930</v>
      </c>
      <c r="AE1588">
        <v>10</v>
      </c>
      <c r="AF1588">
        <v>1</v>
      </c>
      <c r="AG1588">
        <v>1</v>
      </c>
      <c r="AH1588">
        <v>28.39</v>
      </c>
      <c r="AK1588" t="s">
        <v>10966</v>
      </c>
      <c r="AL1588">
        <v>4800</v>
      </c>
      <c r="AR1588">
        <v>1.7</v>
      </c>
      <c r="AS1588" t="s">
        <v>6809</v>
      </c>
      <c r="AT1588" t="s">
        <v>11185</v>
      </c>
      <c r="AV1588" t="s">
        <v>11231</v>
      </c>
      <c r="AW1588" t="s">
        <v>6825</v>
      </c>
    </row>
    <row r="1589" spans="1:49">
      <c r="A1589" s="1">
        <f>HYPERLINK("https://lsnyc.legalserver.org/matter/dynamic-profile/view/1901306","19-1901306")</f>
        <v>0</v>
      </c>
      <c r="B1589" t="s">
        <v>202</v>
      </c>
      <c r="C1589" t="s">
        <v>365</v>
      </c>
      <c r="D1589" t="s">
        <v>2702</v>
      </c>
      <c r="E1589" t="s">
        <v>4516</v>
      </c>
      <c r="F1589" t="s">
        <v>5248</v>
      </c>
      <c r="G1589" t="s">
        <v>5635</v>
      </c>
      <c r="H1589">
        <v>10468</v>
      </c>
      <c r="I1589" t="s">
        <v>5695</v>
      </c>
      <c r="J1589" t="s">
        <v>5696</v>
      </c>
      <c r="K1589" t="s">
        <v>6543</v>
      </c>
      <c r="L1589" t="s">
        <v>6712</v>
      </c>
      <c r="O1589" t="s">
        <v>6763</v>
      </c>
      <c r="P1589" t="s">
        <v>5697</v>
      </c>
      <c r="R1589" t="s">
        <v>6793</v>
      </c>
      <c r="S1589" t="s">
        <v>6801</v>
      </c>
      <c r="U1589">
        <v>325.22</v>
      </c>
      <c r="V1589" t="s">
        <v>6833</v>
      </c>
      <c r="Y1589" t="s">
        <v>8348</v>
      </c>
      <c r="AA1589" t="s">
        <v>10386</v>
      </c>
      <c r="AB1589">
        <v>20</v>
      </c>
      <c r="AC1589" t="s">
        <v>10929</v>
      </c>
      <c r="AE1589">
        <v>47</v>
      </c>
      <c r="AF1589">
        <v>1</v>
      </c>
      <c r="AG1589">
        <v>0</v>
      </c>
      <c r="AH1589">
        <v>127.01</v>
      </c>
      <c r="AK1589" t="s">
        <v>10966</v>
      </c>
      <c r="AL1589">
        <v>15864</v>
      </c>
      <c r="AR1589">
        <v>0.5</v>
      </c>
      <c r="AS1589" t="s">
        <v>6808</v>
      </c>
      <c r="AT1589" t="s">
        <v>288</v>
      </c>
      <c r="AU1589" t="s">
        <v>11228</v>
      </c>
      <c r="AV1589" t="s">
        <v>11231</v>
      </c>
      <c r="AW1589" t="s">
        <v>11148</v>
      </c>
    </row>
    <row r="1590" spans="1:49">
      <c r="A1590" s="1">
        <f>HYPERLINK("https://lsnyc.legalserver.org/matter/dynamic-profile/view/1904778","19-1904778")</f>
        <v>0</v>
      </c>
      <c r="B1590" t="s">
        <v>281</v>
      </c>
      <c r="C1590" t="s">
        <v>328</v>
      </c>
      <c r="D1590" t="s">
        <v>2261</v>
      </c>
      <c r="E1590" t="s">
        <v>4517</v>
      </c>
      <c r="F1590" t="s">
        <v>5161</v>
      </c>
      <c r="G1590" t="s">
        <v>5636</v>
      </c>
      <c r="H1590">
        <v>10301</v>
      </c>
      <c r="I1590" t="s">
        <v>5696</v>
      </c>
      <c r="J1590" t="s">
        <v>5696</v>
      </c>
      <c r="K1590" t="s">
        <v>6544</v>
      </c>
      <c r="L1590" t="s">
        <v>6712</v>
      </c>
      <c r="O1590" t="s">
        <v>6745</v>
      </c>
      <c r="P1590" t="s">
        <v>5697</v>
      </c>
      <c r="R1590" t="s">
        <v>6796</v>
      </c>
      <c r="S1590" t="s">
        <v>6801</v>
      </c>
      <c r="U1590">
        <v>243</v>
      </c>
      <c r="V1590" t="s">
        <v>6834</v>
      </c>
      <c r="Y1590" t="s">
        <v>7749</v>
      </c>
      <c r="AA1590" t="s">
        <v>10387</v>
      </c>
      <c r="AB1590">
        <v>0</v>
      </c>
      <c r="AC1590" t="s">
        <v>10934</v>
      </c>
      <c r="AD1590" t="s">
        <v>5741</v>
      </c>
      <c r="AE1590">
        <v>3</v>
      </c>
      <c r="AF1590">
        <v>1</v>
      </c>
      <c r="AG1590">
        <v>0</v>
      </c>
      <c r="AH1590">
        <v>68.89</v>
      </c>
      <c r="AK1590" t="s">
        <v>10966</v>
      </c>
      <c r="AL1590">
        <v>8604</v>
      </c>
      <c r="AR1590">
        <v>1.9</v>
      </c>
      <c r="AS1590" t="s">
        <v>6820</v>
      </c>
      <c r="AT1590" t="s">
        <v>11177</v>
      </c>
      <c r="AV1590" t="s">
        <v>11231</v>
      </c>
      <c r="AW1590" t="s">
        <v>6819</v>
      </c>
    </row>
    <row r="1591" spans="1:49">
      <c r="A1591" s="1">
        <f>HYPERLINK("https://lsnyc.legalserver.org/matter/dynamic-profile/view/1897674","19-1897674")</f>
        <v>0</v>
      </c>
      <c r="B1591" t="s">
        <v>230</v>
      </c>
      <c r="C1591" t="s">
        <v>784</v>
      </c>
      <c r="D1591" t="s">
        <v>2703</v>
      </c>
      <c r="E1591" t="s">
        <v>4518</v>
      </c>
      <c r="F1591">
        <v>2</v>
      </c>
      <c r="G1591" t="s">
        <v>5635</v>
      </c>
      <c r="H1591">
        <v>10472</v>
      </c>
      <c r="I1591" t="s">
        <v>5695</v>
      </c>
      <c r="J1591" t="s">
        <v>5695</v>
      </c>
      <c r="K1591" t="s">
        <v>6545</v>
      </c>
      <c r="L1591" t="s">
        <v>6712</v>
      </c>
      <c r="O1591" t="s">
        <v>6747</v>
      </c>
      <c r="P1591" t="s">
        <v>5697</v>
      </c>
      <c r="R1591" t="s">
        <v>6793</v>
      </c>
      <c r="U1591">
        <v>0</v>
      </c>
      <c r="V1591" t="s">
        <v>6833</v>
      </c>
      <c r="W1591" t="s">
        <v>6839</v>
      </c>
      <c r="Y1591" t="s">
        <v>8349</v>
      </c>
      <c r="AA1591" t="s">
        <v>10388</v>
      </c>
      <c r="AB1591">
        <v>2</v>
      </c>
      <c r="AC1591" t="s">
        <v>8953</v>
      </c>
      <c r="AD1591" t="s">
        <v>10949</v>
      </c>
      <c r="AE1591">
        <v>2</v>
      </c>
      <c r="AF1591">
        <v>2</v>
      </c>
      <c r="AG1591">
        <v>2</v>
      </c>
      <c r="AH1591">
        <v>77.67</v>
      </c>
      <c r="AK1591" t="s">
        <v>10966</v>
      </c>
      <c r="AL1591">
        <v>20000</v>
      </c>
      <c r="AR1591">
        <v>0</v>
      </c>
      <c r="AT1591" t="s">
        <v>11222</v>
      </c>
      <c r="AV1591" t="s">
        <v>11231</v>
      </c>
      <c r="AW1591" t="s">
        <v>11121</v>
      </c>
    </row>
    <row r="1592" spans="1:49">
      <c r="A1592" s="1">
        <f>HYPERLINK("https://lsnyc.legalserver.org/matter/dynamic-profile/view/1902539","19-1902539")</f>
        <v>0</v>
      </c>
      <c r="B1592" t="s">
        <v>138</v>
      </c>
      <c r="C1592" t="s">
        <v>599</v>
      </c>
      <c r="D1592" t="s">
        <v>2233</v>
      </c>
      <c r="E1592" t="s">
        <v>3845</v>
      </c>
      <c r="F1592" t="s">
        <v>5112</v>
      </c>
      <c r="G1592" t="s">
        <v>5637</v>
      </c>
      <c r="H1592">
        <v>11210</v>
      </c>
      <c r="I1592" t="s">
        <v>5696</v>
      </c>
      <c r="J1592" t="s">
        <v>5696</v>
      </c>
      <c r="K1592" t="s">
        <v>5991</v>
      </c>
      <c r="L1592" t="s">
        <v>6712</v>
      </c>
      <c r="O1592" t="s">
        <v>6748</v>
      </c>
      <c r="P1592" t="s">
        <v>5697</v>
      </c>
      <c r="R1592" t="s">
        <v>6793</v>
      </c>
      <c r="U1592">
        <v>1350</v>
      </c>
      <c r="V1592" t="s">
        <v>6835</v>
      </c>
      <c r="W1592" t="s">
        <v>6841</v>
      </c>
      <c r="Y1592" t="s">
        <v>7640</v>
      </c>
      <c r="AA1592" t="s">
        <v>9697</v>
      </c>
      <c r="AB1592">
        <v>70</v>
      </c>
      <c r="AC1592" t="s">
        <v>8953</v>
      </c>
      <c r="AD1592" t="s">
        <v>5741</v>
      </c>
      <c r="AE1592">
        <v>5</v>
      </c>
      <c r="AF1592">
        <v>1</v>
      </c>
      <c r="AG1592">
        <v>0</v>
      </c>
      <c r="AH1592">
        <v>27.29</v>
      </c>
      <c r="AK1592" t="s">
        <v>10966</v>
      </c>
      <c r="AL1592">
        <v>3408</v>
      </c>
      <c r="AR1592">
        <v>0.7</v>
      </c>
      <c r="AS1592" t="s">
        <v>11137</v>
      </c>
      <c r="AT1592" t="s">
        <v>11180</v>
      </c>
      <c r="AV1592" t="s">
        <v>11231</v>
      </c>
      <c r="AW1592" t="s">
        <v>11116</v>
      </c>
    </row>
    <row r="1593" spans="1:49">
      <c r="A1593" s="1">
        <f>HYPERLINK("https://lsnyc.legalserver.org/matter/dynamic-profile/view/1905839","19-1905839")</f>
        <v>0</v>
      </c>
      <c r="B1593" t="s">
        <v>269</v>
      </c>
      <c r="C1593" t="s">
        <v>1329</v>
      </c>
      <c r="D1593" t="s">
        <v>2704</v>
      </c>
      <c r="E1593" t="s">
        <v>4519</v>
      </c>
      <c r="F1593" t="s">
        <v>5547</v>
      </c>
      <c r="G1593" t="s">
        <v>5636</v>
      </c>
      <c r="H1593">
        <v>10312</v>
      </c>
      <c r="I1593" t="s">
        <v>5695</v>
      </c>
      <c r="J1593" t="s">
        <v>5696</v>
      </c>
      <c r="K1593" t="s">
        <v>6546</v>
      </c>
      <c r="L1593" t="s">
        <v>6712</v>
      </c>
      <c r="O1593" t="s">
        <v>6762</v>
      </c>
      <c r="P1593" t="s">
        <v>5697</v>
      </c>
      <c r="R1593" t="s">
        <v>6793</v>
      </c>
      <c r="S1593" t="s">
        <v>6801</v>
      </c>
      <c r="T1593" t="s">
        <v>6824</v>
      </c>
      <c r="U1593">
        <v>1260</v>
      </c>
      <c r="V1593" t="s">
        <v>6834</v>
      </c>
      <c r="W1593" t="s">
        <v>6839</v>
      </c>
      <c r="Y1593" t="s">
        <v>8350</v>
      </c>
      <c r="AA1593" t="s">
        <v>10389</v>
      </c>
      <c r="AB1593">
        <v>2</v>
      </c>
      <c r="AC1593" t="s">
        <v>10930</v>
      </c>
      <c r="AD1593" t="s">
        <v>10950</v>
      </c>
      <c r="AE1593">
        <v>2</v>
      </c>
      <c r="AF1593">
        <v>1</v>
      </c>
      <c r="AG1593">
        <v>0</v>
      </c>
      <c r="AH1593">
        <v>14.41</v>
      </c>
      <c r="AK1593" t="s">
        <v>10966</v>
      </c>
      <c r="AL1593">
        <v>1800</v>
      </c>
      <c r="AR1593">
        <v>0</v>
      </c>
      <c r="AT1593" t="s">
        <v>11177</v>
      </c>
      <c r="AU1593" t="s">
        <v>11228</v>
      </c>
      <c r="AV1593" t="s">
        <v>11231</v>
      </c>
      <c r="AW1593" t="s">
        <v>6824</v>
      </c>
    </row>
    <row r="1594" spans="1:49">
      <c r="A1594" s="1">
        <f>HYPERLINK("https://lsnyc.legalserver.org/matter/dynamic-profile/view/1897829","19-1897829")</f>
        <v>0</v>
      </c>
      <c r="B1594" t="s">
        <v>51</v>
      </c>
      <c r="C1594" t="s">
        <v>659</v>
      </c>
      <c r="D1594" t="s">
        <v>1676</v>
      </c>
      <c r="E1594" t="s">
        <v>4520</v>
      </c>
      <c r="F1594" t="s">
        <v>5098</v>
      </c>
      <c r="G1594" t="s">
        <v>5636</v>
      </c>
      <c r="H1594">
        <v>10306</v>
      </c>
      <c r="I1594" t="s">
        <v>5696</v>
      </c>
      <c r="J1594" t="s">
        <v>5696</v>
      </c>
      <c r="K1594" t="s">
        <v>6547</v>
      </c>
      <c r="L1594" t="s">
        <v>6712</v>
      </c>
      <c r="O1594" t="s">
        <v>6745</v>
      </c>
      <c r="P1594" t="s">
        <v>5697</v>
      </c>
      <c r="R1594" t="s">
        <v>6793</v>
      </c>
      <c r="U1594">
        <v>0</v>
      </c>
      <c r="V1594" t="s">
        <v>6834</v>
      </c>
      <c r="Y1594" t="s">
        <v>8351</v>
      </c>
      <c r="AA1594" t="s">
        <v>10390</v>
      </c>
      <c r="AB1594">
        <v>0</v>
      </c>
      <c r="AE1594">
        <v>2</v>
      </c>
      <c r="AF1594">
        <v>1</v>
      </c>
      <c r="AG1594">
        <v>0</v>
      </c>
      <c r="AH1594">
        <v>105.68</v>
      </c>
      <c r="AK1594" t="s">
        <v>10966</v>
      </c>
      <c r="AL1594">
        <v>13200</v>
      </c>
      <c r="AR1594">
        <v>12.05</v>
      </c>
      <c r="AS1594" t="s">
        <v>11131</v>
      </c>
      <c r="AT1594" t="s">
        <v>11225</v>
      </c>
      <c r="AV1594" t="s">
        <v>11231</v>
      </c>
      <c r="AW1594" t="s">
        <v>11128</v>
      </c>
    </row>
    <row r="1595" spans="1:49">
      <c r="A1595" s="1">
        <f>HYPERLINK("https://lsnyc.legalserver.org/matter/dynamic-profile/view/1905906","19-1905906")</f>
        <v>0</v>
      </c>
      <c r="B1595" t="s">
        <v>218</v>
      </c>
      <c r="C1595" t="s">
        <v>491</v>
      </c>
      <c r="D1595" t="s">
        <v>2705</v>
      </c>
      <c r="E1595" t="s">
        <v>4479</v>
      </c>
      <c r="F1595">
        <v>1</v>
      </c>
      <c r="G1595" t="s">
        <v>5635</v>
      </c>
      <c r="H1595">
        <v>10457</v>
      </c>
      <c r="I1595" t="s">
        <v>5695</v>
      </c>
      <c r="J1595" t="s">
        <v>5696</v>
      </c>
      <c r="K1595" t="s">
        <v>6508</v>
      </c>
      <c r="L1595" t="s">
        <v>6712</v>
      </c>
      <c r="O1595" t="s">
        <v>6763</v>
      </c>
      <c r="P1595" t="s">
        <v>5697</v>
      </c>
      <c r="R1595" t="s">
        <v>6793</v>
      </c>
      <c r="U1595">
        <v>0</v>
      </c>
      <c r="V1595" t="s">
        <v>6833</v>
      </c>
      <c r="Y1595" t="s">
        <v>8352</v>
      </c>
      <c r="AA1595" t="s">
        <v>10391</v>
      </c>
      <c r="AB1595">
        <v>3</v>
      </c>
      <c r="AE1595">
        <v>6</v>
      </c>
      <c r="AF1595">
        <v>1</v>
      </c>
      <c r="AG1595">
        <v>0</v>
      </c>
      <c r="AH1595">
        <v>208.17</v>
      </c>
      <c r="AK1595" t="s">
        <v>10966</v>
      </c>
      <c r="AL1595">
        <v>26000</v>
      </c>
      <c r="AR1595">
        <v>0</v>
      </c>
      <c r="AT1595" t="s">
        <v>288</v>
      </c>
      <c r="AU1595" t="s">
        <v>11228</v>
      </c>
      <c r="AV1595" t="s">
        <v>11231</v>
      </c>
      <c r="AW1595" t="s">
        <v>6824</v>
      </c>
    </row>
    <row r="1596" spans="1:49">
      <c r="A1596" s="1">
        <f>HYPERLINK("https://lsnyc.legalserver.org/matter/dynamic-profile/view/1902624","19-1902624")</f>
        <v>0</v>
      </c>
      <c r="B1596" t="s">
        <v>278</v>
      </c>
      <c r="C1596" t="s">
        <v>1330</v>
      </c>
      <c r="D1596" t="s">
        <v>2706</v>
      </c>
      <c r="E1596" t="s">
        <v>4521</v>
      </c>
      <c r="F1596" t="s">
        <v>5139</v>
      </c>
      <c r="G1596" t="s">
        <v>5637</v>
      </c>
      <c r="H1596">
        <v>11226</v>
      </c>
      <c r="I1596" t="s">
        <v>5696</v>
      </c>
      <c r="J1596" t="s">
        <v>5696</v>
      </c>
      <c r="K1596" t="s">
        <v>6548</v>
      </c>
      <c r="L1596" t="s">
        <v>6712</v>
      </c>
      <c r="O1596" t="s">
        <v>6753</v>
      </c>
      <c r="R1596" t="s">
        <v>6793</v>
      </c>
      <c r="U1596">
        <v>990</v>
      </c>
      <c r="V1596" t="s">
        <v>6835</v>
      </c>
      <c r="Y1596" t="s">
        <v>8353</v>
      </c>
      <c r="AA1596" t="s">
        <v>10392</v>
      </c>
      <c r="AB1596">
        <v>0</v>
      </c>
      <c r="AC1596" t="s">
        <v>10929</v>
      </c>
      <c r="AD1596" t="s">
        <v>5741</v>
      </c>
      <c r="AE1596">
        <v>30</v>
      </c>
      <c r="AF1596">
        <v>1</v>
      </c>
      <c r="AG1596">
        <v>0</v>
      </c>
      <c r="AH1596">
        <v>398.72</v>
      </c>
      <c r="AK1596" t="s">
        <v>10966</v>
      </c>
      <c r="AL1596">
        <v>49800</v>
      </c>
      <c r="AR1596">
        <v>1</v>
      </c>
      <c r="AS1596" t="s">
        <v>11137</v>
      </c>
      <c r="AT1596" t="s">
        <v>11186</v>
      </c>
      <c r="AV1596" t="s">
        <v>11231</v>
      </c>
      <c r="AW1596" t="s">
        <v>11137</v>
      </c>
    </row>
    <row r="1597" spans="1:49">
      <c r="A1597" s="1">
        <f>HYPERLINK("https://lsnyc.legalserver.org/matter/dynamic-profile/view/1905739","19-1905739")</f>
        <v>0</v>
      </c>
      <c r="B1597" t="s">
        <v>89</v>
      </c>
      <c r="C1597" t="s">
        <v>1331</v>
      </c>
      <c r="D1597" t="s">
        <v>2266</v>
      </c>
      <c r="E1597" t="s">
        <v>3326</v>
      </c>
      <c r="F1597">
        <v>305</v>
      </c>
      <c r="G1597" t="s">
        <v>5636</v>
      </c>
      <c r="H1597">
        <v>10304</v>
      </c>
      <c r="I1597" t="s">
        <v>5696</v>
      </c>
      <c r="J1597" t="s">
        <v>5696</v>
      </c>
      <c r="K1597" t="s">
        <v>6549</v>
      </c>
      <c r="L1597" t="s">
        <v>6712</v>
      </c>
      <c r="O1597" t="s">
        <v>6745</v>
      </c>
      <c r="P1597" t="s">
        <v>5697</v>
      </c>
      <c r="R1597" t="s">
        <v>6793</v>
      </c>
      <c r="S1597" t="s">
        <v>6801</v>
      </c>
      <c r="U1597">
        <v>1245</v>
      </c>
      <c r="V1597" t="s">
        <v>6834</v>
      </c>
      <c r="W1597" t="s">
        <v>6843</v>
      </c>
      <c r="Y1597" t="s">
        <v>8354</v>
      </c>
      <c r="AA1597" t="s">
        <v>10393</v>
      </c>
      <c r="AB1597">
        <v>0</v>
      </c>
      <c r="AC1597" t="s">
        <v>10929</v>
      </c>
      <c r="AD1597" t="s">
        <v>10946</v>
      </c>
      <c r="AE1597">
        <v>2</v>
      </c>
      <c r="AF1597">
        <v>1</v>
      </c>
      <c r="AG1597">
        <v>2</v>
      </c>
      <c r="AH1597">
        <v>56.43</v>
      </c>
      <c r="AK1597" t="s">
        <v>10966</v>
      </c>
      <c r="AL1597">
        <v>12036</v>
      </c>
      <c r="AR1597">
        <v>1</v>
      </c>
      <c r="AS1597" t="s">
        <v>6820</v>
      </c>
      <c r="AT1597" t="s">
        <v>11177</v>
      </c>
      <c r="AV1597" t="s">
        <v>11231</v>
      </c>
      <c r="AW1597" t="s">
        <v>6820</v>
      </c>
    </row>
    <row r="1598" spans="1:49">
      <c r="A1598" s="1">
        <f>HYPERLINK("https://lsnyc.legalserver.org/matter/dynamic-profile/view/1906151","19-1906151")</f>
        <v>0</v>
      </c>
      <c r="B1598" t="s">
        <v>101</v>
      </c>
      <c r="C1598" t="s">
        <v>538</v>
      </c>
      <c r="D1598" t="s">
        <v>2707</v>
      </c>
      <c r="E1598" t="s">
        <v>4522</v>
      </c>
      <c r="F1598" t="s">
        <v>5548</v>
      </c>
      <c r="G1598" t="s">
        <v>5636</v>
      </c>
      <c r="H1598">
        <v>10303</v>
      </c>
      <c r="I1598" t="s">
        <v>5695</v>
      </c>
      <c r="J1598" t="s">
        <v>5696</v>
      </c>
      <c r="K1598" t="s">
        <v>6550</v>
      </c>
      <c r="L1598" t="s">
        <v>6712</v>
      </c>
      <c r="O1598" t="s">
        <v>6762</v>
      </c>
      <c r="P1598" t="s">
        <v>5697</v>
      </c>
      <c r="R1598" t="s">
        <v>6793</v>
      </c>
      <c r="S1598" t="s">
        <v>6801</v>
      </c>
      <c r="T1598" t="s">
        <v>6821</v>
      </c>
      <c r="U1598">
        <v>1192</v>
      </c>
      <c r="V1598" t="s">
        <v>6834</v>
      </c>
      <c r="W1598" t="s">
        <v>6839</v>
      </c>
      <c r="Y1598" t="s">
        <v>8355</v>
      </c>
      <c r="AA1598" t="s">
        <v>10394</v>
      </c>
      <c r="AB1598">
        <v>2</v>
      </c>
      <c r="AC1598" t="s">
        <v>10930</v>
      </c>
      <c r="AD1598" t="s">
        <v>10944</v>
      </c>
      <c r="AE1598">
        <v>5</v>
      </c>
      <c r="AF1598">
        <v>1</v>
      </c>
      <c r="AG1598">
        <v>0</v>
      </c>
      <c r="AH1598">
        <v>76.08</v>
      </c>
      <c r="AK1598" t="s">
        <v>10966</v>
      </c>
      <c r="AL1598">
        <v>9502.799999999999</v>
      </c>
      <c r="AR1598">
        <v>0</v>
      </c>
      <c r="AT1598" t="s">
        <v>11177</v>
      </c>
      <c r="AU1598" t="s">
        <v>11228</v>
      </c>
      <c r="AV1598" t="s">
        <v>11231</v>
      </c>
      <c r="AW1598" t="s">
        <v>6821</v>
      </c>
    </row>
    <row r="1599" spans="1:49">
      <c r="A1599" s="1">
        <f>HYPERLINK("https://lsnyc.legalserver.org/matter/dynamic-profile/view/1906149","19-1906149")</f>
        <v>0</v>
      </c>
      <c r="B1599" t="s">
        <v>51</v>
      </c>
      <c r="C1599" t="s">
        <v>435</v>
      </c>
      <c r="D1599" t="s">
        <v>2708</v>
      </c>
      <c r="E1599" t="s">
        <v>4523</v>
      </c>
      <c r="F1599">
        <v>2</v>
      </c>
      <c r="G1599" t="s">
        <v>5636</v>
      </c>
      <c r="H1599">
        <v>10302</v>
      </c>
      <c r="I1599" t="s">
        <v>5695</v>
      </c>
      <c r="J1599" t="s">
        <v>5696</v>
      </c>
      <c r="K1599" t="s">
        <v>6551</v>
      </c>
      <c r="L1599" t="s">
        <v>6712</v>
      </c>
      <c r="O1599" t="s">
        <v>6762</v>
      </c>
      <c r="P1599" t="s">
        <v>5697</v>
      </c>
      <c r="R1599" t="s">
        <v>6793</v>
      </c>
      <c r="S1599" t="s">
        <v>6801</v>
      </c>
      <c r="U1599">
        <v>1450</v>
      </c>
      <c r="V1599" t="s">
        <v>6834</v>
      </c>
      <c r="W1599" t="s">
        <v>6839</v>
      </c>
      <c r="Y1599" t="s">
        <v>7140</v>
      </c>
      <c r="AA1599" t="s">
        <v>10395</v>
      </c>
      <c r="AB1599">
        <v>3</v>
      </c>
      <c r="AE1599">
        <v>11</v>
      </c>
      <c r="AF1599">
        <v>3</v>
      </c>
      <c r="AG1599">
        <v>2</v>
      </c>
      <c r="AH1599">
        <v>59.66</v>
      </c>
      <c r="AK1599" t="s">
        <v>10966</v>
      </c>
      <c r="AL1599">
        <v>18000</v>
      </c>
      <c r="AR1599">
        <v>0</v>
      </c>
      <c r="AT1599" t="s">
        <v>264</v>
      </c>
      <c r="AV1599" t="s">
        <v>11231</v>
      </c>
      <c r="AW1599" t="s">
        <v>6821</v>
      </c>
    </row>
    <row r="1600" spans="1:49">
      <c r="A1600" s="1">
        <f>HYPERLINK("https://lsnyc.legalserver.org/matter/dynamic-profile/view/1900502","19-1900502")</f>
        <v>0</v>
      </c>
      <c r="B1600" t="s">
        <v>202</v>
      </c>
      <c r="C1600" t="s">
        <v>500</v>
      </c>
      <c r="D1600" t="s">
        <v>2438</v>
      </c>
      <c r="E1600" t="s">
        <v>4524</v>
      </c>
      <c r="F1600" t="s">
        <v>5549</v>
      </c>
      <c r="G1600" t="s">
        <v>5635</v>
      </c>
      <c r="H1600">
        <v>10457</v>
      </c>
      <c r="I1600" t="s">
        <v>5695</v>
      </c>
      <c r="J1600" t="s">
        <v>5696</v>
      </c>
      <c r="K1600" t="s">
        <v>6552</v>
      </c>
      <c r="L1600" t="s">
        <v>6712</v>
      </c>
      <c r="O1600" t="s">
        <v>6763</v>
      </c>
      <c r="P1600" t="s">
        <v>5697</v>
      </c>
      <c r="R1600" t="s">
        <v>6793</v>
      </c>
      <c r="U1600">
        <v>1213.21</v>
      </c>
      <c r="V1600" t="s">
        <v>6833</v>
      </c>
      <c r="W1600" t="s">
        <v>6840</v>
      </c>
      <c r="Y1600" t="s">
        <v>8356</v>
      </c>
      <c r="AA1600" t="s">
        <v>10396</v>
      </c>
      <c r="AB1600">
        <v>89</v>
      </c>
      <c r="AC1600" t="s">
        <v>8953</v>
      </c>
      <c r="AD1600" t="s">
        <v>5741</v>
      </c>
      <c r="AE1600">
        <v>0</v>
      </c>
      <c r="AF1600">
        <v>2</v>
      </c>
      <c r="AG1600">
        <v>1</v>
      </c>
      <c r="AH1600">
        <v>73.14</v>
      </c>
      <c r="AK1600" t="s">
        <v>10966</v>
      </c>
      <c r="AL1600">
        <v>15600</v>
      </c>
      <c r="AR1600">
        <v>7</v>
      </c>
      <c r="AS1600" t="s">
        <v>6811</v>
      </c>
      <c r="AT1600" t="s">
        <v>219</v>
      </c>
      <c r="AU1600" t="s">
        <v>11228</v>
      </c>
      <c r="AV1600" t="s">
        <v>11231</v>
      </c>
      <c r="AW1600" t="s">
        <v>11155</v>
      </c>
    </row>
    <row r="1601" spans="1:49">
      <c r="A1601" s="1">
        <f>HYPERLINK("https://lsnyc.legalserver.org/matter/dynamic-profile/view/1896325","19-1896325")</f>
        <v>0</v>
      </c>
      <c r="B1601" t="s">
        <v>84</v>
      </c>
      <c r="C1601" t="s">
        <v>694</v>
      </c>
      <c r="D1601" t="s">
        <v>1739</v>
      </c>
      <c r="E1601" t="s">
        <v>4102</v>
      </c>
      <c r="F1601" t="s">
        <v>5098</v>
      </c>
      <c r="G1601" t="s">
        <v>5637</v>
      </c>
      <c r="H1601">
        <v>11208</v>
      </c>
      <c r="I1601" t="s">
        <v>5697</v>
      </c>
      <c r="J1601" t="s">
        <v>5697</v>
      </c>
      <c r="K1601" t="s">
        <v>6553</v>
      </c>
      <c r="L1601" t="s">
        <v>6712</v>
      </c>
      <c r="O1601" t="s">
        <v>6745</v>
      </c>
      <c r="P1601" t="s">
        <v>5697</v>
      </c>
      <c r="R1601" t="s">
        <v>6793</v>
      </c>
      <c r="U1601">
        <v>1297</v>
      </c>
      <c r="V1601" t="s">
        <v>6835</v>
      </c>
      <c r="Y1601" t="s">
        <v>7915</v>
      </c>
      <c r="AA1601" t="s">
        <v>9955</v>
      </c>
      <c r="AB1601">
        <v>2</v>
      </c>
      <c r="AC1601" t="s">
        <v>10930</v>
      </c>
      <c r="AD1601" t="s">
        <v>10944</v>
      </c>
      <c r="AE1601">
        <v>12</v>
      </c>
      <c r="AF1601">
        <v>1</v>
      </c>
      <c r="AG1601">
        <v>2</v>
      </c>
      <c r="AH1601">
        <v>14.14</v>
      </c>
      <c r="AK1601" t="s">
        <v>10966</v>
      </c>
      <c r="AL1601">
        <v>3016</v>
      </c>
      <c r="AR1601">
        <v>0.5</v>
      </c>
      <c r="AS1601" t="s">
        <v>11123</v>
      </c>
      <c r="AT1601" t="s">
        <v>67</v>
      </c>
      <c r="AV1601" t="s">
        <v>11231</v>
      </c>
      <c r="AW1601" t="s">
        <v>11164</v>
      </c>
    </row>
    <row r="1602" spans="1:49">
      <c r="A1602" s="1">
        <f>HYPERLINK("https://lsnyc.legalserver.org/matter/dynamic-profile/view/1895579","19-1895579")</f>
        <v>0</v>
      </c>
      <c r="B1602" t="s">
        <v>51</v>
      </c>
      <c r="C1602" t="s">
        <v>1332</v>
      </c>
      <c r="D1602" t="s">
        <v>2709</v>
      </c>
      <c r="E1602" t="s">
        <v>4525</v>
      </c>
      <c r="G1602" t="s">
        <v>5636</v>
      </c>
      <c r="H1602">
        <v>10305</v>
      </c>
      <c r="I1602" t="s">
        <v>5695</v>
      </c>
      <c r="J1602" t="s">
        <v>5696</v>
      </c>
      <c r="K1602" t="s">
        <v>6554</v>
      </c>
      <c r="L1602" t="s">
        <v>6712</v>
      </c>
      <c r="O1602" t="s">
        <v>6745</v>
      </c>
      <c r="P1602" t="s">
        <v>5697</v>
      </c>
      <c r="R1602" t="s">
        <v>6793</v>
      </c>
      <c r="U1602">
        <v>0</v>
      </c>
      <c r="V1602" t="s">
        <v>6834</v>
      </c>
      <c r="W1602" t="s">
        <v>6841</v>
      </c>
      <c r="Y1602" t="s">
        <v>8357</v>
      </c>
      <c r="AA1602" t="s">
        <v>10397</v>
      </c>
      <c r="AB1602">
        <v>1</v>
      </c>
      <c r="AC1602" t="s">
        <v>10930</v>
      </c>
      <c r="AD1602" t="s">
        <v>5741</v>
      </c>
      <c r="AE1602">
        <v>10</v>
      </c>
      <c r="AF1602">
        <v>4</v>
      </c>
      <c r="AG1602">
        <v>2</v>
      </c>
      <c r="AH1602">
        <v>112.75</v>
      </c>
      <c r="AK1602" t="s">
        <v>10966</v>
      </c>
      <c r="AL1602">
        <v>39000</v>
      </c>
      <c r="AR1602">
        <v>9.6</v>
      </c>
      <c r="AS1602" t="s">
        <v>10953</v>
      </c>
      <c r="AT1602" t="s">
        <v>11211</v>
      </c>
      <c r="AU1602" t="s">
        <v>11228</v>
      </c>
      <c r="AV1602" t="s">
        <v>11231</v>
      </c>
      <c r="AW1602" t="s">
        <v>11159</v>
      </c>
    </row>
    <row r="1603" spans="1:49">
      <c r="A1603" s="1">
        <f>HYPERLINK("https://lsnyc.legalserver.org/matter/dynamic-profile/view/1904669","19-1904669")</f>
        <v>0</v>
      </c>
      <c r="B1603" t="s">
        <v>119</v>
      </c>
      <c r="C1603" t="s">
        <v>419</v>
      </c>
      <c r="D1603" t="s">
        <v>2710</v>
      </c>
      <c r="E1603" t="s">
        <v>3360</v>
      </c>
      <c r="F1603" t="s">
        <v>5550</v>
      </c>
      <c r="G1603" t="s">
        <v>5637</v>
      </c>
      <c r="H1603">
        <v>11208</v>
      </c>
      <c r="I1603" t="s">
        <v>5695</v>
      </c>
      <c r="J1603" t="s">
        <v>5696</v>
      </c>
      <c r="K1603" t="s">
        <v>6555</v>
      </c>
      <c r="L1603" t="s">
        <v>6712</v>
      </c>
      <c r="O1603" t="s">
        <v>6745</v>
      </c>
      <c r="P1603" t="s">
        <v>5697</v>
      </c>
      <c r="R1603" t="s">
        <v>6793</v>
      </c>
      <c r="S1603" t="s">
        <v>6804</v>
      </c>
      <c r="T1603" t="s">
        <v>6810</v>
      </c>
      <c r="U1603">
        <v>0</v>
      </c>
      <c r="V1603" t="s">
        <v>6835</v>
      </c>
      <c r="W1603" t="s">
        <v>6854</v>
      </c>
      <c r="Y1603" t="s">
        <v>8358</v>
      </c>
      <c r="Z1603" t="s">
        <v>9063</v>
      </c>
      <c r="AA1603" t="s">
        <v>10398</v>
      </c>
      <c r="AB1603">
        <v>322</v>
      </c>
      <c r="AC1603" t="s">
        <v>10929</v>
      </c>
      <c r="AD1603" t="s">
        <v>10946</v>
      </c>
      <c r="AE1603">
        <v>0</v>
      </c>
      <c r="AF1603">
        <v>1</v>
      </c>
      <c r="AG1603">
        <v>7</v>
      </c>
      <c r="AH1603">
        <v>65.98</v>
      </c>
      <c r="AK1603" t="s">
        <v>10966</v>
      </c>
      <c r="AL1603">
        <v>28656</v>
      </c>
      <c r="AR1603">
        <v>10.2</v>
      </c>
      <c r="AS1603" t="s">
        <v>6821</v>
      </c>
      <c r="AT1603" t="s">
        <v>69</v>
      </c>
      <c r="AU1603" t="s">
        <v>11229</v>
      </c>
      <c r="AV1603" t="s">
        <v>11231</v>
      </c>
      <c r="AW1603" t="s">
        <v>6809</v>
      </c>
    </row>
    <row r="1604" spans="1:49">
      <c r="A1604" s="1">
        <f>HYPERLINK("https://lsnyc.legalserver.org/matter/dynamic-profile/view/1906155","19-1906155")</f>
        <v>0</v>
      </c>
      <c r="B1604" t="s">
        <v>95</v>
      </c>
      <c r="C1604" t="s">
        <v>1333</v>
      </c>
      <c r="D1604" t="s">
        <v>2711</v>
      </c>
      <c r="E1604" t="s">
        <v>4526</v>
      </c>
      <c r="F1604" t="s">
        <v>5276</v>
      </c>
      <c r="G1604" t="s">
        <v>5637</v>
      </c>
      <c r="H1604">
        <v>11221</v>
      </c>
      <c r="I1604" t="s">
        <v>5695</v>
      </c>
      <c r="J1604" t="s">
        <v>5696</v>
      </c>
      <c r="K1604" t="s">
        <v>6556</v>
      </c>
      <c r="L1604" t="s">
        <v>6712</v>
      </c>
      <c r="O1604" t="s">
        <v>6755</v>
      </c>
      <c r="R1604" t="s">
        <v>6793</v>
      </c>
      <c r="U1604">
        <v>1500</v>
      </c>
      <c r="V1604" t="s">
        <v>6835</v>
      </c>
      <c r="Y1604" t="s">
        <v>8359</v>
      </c>
      <c r="AA1604" t="s">
        <v>10399</v>
      </c>
      <c r="AB1604">
        <v>4</v>
      </c>
      <c r="AE1604">
        <v>9</v>
      </c>
      <c r="AF1604">
        <v>1</v>
      </c>
      <c r="AG1604">
        <v>1</v>
      </c>
      <c r="AH1604">
        <v>153.76</v>
      </c>
      <c r="AK1604" t="s">
        <v>10966</v>
      </c>
      <c r="AL1604">
        <v>26000</v>
      </c>
      <c r="AR1604">
        <v>0</v>
      </c>
      <c r="AT1604" t="s">
        <v>11190</v>
      </c>
      <c r="AU1604" t="s">
        <v>11228</v>
      </c>
      <c r="AV1604" t="s">
        <v>11231</v>
      </c>
      <c r="AW1604" t="s">
        <v>6821</v>
      </c>
    </row>
    <row r="1605" spans="1:49">
      <c r="A1605" s="1">
        <f>HYPERLINK("https://lsnyc.legalserver.org/matter/dynamic-profile/view/1902175","19-1902175")</f>
        <v>0</v>
      </c>
      <c r="B1605" t="s">
        <v>68</v>
      </c>
      <c r="C1605" t="s">
        <v>1334</v>
      </c>
      <c r="D1605" t="s">
        <v>2712</v>
      </c>
      <c r="E1605" t="s">
        <v>4527</v>
      </c>
      <c r="F1605" t="s">
        <v>5466</v>
      </c>
      <c r="G1605" t="s">
        <v>5637</v>
      </c>
      <c r="H1605">
        <v>11234</v>
      </c>
      <c r="I1605" t="s">
        <v>5696</v>
      </c>
      <c r="J1605" t="s">
        <v>5696</v>
      </c>
      <c r="L1605" t="s">
        <v>6712</v>
      </c>
      <c r="O1605" t="s">
        <v>6748</v>
      </c>
      <c r="R1605" t="s">
        <v>6793</v>
      </c>
      <c r="U1605">
        <v>750</v>
      </c>
      <c r="V1605" t="s">
        <v>6833</v>
      </c>
      <c r="W1605" t="s">
        <v>6853</v>
      </c>
      <c r="Y1605" t="s">
        <v>8360</v>
      </c>
      <c r="AA1605" t="s">
        <v>10400</v>
      </c>
      <c r="AB1605">
        <v>1</v>
      </c>
      <c r="AD1605" t="s">
        <v>10944</v>
      </c>
      <c r="AE1605">
        <v>9</v>
      </c>
      <c r="AF1605">
        <v>1</v>
      </c>
      <c r="AG1605">
        <v>0</v>
      </c>
      <c r="AH1605">
        <v>94.16</v>
      </c>
      <c r="AK1605" t="s">
        <v>10966</v>
      </c>
      <c r="AL1605">
        <v>11760</v>
      </c>
      <c r="AR1605">
        <v>0.6</v>
      </c>
      <c r="AS1605" t="s">
        <v>11163</v>
      </c>
      <c r="AT1605" t="s">
        <v>11188</v>
      </c>
      <c r="AV1605" t="s">
        <v>11231</v>
      </c>
      <c r="AW1605" t="s">
        <v>11163</v>
      </c>
    </row>
    <row r="1606" spans="1:49">
      <c r="A1606" s="1">
        <f>HYPERLINK("https://lsnyc.legalserver.org/matter/dynamic-profile/view/1898911","19-1898911")</f>
        <v>0</v>
      </c>
      <c r="B1606" t="s">
        <v>71</v>
      </c>
      <c r="C1606" t="s">
        <v>1335</v>
      </c>
      <c r="D1606" t="s">
        <v>2713</v>
      </c>
      <c r="E1606" t="s">
        <v>4528</v>
      </c>
      <c r="F1606" t="s">
        <v>5411</v>
      </c>
      <c r="G1606" t="s">
        <v>5637</v>
      </c>
      <c r="H1606">
        <v>11225</v>
      </c>
      <c r="I1606" t="s">
        <v>5697</v>
      </c>
      <c r="J1606" t="s">
        <v>5695</v>
      </c>
      <c r="K1606" t="s">
        <v>6557</v>
      </c>
      <c r="L1606" t="s">
        <v>6712</v>
      </c>
      <c r="O1606" t="s">
        <v>6755</v>
      </c>
      <c r="R1606" t="s">
        <v>6793</v>
      </c>
      <c r="U1606">
        <v>0</v>
      </c>
      <c r="V1606" t="s">
        <v>6835</v>
      </c>
      <c r="W1606" t="s">
        <v>6854</v>
      </c>
      <c r="Y1606" t="s">
        <v>8361</v>
      </c>
      <c r="AA1606" t="s">
        <v>10401</v>
      </c>
      <c r="AB1606">
        <v>0</v>
      </c>
      <c r="AE1606">
        <v>0</v>
      </c>
      <c r="AF1606">
        <v>2</v>
      </c>
      <c r="AG1606">
        <v>2</v>
      </c>
      <c r="AH1606">
        <v>0</v>
      </c>
      <c r="AK1606" t="s">
        <v>10966</v>
      </c>
      <c r="AL1606">
        <v>0</v>
      </c>
      <c r="AR1606">
        <v>7</v>
      </c>
      <c r="AS1606" t="s">
        <v>6828</v>
      </c>
      <c r="AT1606" t="s">
        <v>11190</v>
      </c>
      <c r="AV1606" t="s">
        <v>11231</v>
      </c>
      <c r="AW1606" t="s">
        <v>10959</v>
      </c>
    </row>
    <row r="1607" spans="1:49">
      <c r="A1607" s="1">
        <f>HYPERLINK("https://lsnyc.legalserver.org/matter/dynamic-profile/view/1902901","19-1902901")</f>
        <v>0</v>
      </c>
      <c r="B1607" t="s">
        <v>155</v>
      </c>
      <c r="C1607" t="s">
        <v>472</v>
      </c>
      <c r="D1607" t="s">
        <v>1812</v>
      </c>
      <c r="E1607" t="s">
        <v>4529</v>
      </c>
      <c r="F1607" t="s">
        <v>5102</v>
      </c>
      <c r="G1607" t="s">
        <v>5637</v>
      </c>
      <c r="H1607">
        <v>11208</v>
      </c>
      <c r="I1607" t="s">
        <v>5697</v>
      </c>
      <c r="J1607" t="s">
        <v>5696</v>
      </c>
      <c r="K1607" t="s">
        <v>6558</v>
      </c>
      <c r="L1607" t="s">
        <v>6712</v>
      </c>
      <c r="O1607" t="s">
        <v>6745</v>
      </c>
      <c r="P1607" t="s">
        <v>5697</v>
      </c>
      <c r="R1607" t="s">
        <v>6793</v>
      </c>
      <c r="S1607" t="s">
        <v>6801</v>
      </c>
      <c r="U1607">
        <v>1300</v>
      </c>
      <c r="V1607" t="s">
        <v>6835</v>
      </c>
      <c r="W1607" t="s">
        <v>6848</v>
      </c>
      <c r="Y1607" t="s">
        <v>8362</v>
      </c>
      <c r="Z1607" t="s">
        <v>9064</v>
      </c>
      <c r="AA1607" t="s">
        <v>10402</v>
      </c>
      <c r="AB1607">
        <v>2</v>
      </c>
      <c r="AC1607" t="s">
        <v>10930</v>
      </c>
      <c r="AD1607" t="s">
        <v>6841</v>
      </c>
      <c r="AE1607">
        <v>14</v>
      </c>
      <c r="AF1607">
        <v>1</v>
      </c>
      <c r="AG1607">
        <v>0</v>
      </c>
      <c r="AH1607">
        <v>176.97</v>
      </c>
      <c r="AK1607" t="s">
        <v>10966</v>
      </c>
      <c r="AL1607">
        <v>22104</v>
      </c>
      <c r="AR1607">
        <v>3</v>
      </c>
      <c r="AS1607" t="s">
        <v>11147</v>
      </c>
      <c r="AT1607" t="s">
        <v>11203</v>
      </c>
      <c r="AU1607" t="s">
        <v>5741</v>
      </c>
      <c r="AV1607" t="s">
        <v>11231</v>
      </c>
      <c r="AW1607" t="s">
        <v>11131</v>
      </c>
    </row>
    <row r="1608" spans="1:49">
      <c r="A1608" s="1">
        <f>HYPERLINK("https://lsnyc.legalserver.org/matter/dynamic-profile/view/1905551","19-1905551")</f>
        <v>0</v>
      </c>
      <c r="B1608" t="s">
        <v>105</v>
      </c>
      <c r="C1608" t="s">
        <v>1336</v>
      </c>
      <c r="D1608" t="s">
        <v>2678</v>
      </c>
      <c r="E1608" t="s">
        <v>4530</v>
      </c>
      <c r="F1608">
        <v>21</v>
      </c>
      <c r="G1608" t="s">
        <v>5635</v>
      </c>
      <c r="H1608">
        <v>10468</v>
      </c>
      <c r="I1608" t="s">
        <v>5695</v>
      </c>
      <c r="J1608" t="s">
        <v>5696</v>
      </c>
      <c r="K1608" t="s">
        <v>6559</v>
      </c>
      <c r="L1608" t="s">
        <v>6712</v>
      </c>
      <c r="O1608" t="s">
        <v>6763</v>
      </c>
      <c r="P1608" t="s">
        <v>5697</v>
      </c>
      <c r="R1608" t="s">
        <v>6793</v>
      </c>
      <c r="U1608">
        <v>1125</v>
      </c>
      <c r="V1608" t="s">
        <v>6833</v>
      </c>
      <c r="Y1608" t="s">
        <v>8363</v>
      </c>
      <c r="AA1608" t="s">
        <v>10403</v>
      </c>
      <c r="AB1608">
        <v>30</v>
      </c>
      <c r="AD1608" t="s">
        <v>10944</v>
      </c>
      <c r="AE1608">
        <v>2</v>
      </c>
      <c r="AF1608">
        <v>1</v>
      </c>
      <c r="AG1608">
        <v>0</v>
      </c>
      <c r="AH1608">
        <v>145.72</v>
      </c>
      <c r="AL1608">
        <v>18200</v>
      </c>
      <c r="AR1608">
        <v>0</v>
      </c>
      <c r="AT1608" t="s">
        <v>288</v>
      </c>
      <c r="AU1608" t="s">
        <v>11228</v>
      </c>
      <c r="AV1608" t="s">
        <v>11231</v>
      </c>
      <c r="AW1608" t="s">
        <v>6819</v>
      </c>
    </row>
    <row r="1609" spans="1:49">
      <c r="A1609" s="1">
        <f>HYPERLINK("https://lsnyc.legalserver.org/matter/dynamic-profile/view/1900880","19-1900880")</f>
        <v>0</v>
      </c>
      <c r="B1609" t="s">
        <v>269</v>
      </c>
      <c r="C1609" t="s">
        <v>1337</v>
      </c>
      <c r="D1609" t="s">
        <v>2714</v>
      </c>
      <c r="E1609" t="s">
        <v>4531</v>
      </c>
      <c r="F1609">
        <v>2</v>
      </c>
      <c r="G1609" t="s">
        <v>5636</v>
      </c>
      <c r="H1609">
        <v>10302</v>
      </c>
      <c r="I1609" t="s">
        <v>5696</v>
      </c>
      <c r="J1609" t="s">
        <v>5696</v>
      </c>
      <c r="K1609" t="s">
        <v>6560</v>
      </c>
      <c r="L1609" t="s">
        <v>6712</v>
      </c>
      <c r="O1609" t="s">
        <v>6762</v>
      </c>
      <c r="P1609" t="s">
        <v>5697</v>
      </c>
      <c r="R1609" t="s">
        <v>6793</v>
      </c>
      <c r="S1609" t="s">
        <v>6801</v>
      </c>
      <c r="U1609">
        <v>1850</v>
      </c>
      <c r="V1609" t="s">
        <v>6834</v>
      </c>
      <c r="W1609" t="s">
        <v>6839</v>
      </c>
      <c r="Y1609" t="s">
        <v>8364</v>
      </c>
      <c r="AA1609" t="s">
        <v>10404</v>
      </c>
      <c r="AB1609">
        <v>2</v>
      </c>
      <c r="AD1609" t="s">
        <v>10944</v>
      </c>
      <c r="AE1609">
        <v>4</v>
      </c>
      <c r="AF1609">
        <v>2</v>
      </c>
      <c r="AG1609">
        <v>0</v>
      </c>
      <c r="AH1609">
        <v>37.82</v>
      </c>
      <c r="AK1609" t="s">
        <v>10966</v>
      </c>
      <c r="AL1609">
        <v>6396</v>
      </c>
      <c r="AR1609">
        <v>19</v>
      </c>
      <c r="AS1609" t="s">
        <v>11147</v>
      </c>
      <c r="AT1609" t="s">
        <v>11177</v>
      </c>
      <c r="AV1609" t="s">
        <v>11231</v>
      </c>
      <c r="AW1609" t="s">
        <v>11140</v>
      </c>
    </row>
    <row r="1610" spans="1:49">
      <c r="A1610" s="1">
        <f>HYPERLINK("https://lsnyc.legalserver.org/matter/dynamic-profile/view/1903243","19-1903243")</f>
        <v>0</v>
      </c>
      <c r="B1610" t="s">
        <v>281</v>
      </c>
      <c r="C1610" t="s">
        <v>980</v>
      </c>
      <c r="D1610" t="s">
        <v>1896</v>
      </c>
      <c r="E1610" t="s">
        <v>4532</v>
      </c>
      <c r="G1610" t="s">
        <v>5636</v>
      </c>
      <c r="H1610">
        <v>10301</v>
      </c>
      <c r="I1610" t="s">
        <v>5695</v>
      </c>
      <c r="J1610" t="s">
        <v>5696</v>
      </c>
      <c r="K1610" t="s">
        <v>6561</v>
      </c>
      <c r="L1610" t="s">
        <v>6712</v>
      </c>
      <c r="O1610" t="s">
        <v>6745</v>
      </c>
      <c r="P1610" t="s">
        <v>5697</v>
      </c>
      <c r="R1610" t="s">
        <v>6793</v>
      </c>
      <c r="S1610" t="s">
        <v>6801</v>
      </c>
      <c r="U1610">
        <v>1490</v>
      </c>
      <c r="V1610" t="s">
        <v>6834</v>
      </c>
      <c r="W1610" t="s">
        <v>6839</v>
      </c>
      <c r="Y1610" t="s">
        <v>8365</v>
      </c>
      <c r="AA1610" t="s">
        <v>10405</v>
      </c>
      <c r="AB1610">
        <v>4</v>
      </c>
      <c r="AC1610" t="s">
        <v>10929</v>
      </c>
      <c r="AD1610" t="s">
        <v>5741</v>
      </c>
      <c r="AE1610">
        <v>20</v>
      </c>
      <c r="AF1610">
        <v>2</v>
      </c>
      <c r="AG1610">
        <v>0</v>
      </c>
      <c r="AH1610">
        <v>238.82</v>
      </c>
      <c r="AI1610" t="s">
        <v>6813</v>
      </c>
      <c r="AJ1610" t="s">
        <v>10963</v>
      </c>
      <c r="AK1610" t="s">
        <v>10966</v>
      </c>
      <c r="AL1610">
        <v>40384</v>
      </c>
      <c r="AR1610">
        <v>13.45</v>
      </c>
      <c r="AS1610" t="s">
        <v>6824</v>
      </c>
      <c r="AT1610" t="s">
        <v>11177</v>
      </c>
      <c r="AU1610" t="s">
        <v>11228</v>
      </c>
      <c r="AV1610" t="s">
        <v>11231</v>
      </c>
      <c r="AW1610" t="s">
        <v>6809</v>
      </c>
    </row>
    <row r="1611" spans="1:49">
      <c r="A1611" s="1">
        <f>HYPERLINK("https://lsnyc.legalserver.org/matter/dynamic-profile/view/1905802","19-1905802")</f>
        <v>0</v>
      </c>
      <c r="B1611" t="s">
        <v>281</v>
      </c>
      <c r="C1611" t="s">
        <v>1338</v>
      </c>
      <c r="D1611" t="s">
        <v>2513</v>
      </c>
      <c r="E1611" t="s">
        <v>4533</v>
      </c>
      <c r="G1611" t="s">
        <v>5636</v>
      </c>
      <c r="H1611">
        <v>10303</v>
      </c>
      <c r="I1611" t="s">
        <v>5695</v>
      </c>
      <c r="J1611" t="s">
        <v>5696</v>
      </c>
      <c r="K1611" t="s">
        <v>6562</v>
      </c>
      <c r="L1611" t="s">
        <v>6712</v>
      </c>
      <c r="O1611" t="s">
        <v>6762</v>
      </c>
      <c r="P1611" t="s">
        <v>5697</v>
      </c>
      <c r="R1611" t="s">
        <v>6793</v>
      </c>
      <c r="S1611" t="s">
        <v>6801</v>
      </c>
      <c r="T1611" t="s">
        <v>6824</v>
      </c>
      <c r="U1611">
        <v>2500</v>
      </c>
      <c r="V1611" t="s">
        <v>6834</v>
      </c>
      <c r="W1611" t="s">
        <v>6839</v>
      </c>
      <c r="Y1611" t="s">
        <v>8366</v>
      </c>
      <c r="AA1611" t="s">
        <v>10406</v>
      </c>
      <c r="AB1611">
        <v>1</v>
      </c>
      <c r="AC1611" t="s">
        <v>10930</v>
      </c>
      <c r="AD1611" t="s">
        <v>5741</v>
      </c>
      <c r="AE1611">
        <v>-1</v>
      </c>
      <c r="AF1611">
        <v>3</v>
      </c>
      <c r="AG1611">
        <v>0</v>
      </c>
      <c r="AH1611">
        <v>91.42</v>
      </c>
      <c r="AK1611" t="s">
        <v>10966</v>
      </c>
      <c r="AL1611">
        <v>19500</v>
      </c>
      <c r="AR1611">
        <v>1.2</v>
      </c>
      <c r="AS1611" t="s">
        <v>6824</v>
      </c>
      <c r="AT1611" t="s">
        <v>11177</v>
      </c>
      <c r="AU1611" t="s">
        <v>11228</v>
      </c>
      <c r="AV1611" t="s">
        <v>11231</v>
      </c>
      <c r="AW1611" t="s">
        <v>6824</v>
      </c>
    </row>
    <row r="1612" spans="1:49">
      <c r="A1612" s="1">
        <f>HYPERLINK("https://lsnyc.legalserver.org/matter/dynamic-profile/view/1906019","19-1906019")</f>
        <v>0</v>
      </c>
      <c r="B1612" t="s">
        <v>72</v>
      </c>
      <c r="C1612" t="s">
        <v>1339</v>
      </c>
      <c r="D1612" t="s">
        <v>2715</v>
      </c>
      <c r="E1612" t="s">
        <v>4534</v>
      </c>
      <c r="F1612" t="s">
        <v>5140</v>
      </c>
      <c r="G1612" t="s">
        <v>5637</v>
      </c>
      <c r="H1612">
        <v>11222</v>
      </c>
      <c r="I1612" t="s">
        <v>5696</v>
      </c>
      <c r="J1612" t="s">
        <v>5696</v>
      </c>
      <c r="K1612" t="s">
        <v>6563</v>
      </c>
      <c r="L1612" t="s">
        <v>6712</v>
      </c>
      <c r="O1612" t="s">
        <v>6771</v>
      </c>
      <c r="P1612" t="s">
        <v>5697</v>
      </c>
      <c r="R1612" t="s">
        <v>6793</v>
      </c>
      <c r="U1612">
        <v>2700</v>
      </c>
      <c r="V1612" t="s">
        <v>6835</v>
      </c>
      <c r="W1612" t="s">
        <v>6840</v>
      </c>
      <c r="Y1612" t="s">
        <v>8367</v>
      </c>
      <c r="AA1612" t="s">
        <v>10407</v>
      </c>
      <c r="AB1612">
        <v>6</v>
      </c>
      <c r="AE1612">
        <v>6</v>
      </c>
      <c r="AF1612">
        <v>1</v>
      </c>
      <c r="AG1612">
        <v>0</v>
      </c>
      <c r="AH1612">
        <v>0</v>
      </c>
      <c r="AL1612">
        <v>0</v>
      </c>
      <c r="AR1612">
        <v>0.55</v>
      </c>
      <c r="AS1612" t="s">
        <v>6821</v>
      </c>
      <c r="AT1612" t="s">
        <v>141</v>
      </c>
      <c r="AV1612" t="s">
        <v>11231</v>
      </c>
      <c r="AW1612" t="s">
        <v>6826</v>
      </c>
    </row>
    <row r="1613" spans="1:49">
      <c r="A1613" s="1">
        <f>HYPERLINK("https://lsnyc.legalserver.org/matter/dynamic-profile/view/1903468","19-1903468")</f>
        <v>0</v>
      </c>
      <c r="B1613" t="s">
        <v>89</v>
      </c>
      <c r="C1613" t="s">
        <v>441</v>
      </c>
      <c r="D1613" t="s">
        <v>2716</v>
      </c>
      <c r="E1613" t="s">
        <v>4535</v>
      </c>
      <c r="F1613" t="s">
        <v>5243</v>
      </c>
      <c r="G1613" t="s">
        <v>5636</v>
      </c>
      <c r="H1613">
        <v>10304</v>
      </c>
      <c r="I1613" t="s">
        <v>5695</v>
      </c>
      <c r="J1613" t="s">
        <v>5696</v>
      </c>
      <c r="K1613" t="s">
        <v>6564</v>
      </c>
      <c r="L1613" t="s">
        <v>6712</v>
      </c>
      <c r="O1613" t="s">
        <v>6745</v>
      </c>
      <c r="P1613" t="s">
        <v>5697</v>
      </c>
      <c r="R1613" t="s">
        <v>6793</v>
      </c>
      <c r="S1613" t="s">
        <v>6801</v>
      </c>
      <c r="U1613">
        <v>1200</v>
      </c>
      <c r="V1613" t="s">
        <v>6834</v>
      </c>
      <c r="W1613" t="s">
        <v>6842</v>
      </c>
      <c r="Y1613" t="s">
        <v>7666</v>
      </c>
      <c r="AA1613" t="s">
        <v>10408</v>
      </c>
      <c r="AB1613">
        <v>2</v>
      </c>
      <c r="AC1613" t="s">
        <v>10930</v>
      </c>
      <c r="AD1613" t="s">
        <v>5741</v>
      </c>
      <c r="AE1613">
        <v>2</v>
      </c>
      <c r="AF1613">
        <v>1</v>
      </c>
      <c r="AG1613">
        <v>0</v>
      </c>
      <c r="AH1613">
        <v>160.13</v>
      </c>
      <c r="AL1613">
        <v>20000</v>
      </c>
      <c r="AR1613">
        <v>1.2</v>
      </c>
      <c r="AS1613" t="s">
        <v>6826</v>
      </c>
      <c r="AT1613" t="s">
        <v>11177</v>
      </c>
      <c r="AU1613" t="s">
        <v>11228</v>
      </c>
      <c r="AV1613" t="s">
        <v>11231</v>
      </c>
      <c r="AW1613" t="s">
        <v>6823</v>
      </c>
    </row>
    <row r="1614" spans="1:49">
      <c r="A1614" s="1">
        <f>HYPERLINK("https://lsnyc.legalserver.org/matter/dynamic-profile/view/1899968","19-1899968")</f>
        <v>0</v>
      </c>
      <c r="B1614" t="s">
        <v>229</v>
      </c>
      <c r="C1614" t="s">
        <v>1340</v>
      </c>
      <c r="D1614" t="s">
        <v>2717</v>
      </c>
      <c r="E1614" t="s">
        <v>4536</v>
      </c>
      <c r="F1614" t="s">
        <v>5551</v>
      </c>
      <c r="G1614" t="s">
        <v>5638</v>
      </c>
      <c r="H1614">
        <v>10022</v>
      </c>
      <c r="I1614" t="s">
        <v>5696</v>
      </c>
      <c r="J1614" t="s">
        <v>5696</v>
      </c>
      <c r="K1614">
        <v>60858</v>
      </c>
      <c r="L1614" t="s">
        <v>6712</v>
      </c>
      <c r="O1614" t="s">
        <v>6748</v>
      </c>
      <c r="P1614" t="s">
        <v>5697</v>
      </c>
      <c r="R1614" t="s">
        <v>6793</v>
      </c>
      <c r="U1614">
        <v>1568</v>
      </c>
      <c r="V1614" t="s">
        <v>6836</v>
      </c>
      <c r="Y1614" t="s">
        <v>8368</v>
      </c>
      <c r="AA1614" t="s">
        <v>10409</v>
      </c>
      <c r="AB1614">
        <v>300</v>
      </c>
      <c r="AC1614" t="s">
        <v>10930</v>
      </c>
      <c r="AD1614" t="s">
        <v>5741</v>
      </c>
      <c r="AE1614">
        <v>53</v>
      </c>
      <c r="AF1614">
        <v>1</v>
      </c>
      <c r="AG1614">
        <v>0</v>
      </c>
      <c r="AH1614">
        <v>197.63</v>
      </c>
      <c r="AK1614" t="s">
        <v>10966</v>
      </c>
      <c r="AL1614">
        <v>24684</v>
      </c>
      <c r="AR1614">
        <v>0.5</v>
      </c>
      <c r="AS1614" t="s">
        <v>10957</v>
      </c>
      <c r="AT1614" t="s">
        <v>11189</v>
      </c>
      <c r="AV1614" t="s">
        <v>11231</v>
      </c>
      <c r="AW1614" t="s">
        <v>10957</v>
      </c>
    </row>
    <row r="1615" spans="1:49">
      <c r="A1615" s="1">
        <f>HYPERLINK("https://lsnyc.legalserver.org/matter/dynamic-profile/view/1896853","19-1896853")</f>
        <v>0</v>
      </c>
      <c r="B1615" t="s">
        <v>89</v>
      </c>
      <c r="C1615" t="s">
        <v>1341</v>
      </c>
      <c r="D1615" t="s">
        <v>864</v>
      </c>
      <c r="E1615" t="s">
        <v>4537</v>
      </c>
      <c r="F1615">
        <v>1</v>
      </c>
      <c r="G1615" t="s">
        <v>5636</v>
      </c>
      <c r="H1615">
        <v>10304</v>
      </c>
      <c r="I1615" t="s">
        <v>5695</v>
      </c>
      <c r="J1615" t="s">
        <v>5696</v>
      </c>
      <c r="K1615" t="s">
        <v>6565</v>
      </c>
      <c r="L1615" t="s">
        <v>6712</v>
      </c>
      <c r="O1615" t="s">
        <v>6745</v>
      </c>
      <c r="P1615" t="s">
        <v>5697</v>
      </c>
      <c r="R1615" t="s">
        <v>6793</v>
      </c>
      <c r="S1615" t="s">
        <v>6801</v>
      </c>
      <c r="U1615">
        <v>1900</v>
      </c>
      <c r="V1615" t="s">
        <v>6834</v>
      </c>
      <c r="W1615" t="s">
        <v>6839</v>
      </c>
      <c r="Y1615" t="s">
        <v>7286</v>
      </c>
      <c r="AA1615" t="s">
        <v>10410</v>
      </c>
      <c r="AB1615">
        <v>0</v>
      </c>
      <c r="AC1615" t="s">
        <v>10930</v>
      </c>
      <c r="AD1615" t="s">
        <v>10944</v>
      </c>
      <c r="AE1615">
        <v>5</v>
      </c>
      <c r="AF1615">
        <v>1</v>
      </c>
      <c r="AG1615">
        <v>1</v>
      </c>
      <c r="AH1615">
        <v>96.87</v>
      </c>
      <c r="AK1615" t="s">
        <v>10966</v>
      </c>
      <c r="AL1615">
        <v>16380</v>
      </c>
      <c r="AR1615">
        <v>3.5</v>
      </c>
      <c r="AS1615" t="s">
        <v>6815</v>
      </c>
      <c r="AT1615" t="s">
        <v>11177</v>
      </c>
      <c r="AV1615" t="s">
        <v>11231</v>
      </c>
      <c r="AW1615" t="s">
        <v>10961</v>
      </c>
    </row>
    <row r="1616" spans="1:49">
      <c r="A1616" s="1">
        <f>HYPERLINK("https://lsnyc.legalserver.org/matter/dynamic-profile/view/1906023","19-1906023")</f>
        <v>0</v>
      </c>
      <c r="B1616" t="s">
        <v>68</v>
      </c>
      <c r="C1616" t="s">
        <v>708</v>
      </c>
      <c r="D1616" t="s">
        <v>2266</v>
      </c>
      <c r="E1616" t="s">
        <v>4538</v>
      </c>
      <c r="F1616" t="s">
        <v>5118</v>
      </c>
      <c r="G1616" t="s">
        <v>5637</v>
      </c>
      <c r="H1616">
        <v>11237</v>
      </c>
      <c r="I1616" t="s">
        <v>5696</v>
      </c>
      <c r="J1616" t="s">
        <v>5696</v>
      </c>
      <c r="K1616" t="s">
        <v>6566</v>
      </c>
      <c r="L1616" t="s">
        <v>6712</v>
      </c>
      <c r="O1616" t="s">
        <v>6748</v>
      </c>
      <c r="P1616" t="s">
        <v>5697</v>
      </c>
      <c r="R1616" t="s">
        <v>6793</v>
      </c>
      <c r="U1616">
        <v>750</v>
      </c>
      <c r="V1616" t="s">
        <v>6835</v>
      </c>
      <c r="W1616" t="s">
        <v>6841</v>
      </c>
      <c r="Y1616" t="s">
        <v>8369</v>
      </c>
      <c r="AA1616" t="s">
        <v>10411</v>
      </c>
      <c r="AB1616">
        <v>3</v>
      </c>
      <c r="AC1616" t="s">
        <v>8953</v>
      </c>
      <c r="AD1616" t="s">
        <v>5741</v>
      </c>
      <c r="AE1616">
        <v>10</v>
      </c>
      <c r="AF1616">
        <v>2</v>
      </c>
      <c r="AG1616">
        <v>0</v>
      </c>
      <c r="AH1616">
        <v>113.54</v>
      </c>
      <c r="AK1616" t="s">
        <v>10967</v>
      </c>
      <c r="AL1616">
        <v>19200</v>
      </c>
      <c r="AR1616">
        <v>1.2</v>
      </c>
      <c r="AS1616" t="s">
        <v>6820</v>
      </c>
      <c r="AT1616" t="s">
        <v>11195</v>
      </c>
      <c r="AV1616" t="s">
        <v>11231</v>
      </c>
      <c r="AW1616" t="s">
        <v>6826</v>
      </c>
    </row>
    <row r="1617" spans="1:49">
      <c r="A1617" s="1">
        <f>HYPERLINK("https://lsnyc.legalserver.org/matter/dynamic-profile/view/1904298","19-1904298")</f>
        <v>0</v>
      </c>
      <c r="B1617" t="s">
        <v>84</v>
      </c>
      <c r="C1617" t="s">
        <v>572</v>
      </c>
      <c r="D1617" t="s">
        <v>2718</v>
      </c>
      <c r="E1617" t="s">
        <v>4539</v>
      </c>
      <c r="F1617" t="s">
        <v>5552</v>
      </c>
      <c r="G1617" t="s">
        <v>5637</v>
      </c>
      <c r="H1617">
        <v>11213</v>
      </c>
      <c r="I1617" t="s">
        <v>5695</v>
      </c>
      <c r="J1617" t="s">
        <v>5696</v>
      </c>
      <c r="K1617" t="s">
        <v>6567</v>
      </c>
      <c r="L1617" t="s">
        <v>6712</v>
      </c>
      <c r="O1617" t="s">
        <v>6745</v>
      </c>
      <c r="P1617" t="s">
        <v>5697</v>
      </c>
      <c r="R1617" t="s">
        <v>6793</v>
      </c>
      <c r="S1617" t="s">
        <v>6801</v>
      </c>
      <c r="T1617" t="s">
        <v>6818</v>
      </c>
      <c r="U1617">
        <v>300</v>
      </c>
      <c r="V1617" t="s">
        <v>6835</v>
      </c>
      <c r="W1617" t="s">
        <v>6838</v>
      </c>
      <c r="Y1617" t="s">
        <v>8370</v>
      </c>
      <c r="Z1617" t="s">
        <v>8941</v>
      </c>
      <c r="AA1617" t="s">
        <v>10412</v>
      </c>
      <c r="AB1617">
        <v>34</v>
      </c>
      <c r="AC1617" t="s">
        <v>10936</v>
      </c>
      <c r="AD1617" t="s">
        <v>5741</v>
      </c>
      <c r="AE1617">
        <v>44</v>
      </c>
      <c r="AF1617">
        <v>1</v>
      </c>
      <c r="AG1617">
        <v>0</v>
      </c>
      <c r="AH1617">
        <v>86.47</v>
      </c>
      <c r="AK1617" t="s">
        <v>10966</v>
      </c>
      <c r="AL1617">
        <v>10800</v>
      </c>
      <c r="AR1617">
        <v>3.65</v>
      </c>
      <c r="AS1617" t="s">
        <v>6828</v>
      </c>
      <c r="AT1617" t="s">
        <v>69</v>
      </c>
      <c r="AU1617" t="s">
        <v>11228</v>
      </c>
      <c r="AV1617" t="s">
        <v>11231</v>
      </c>
      <c r="AW1617" t="s">
        <v>6813</v>
      </c>
    </row>
    <row r="1618" spans="1:49">
      <c r="A1618" s="1">
        <f>HYPERLINK("https://lsnyc.legalserver.org/matter/dynamic-profile/view/1905354","19-1905354")</f>
        <v>0</v>
      </c>
      <c r="B1618" t="s">
        <v>142</v>
      </c>
      <c r="C1618" t="s">
        <v>392</v>
      </c>
      <c r="D1618" t="s">
        <v>1658</v>
      </c>
      <c r="E1618" t="s">
        <v>4540</v>
      </c>
      <c r="F1618" t="s">
        <v>5553</v>
      </c>
      <c r="G1618" t="s">
        <v>5635</v>
      </c>
      <c r="H1618">
        <v>10459</v>
      </c>
      <c r="I1618" t="s">
        <v>5696</v>
      </c>
      <c r="J1618" t="s">
        <v>5696</v>
      </c>
      <c r="K1618" t="s">
        <v>6568</v>
      </c>
      <c r="L1618" t="s">
        <v>6712</v>
      </c>
      <c r="O1618" t="s">
        <v>6745</v>
      </c>
      <c r="R1618" t="s">
        <v>6793</v>
      </c>
      <c r="U1618">
        <v>833</v>
      </c>
      <c r="V1618" t="s">
        <v>6833</v>
      </c>
      <c r="W1618" t="s">
        <v>6841</v>
      </c>
      <c r="Y1618" t="s">
        <v>8371</v>
      </c>
      <c r="AA1618" t="s">
        <v>10413</v>
      </c>
      <c r="AB1618">
        <v>67</v>
      </c>
      <c r="AE1618">
        <v>14</v>
      </c>
      <c r="AF1618">
        <v>3</v>
      </c>
      <c r="AG1618">
        <v>0</v>
      </c>
      <c r="AH1618">
        <v>92.70999999999999</v>
      </c>
      <c r="AK1618" t="s">
        <v>10967</v>
      </c>
      <c r="AL1618">
        <v>19776</v>
      </c>
      <c r="AR1618">
        <v>3.4</v>
      </c>
      <c r="AS1618" t="s">
        <v>6821</v>
      </c>
      <c r="AT1618" t="s">
        <v>11181</v>
      </c>
      <c r="AV1618" t="s">
        <v>11231</v>
      </c>
      <c r="AW1618" t="s">
        <v>6828</v>
      </c>
    </row>
    <row r="1619" spans="1:49">
      <c r="A1619" s="1">
        <f>HYPERLINK("https://lsnyc.legalserver.org/matter/dynamic-profile/view/1903726","19-1903726")</f>
        <v>0</v>
      </c>
      <c r="B1619" t="s">
        <v>269</v>
      </c>
      <c r="C1619" t="s">
        <v>1342</v>
      </c>
      <c r="D1619" t="s">
        <v>2034</v>
      </c>
      <c r="E1619" t="s">
        <v>4541</v>
      </c>
      <c r="G1619" t="s">
        <v>5636</v>
      </c>
      <c r="H1619">
        <v>10303</v>
      </c>
      <c r="I1619" t="s">
        <v>5695</v>
      </c>
      <c r="J1619" t="s">
        <v>5696</v>
      </c>
      <c r="K1619" t="s">
        <v>6569</v>
      </c>
      <c r="L1619" t="s">
        <v>6712</v>
      </c>
      <c r="O1619" t="s">
        <v>6762</v>
      </c>
      <c r="P1619" t="s">
        <v>5697</v>
      </c>
      <c r="R1619" t="s">
        <v>6793</v>
      </c>
      <c r="S1619" t="s">
        <v>6801</v>
      </c>
      <c r="T1619" t="s">
        <v>6811</v>
      </c>
      <c r="U1619">
        <v>1500</v>
      </c>
      <c r="V1619" t="s">
        <v>6834</v>
      </c>
      <c r="W1619" t="s">
        <v>6839</v>
      </c>
      <c r="Y1619" t="s">
        <v>8372</v>
      </c>
      <c r="AA1619" t="s">
        <v>10414</v>
      </c>
      <c r="AB1619">
        <v>1</v>
      </c>
      <c r="AC1619" t="s">
        <v>10930</v>
      </c>
      <c r="AD1619" t="s">
        <v>10944</v>
      </c>
      <c r="AE1619">
        <v>4</v>
      </c>
      <c r="AF1619">
        <v>2</v>
      </c>
      <c r="AG1619">
        <v>0</v>
      </c>
      <c r="AH1619">
        <v>69.19</v>
      </c>
      <c r="AK1619" t="s">
        <v>10966</v>
      </c>
      <c r="AL1619">
        <v>11700</v>
      </c>
      <c r="AR1619">
        <v>2</v>
      </c>
      <c r="AS1619" t="s">
        <v>6823</v>
      </c>
      <c r="AT1619" t="s">
        <v>11177</v>
      </c>
      <c r="AU1619" t="s">
        <v>11228</v>
      </c>
      <c r="AV1619" t="s">
        <v>11231</v>
      </c>
      <c r="AW1619" t="s">
        <v>6811</v>
      </c>
    </row>
    <row r="1620" spans="1:49">
      <c r="A1620" s="1">
        <f>HYPERLINK("https://lsnyc.legalserver.org/matter/dynamic-profile/view/1900326","19-1900326")</f>
        <v>0</v>
      </c>
      <c r="B1620" t="s">
        <v>101</v>
      </c>
      <c r="C1620" t="s">
        <v>773</v>
      </c>
      <c r="D1620" t="s">
        <v>1676</v>
      </c>
      <c r="E1620" t="s">
        <v>4542</v>
      </c>
      <c r="G1620" t="s">
        <v>5636</v>
      </c>
      <c r="H1620">
        <v>10306</v>
      </c>
      <c r="I1620" t="s">
        <v>5696</v>
      </c>
      <c r="J1620" t="s">
        <v>5696</v>
      </c>
      <c r="K1620" t="s">
        <v>6570</v>
      </c>
      <c r="L1620" t="s">
        <v>6712</v>
      </c>
      <c r="O1620" t="s">
        <v>6751</v>
      </c>
      <c r="P1620" t="s">
        <v>5697</v>
      </c>
      <c r="R1620" t="s">
        <v>6793</v>
      </c>
      <c r="S1620" t="s">
        <v>6801</v>
      </c>
      <c r="U1620">
        <v>2200</v>
      </c>
      <c r="V1620" t="s">
        <v>6834</v>
      </c>
      <c r="W1620" t="s">
        <v>6838</v>
      </c>
      <c r="Y1620" t="s">
        <v>8373</v>
      </c>
      <c r="AA1620" t="s">
        <v>10415</v>
      </c>
      <c r="AB1620">
        <v>0</v>
      </c>
      <c r="AC1620" t="s">
        <v>10930</v>
      </c>
      <c r="AD1620" t="s">
        <v>5741</v>
      </c>
      <c r="AE1620">
        <v>5</v>
      </c>
      <c r="AF1620">
        <v>5</v>
      </c>
      <c r="AG1620">
        <v>1</v>
      </c>
      <c r="AH1620">
        <v>41.05</v>
      </c>
      <c r="AK1620" t="s">
        <v>10966</v>
      </c>
      <c r="AL1620">
        <v>14200</v>
      </c>
      <c r="AR1620">
        <v>6.3</v>
      </c>
      <c r="AS1620" t="s">
        <v>6812</v>
      </c>
      <c r="AT1620" t="s">
        <v>11177</v>
      </c>
      <c r="AU1620" t="s">
        <v>11228</v>
      </c>
      <c r="AV1620" t="s">
        <v>11231</v>
      </c>
      <c r="AW1620" t="s">
        <v>11124</v>
      </c>
    </row>
    <row r="1621" spans="1:49">
      <c r="A1621" s="1">
        <f>HYPERLINK("https://lsnyc.legalserver.org/matter/dynamic-profile/view/1905903","19-1905903")</f>
        <v>0</v>
      </c>
      <c r="B1621" t="s">
        <v>248</v>
      </c>
      <c r="C1621" t="s">
        <v>1113</v>
      </c>
      <c r="D1621" t="s">
        <v>2681</v>
      </c>
      <c r="E1621" t="s">
        <v>4543</v>
      </c>
      <c r="F1621">
        <v>1</v>
      </c>
      <c r="G1621" t="s">
        <v>5644</v>
      </c>
      <c r="H1621">
        <v>11433</v>
      </c>
      <c r="I1621" t="s">
        <v>5695</v>
      </c>
      <c r="J1621" t="s">
        <v>5696</v>
      </c>
      <c r="K1621" t="s">
        <v>6571</v>
      </c>
      <c r="L1621" t="s">
        <v>6712</v>
      </c>
      <c r="O1621" t="s">
        <v>6750</v>
      </c>
      <c r="R1621" t="s">
        <v>6793</v>
      </c>
      <c r="U1621">
        <v>1200</v>
      </c>
      <c r="V1621" t="s">
        <v>6837</v>
      </c>
      <c r="W1621" t="s">
        <v>6840</v>
      </c>
      <c r="Y1621" t="s">
        <v>8374</v>
      </c>
      <c r="AA1621" t="s">
        <v>10416</v>
      </c>
      <c r="AB1621">
        <v>2</v>
      </c>
      <c r="AC1621" t="s">
        <v>10930</v>
      </c>
      <c r="AD1621" t="s">
        <v>5741</v>
      </c>
      <c r="AE1621">
        <v>25</v>
      </c>
      <c r="AF1621">
        <v>3</v>
      </c>
      <c r="AG1621">
        <v>0</v>
      </c>
      <c r="AH1621">
        <v>1195.5</v>
      </c>
      <c r="AL1621">
        <v>255000</v>
      </c>
      <c r="AR1621">
        <v>1</v>
      </c>
      <c r="AS1621" t="s">
        <v>6824</v>
      </c>
      <c r="AT1621" t="s">
        <v>237</v>
      </c>
      <c r="AU1621" t="s">
        <v>11228</v>
      </c>
      <c r="AV1621" t="s">
        <v>11231</v>
      </c>
      <c r="AW1621" t="s">
        <v>6824</v>
      </c>
    </row>
    <row r="1622" spans="1:49">
      <c r="A1622" s="1">
        <f>HYPERLINK("https://lsnyc.legalserver.org/matter/dynamic-profile/view/1899773","19-1899773")</f>
        <v>0</v>
      </c>
      <c r="B1622" t="s">
        <v>101</v>
      </c>
      <c r="C1622" t="s">
        <v>1343</v>
      </c>
      <c r="D1622" t="s">
        <v>335</v>
      </c>
      <c r="E1622" t="s">
        <v>4544</v>
      </c>
      <c r="G1622" t="s">
        <v>5636</v>
      </c>
      <c r="H1622">
        <v>10312</v>
      </c>
      <c r="I1622" t="s">
        <v>5695</v>
      </c>
      <c r="J1622" t="s">
        <v>5696</v>
      </c>
      <c r="K1622" t="s">
        <v>6572</v>
      </c>
      <c r="L1622" t="s">
        <v>6712</v>
      </c>
      <c r="O1622" t="s">
        <v>6745</v>
      </c>
      <c r="P1622" t="s">
        <v>5697</v>
      </c>
      <c r="R1622" t="s">
        <v>6793</v>
      </c>
      <c r="S1622" t="s">
        <v>6801</v>
      </c>
      <c r="U1622">
        <v>2200</v>
      </c>
      <c r="V1622" t="s">
        <v>6834</v>
      </c>
      <c r="W1622" t="s">
        <v>6843</v>
      </c>
      <c r="Y1622" t="s">
        <v>8375</v>
      </c>
      <c r="AA1622" t="s">
        <v>10417</v>
      </c>
      <c r="AB1622">
        <v>1</v>
      </c>
      <c r="AC1622" t="s">
        <v>10930</v>
      </c>
      <c r="AD1622" t="s">
        <v>5741</v>
      </c>
      <c r="AE1622">
        <v>2</v>
      </c>
      <c r="AF1622">
        <v>1</v>
      </c>
      <c r="AG1622">
        <v>2</v>
      </c>
      <c r="AH1622">
        <v>168.78</v>
      </c>
      <c r="AK1622" t="s">
        <v>10972</v>
      </c>
      <c r="AL1622">
        <v>36000</v>
      </c>
      <c r="AR1622">
        <v>19.9</v>
      </c>
      <c r="AS1622" t="s">
        <v>6820</v>
      </c>
      <c r="AT1622" t="s">
        <v>11177</v>
      </c>
      <c r="AU1622" t="s">
        <v>11228</v>
      </c>
      <c r="AV1622" t="s">
        <v>11231</v>
      </c>
      <c r="AW1622" t="s">
        <v>10958</v>
      </c>
    </row>
    <row r="1623" spans="1:49">
      <c r="A1623" s="1">
        <f>HYPERLINK("https://lsnyc.legalserver.org/matter/dynamic-profile/view/1899388","19-1899388")</f>
        <v>0</v>
      </c>
      <c r="B1623" t="s">
        <v>89</v>
      </c>
      <c r="C1623" t="s">
        <v>1344</v>
      </c>
      <c r="D1623" t="s">
        <v>1893</v>
      </c>
      <c r="E1623" t="s">
        <v>4545</v>
      </c>
      <c r="F1623" t="s">
        <v>5098</v>
      </c>
      <c r="G1623" t="s">
        <v>5636</v>
      </c>
      <c r="H1623">
        <v>10301</v>
      </c>
      <c r="I1623" t="s">
        <v>5696</v>
      </c>
      <c r="J1623" t="s">
        <v>5696</v>
      </c>
      <c r="L1623" t="s">
        <v>6712</v>
      </c>
      <c r="O1623" t="s">
        <v>6745</v>
      </c>
      <c r="P1623" t="s">
        <v>5697</v>
      </c>
      <c r="R1623" t="s">
        <v>6793</v>
      </c>
      <c r="S1623" t="s">
        <v>6801</v>
      </c>
      <c r="U1623">
        <v>433</v>
      </c>
      <c r="V1623" t="s">
        <v>6834</v>
      </c>
      <c r="W1623" t="s">
        <v>6843</v>
      </c>
      <c r="Y1623" t="s">
        <v>8376</v>
      </c>
      <c r="AA1623" t="s">
        <v>10418</v>
      </c>
      <c r="AB1623">
        <v>0</v>
      </c>
      <c r="AE1623">
        <v>1</v>
      </c>
      <c r="AF1623">
        <v>1</v>
      </c>
      <c r="AG1623">
        <v>2</v>
      </c>
      <c r="AH1623">
        <v>86.75</v>
      </c>
      <c r="AK1623" t="s">
        <v>10966</v>
      </c>
      <c r="AL1623">
        <v>18504</v>
      </c>
      <c r="AR1623">
        <v>0.1</v>
      </c>
      <c r="AS1623" t="s">
        <v>11158</v>
      </c>
      <c r="AT1623" t="s">
        <v>11177</v>
      </c>
      <c r="AV1623" t="s">
        <v>11231</v>
      </c>
      <c r="AW1623" t="s">
        <v>11169</v>
      </c>
    </row>
    <row r="1624" spans="1:49">
      <c r="A1624" s="1">
        <f>HYPERLINK("https://lsnyc.legalserver.org/matter/dynamic-profile/view/1898456","19-1898456")</f>
        <v>0</v>
      </c>
      <c r="B1624" t="s">
        <v>185</v>
      </c>
      <c r="C1624" t="s">
        <v>864</v>
      </c>
      <c r="D1624" t="s">
        <v>2719</v>
      </c>
      <c r="E1624" t="s">
        <v>4546</v>
      </c>
      <c r="F1624" t="s">
        <v>5520</v>
      </c>
      <c r="G1624" t="s">
        <v>5635</v>
      </c>
      <c r="H1624">
        <v>10468</v>
      </c>
      <c r="I1624" t="s">
        <v>5695</v>
      </c>
      <c r="J1624" t="s">
        <v>5695</v>
      </c>
      <c r="K1624" t="s">
        <v>6573</v>
      </c>
      <c r="L1624" t="s">
        <v>6712</v>
      </c>
      <c r="O1624" t="s">
        <v>6763</v>
      </c>
      <c r="R1624" t="s">
        <v>6793</v>
      </c>
      <c r="U1624">
        <v>615</v>
      </c>
      <c r="V1624" t="s">
        <v>6833</v>
      </c>
      <c r="Y1624" t="s">
        <v>8377</v>
      </c>
      <c r="Z1624" t="s">
        <v>9065</v>
      </c>
      <c r="AB1624">
        <v>0</v>
      </c>
      <c r="AE1624">
        <v>6</v>
      </c>
      <c r="AF1624">
        <v>1</v>
      </c>
      <c r="AG1624">
        <v>0</v>
      </c>
      <c r="AH1624">
        <v>17.58</v>
      </c>
      <c r="AK1624" t="s">
        <v>10967</v>
      </c>
      <c r="AL1624">
        <v>2196</v>
      </c>
      <c r="AM1624" t="s">
        <v>11075</v>
      </c>
      <c r="AR1624">
        <v>1.5</v>
      </c>
      <c r="AS1624" t="s">
        <v>11123</v>
      </c>
      <c r="AT1624" t="s">
        <v>11200</v>
      </c>
      <c r="AU1624" t="s">
        <v>11229</v>
      </c>
      <c r="AV1624" t="s">
        <v>11231</v>
      </c>
      <c r="AW1624" t="s">
        <v>11141</v>
      </c>
    </row>
    <row r="1625" spans="1:49">
      <c r="A1625" s="1">
        <f>HYPERLINK("https://lsnyc.legalserver.org/matter/dynamic-profile/view/1902915","19-1902915")</f>
        <v>0</v>
      </c>
      <c r="B1625" t="s">
        <v>147</v>
      </c>
      <c r="C1625" t="s">
        <v>662</v>
      </c>
      <c r="D1625" t="s">
        <v>1220</v>
      </c>
      <c r="E1625" t="s">
        <v>4547</v>
      </c>
      <c r="F1625">
        <v>2</v>
      </c>
      <c r="G1625" t="s">
        <v>5667</v>
      </c>
      <c r="H1625">
        <v>11419</v>
      </c>
      <c r="I1625" t="s">
        <v>5696</v>
      </c>
      <c r="J1625" t="s">
        <v>5696</v>
      </c>
      <c r="K1625" t="s">
        <v>6574</v>
      </c>
      <c r="L1625" t="s">
        <v>6712</v>
      </c>
      <c r="O1625" t="s">
        <v>6758</v>
      </c>
      <c r="R1625" t="s">
        <v>6793</v>
      </c>
      <c r="U1625">
        <v>1330</v>
      </c>
      <c r="V1625" t="s">
        <v>6837</v>
      </c>
      <c r="W1625" t="s">
        <v>6841</v>
      </c>
      <c r="Y1625" t="s">
        <v>8378</v>
      </c>
      <c r="AB1625">
        <v>2</v>
      </c>
      <c r="AC1625" t="s">
        <v>8953</v>
      </c>
      <c r="AD1625" t="s">
        <v>5741</v>
      </c>
      <c r="AE1625">
        <v>14</v>
      </c>
      <c r="AF1625">
        <v>1</v>
      </c>
      <c r="AG1625">
        <v>0</v>
      </c>
      <c r="AH1625">
        <v>186.58</v>
      </c>
      <c r="AK1625" t="s">
        <v>10966</v>
      </c>
      <c r="AL1625">
        <v>23304</v>
      </c>
      <c r="AR1625">
        <v>2</v>
      </c>
      <c r="AS1625" t="s">
        <v>6819</v>
      </c>
      <c r="AT1625" t="s">
        <v>11180</v>
      </c>
      <c r="AV1625" t="s">
        <v>11231</v>
      </c>
      <c r="AW1625" t="s">
        <v>11131</v>
      </c>
    </row>
    <row r="1626" spans="1:49">
      <c r="A1626" s="1">
        <f>HYPERLINK("https://lsnyc.legalserver.org/matter/dynamic-profile/view/1903894","19-1903894")</f>
        <v>0</v>
      </c>
      <c r="B1626" t="s">
        <v>190</v>
      </c>
      <c r="C1626" t="s">
        <v>559</v>
      </c>
      <c r="D1626" t="s">
        <v>2720</v>
      </c>
      <c r="E1626" t="s">
        <v>3527</v>
      </c>
      <c r="F1626" t="s">
        <v>5495</v>
      </c>
      <c r="G1626" t="s">
        <v>5635</v>
      </c>
      <c r="H1626">
        <v>10451</v>
      </c>
      <c r="I1626" t="s">
        <v>5697</v>
      </c>
      <c r="J1626" t="s">
        <v>5696</v>
      </c>
      <c r="K1626" t="s">
        <v>6575</v>
      </c>
      <c r="L1626" t="s">
        <v>6712</v>
      </c>
      <c r="O1626" t="s">
        <v>6747</v>
      </c>
      <c r="P1626" t="s">
        <v>5697</v>
      </c>
      <c r="R1626" t="s">
        <v>6793</v>
      </c>
      <c r="U1626">
        <v>0</v>
      </c>
      <c r="V1626" t="s">
        <v>6833</v>
      </c>
      <c r="Y1626" t="s">
        <v>8379</v>
      </c>
      <c r="AB1626">
        <v>0</v>
      </c>
      <c r="AE1626">
        <v>22</v>
      </c>
      <c r="AF1626">
        <v>1</v>
      </c>
      <c r="AG1626">
        <v>0</v>
      </c>
      <c r="AH1626">
        <v>72.92</v>
      </c>
      <c r="AK1626" t="s">
        <v>10966</v>
      </c>
      <c r="AL1626">
        <v>9108</v>
      </c>
      <c r="AR1626">
        <v>3.7</v>
      </c>
      <c r="AS1626" t="s">
        <v>6822</v>
      </c>
      <c r="AT1626" t="s">
        <v>288</v>
      </c>
      <c r="AU1626" t="s">
        <v>5741</v>
      </c>
      <c r="AV1626" t="s">
        <v>11231</v>
      </c>
      <c r="AW1626" t="s">
        <v>6807</v>
      </c>
    </row>
    <row r="1627" spans="1:49">
      <c r="A1627" s="1">
        <f>HYPERLINK("https://lsnyc.legalserver.org/matter/dynamic-profile/view/1904719","19-1904719")</f>
        <v>0</v>
      </c>
      <c r="B1627" t="s">
        <v>132</v>
      </c>
      <c r="C1627" t="s">
        <v>1345</v>
      </c>
      <c r="D1627" t="s">
        <v>495</v>
      </c>
      <c r="E1627" t="s">
        <v>3580</v>
      </c>
      <c r="F1627">
        <v>22</v>
      </c>
      <c r="G1627" t="s">
        <v>5637</v>
      </c>
      <c r="H1627">
        <v>11208</v>
      </c>
      <c r="I1627" t="s">
        <v>5696</v>
      </c>
      <c r="J1627" t="s">
        <v>5696</v>
      </c>
      <c r="L1627" t="s">
        <v>6712</v>
      </c>
      <c r="O1627" t="s">
        <v>6771</v>
      </c>
      <c r="P1627" t="s">
        <v>5695</v>
      </c>
      <c r="R1627" t="s">
        <v>6793</v>
      </c>
      <c r="U1627">
        <v>1581</v>
      </c>
      <c r="V1627" t="s">
        <v>6835</v>
      </c>
      <c r="W1627" t="s">
        <v>6844</v>
      </c>
      <c r="Y1627" t="s">
        <v>8380</v>
      </c>
      <c r="AB1627">
        <v>26</v>
      </c>
      <c r="AC1627" t="s">
        <v>8953</v>
      </c>
      <c r="AD1627" t="s">
        <v>6841</v>
      </c>
      <c r="AE1627">
        <v>1</v>
      </c>
      <c r="AF1627">
        <v>1</v>
      </c>
      <c r="AG1627">
        <v>0</v>
      </c>
      <c r="AH1627">
        <v>33.63</v>
      </c>
      <c r="AK1627" t="s">
        <v>10967</v>
      </c>
      <c r="AL1627">
        <v>4200</v>
      </c>
      <c r="AR1627">
        <v>2.5</v>
      </c>
      <c r="AS1627" t="s">
        <v>6821</v>
      </c>
      <c r="AT1627" t="s">
        <v>11189</v>
      </c>
      <c r="AV1627" t="s">
        <v>11231</v>
      </c>
      <c r="AW1627" t="s">
        <v>6809</v>
      </c>
    </row>
    <row r="1628" spans="1:49">
      <c r="A1628" s="1">
        <f>HYPERLINK("https://lsnyc.legalserver.org/matter/dynamic-profile/view/1904708","19-1904708")</f>
        <v>0</v>
      </c>
      <c r="B1628" t="s">
        <v>136</v>
      </c>
      <c r="C1628" t="s">
        <v>438</v>
      </c>
      <c r="D1628" t="s">
        <v>2721</v>
      </c>
      <c r="E1628" t="s">
        <v>3580</v>
      </c>
      <c r="F1628">
        <v>13</v>
      </c>
      <c r="G1628" t="s">
        <v>5637</v>
      </c>
      <c r="H1628">
        <v>11208</v>
      </c>
      <c r="I1628" t="s">
        <v>5696</v>
      </c>
      <c r="J1628" t="s">
        <v>5696</v>
      </c>
      <c r="L1628" t="s">
        <v>6712</v>
      </c>
      <c r="O1628" t="s">
        <v>6773</v>
      </c>
      <c r="P1628" t="s">
        <v>5695</v>
      </c>
      <c r="R1628" t="s">
        <v>6793</v>
      </c>
      <c r="U1628">
        <v>1326</v>
      </c>
      <c r="V1628" t="s">
        <v>6835</v>
      </c>
      <c r="W1628" t="s">
        <v>6844</v>
      </c>
      <c r="Y1628" t="s">
        <v>8381</v>
      </c>
      <c r="AB1628">
        <v>26</v>
      </c>
      <c r="AC1628" t="s">
        <v>8953</v>
      </c>
      <c r="AD1628" t="s">
        <v>10948</v>
      </c>
      <c r="AE1628">
        <v>3</v>
      </c>
      <c r="AF1628">
        <v>1</v>
      </c>
      <c r="AG1628">
        <v>0</v>
      </c>
      <c r="AH1628">
        <v>30.58</v>
      </c>
      <c r="AK1628" t="s">
        <v>10967</v>
      </c>
      <c r="AL1628">
        <v>3819.92</v>
      </c>
      <c r="AR1628">
        <v>2.25</v>
      </c>
      <c r="AS1628" t="s">
        <v>6819</v>
      </c>
      <c r="AT1628" t="s">
        <v>11189</v>
      </c>
      <c r="AV1628" t="s">
        <v>11231</v>
      </c>
      <c r="AW1628" t="s">
        <v>6809</v>
      </c>
    </row>
    <row r="1629" spans="1:49">
      <c r="A1629" s="1">
        <f>HYPERLINK("https://lsnyc.legalserver.org/matter/dynamic-profile/view/1905992","19-1905992")</f>
        <v>0</v>
      </c>
      <c r="B1629" t="s">
        <v>66</v>
      </c>
      <c r="C1629" t="s">
        <v>863</v>
      </c>
      <c r="D1629" t="s">
        <v>2722</v>
      </c>
      <c r="E1629" t="s">
        <v>4548</v>
      </c>
      <c r="G1629" t="s">
        <v>5635</v>
      </c>
      <c r="H1629">
        <v>10457</v>
      </c>
      <c r="I1629" t="s">
        <v>5695</v>
      </c>
      <c r="J1629" t="s">
        <v>5696</v>
      </c>
      <c r="K1629" t="s">
        <v>6576</v>
      </c>
      <c r="L1629" t="s">
        <v>6712</v>
      </c>
      <c r="O1629" t="s">
        <v>6763</v>
      </c>
      <c r="R1629" t="s">
        <v>6793</v>
      </c>
      <c r="U1629">
        <v>1200</v>
      </c>
      <c r="V1629" t="s">
        <v>6833</v>
      </c>
      <c r="Y1629" t="s">
        <v>8382</v>
      </c>
      <c r="AB1629">
        <v>0</v>
      </c>
      <c r="AE1629">
        <v>3</v>
      </c>
      <c r="AF1629">
        <v>2</v>
      </c>
      <c r="AG1629">
        <v>1</v>
      </c>
      <c r="AH1629">
        <v>51.76</v>
      </c>
      <c r="AK1629" t="s">
        <v>10967</v>
      </c>
      <c r="AL1629">
        <v>11040</v>
      </c>
      <c r="AR1629">
        <v>0</v>
      </c>
      <c r="AT1629" t="s">
        <v>288</v>
      </c>
      <c r="AU1629" t="s">
        <v>11228</v>
      </c>
      <c r="AV1629" t="s">
        <v>11231</v>
      </c>
      <c r="AW1629" t="s">
        <v>6826</v>
      </c>
    </row>
    <row r="1630" spans="1:49">
      <c r="A1630" s="1">
        <f>HYPERLINK("https://lsnyc.legalserver.org/matter/dynamic-profile/view/1903580","19-1903580")</f>
        <v>0</v>
      </c>
      <c r="B1630" t="s">
        <v>205</v>
      </c>
      <c r="C1630" t="s">
        <v>1346</v>
      </c>
      <c r="D1630" t="s">
        <v>2723</v>
      </c>
      <c r="E1630" t="s">
        <v>4549</v>
      </c>
      <c r="F1630" t="s">
        <v>5554</v>
      </c>
      <c r="G1630" t="s">
        <v>5637</v>
      </c>
      <c r="H1630">
        <v>11233</v>
      </c>
      <c r="I1630" t="s">
        <v>5697</v>
      </c>
      <c r="J1630" t="s">
        <v>5696</v>
      </c>
      <c r="K1630" t="s">
        <v>5727</v>
      </c>
      <c r="L1630" t="s">
        <v>6713</v>
      </c>
      <c r="O1630" t="s">
        <v>6745</v>
      </c>
      <c r="P1630" t="s">
        <v>5697</v>
      </c>
      <c r="R1630" t="s">
        <v>6793</v>
      </c>
      <c r="S1630" t="s">
        <v>6801</v>
      </c>
      <c r="U1630">
        <v>1100.06</v>
      </c>
      <c r="V1630" t="s">
        <v>6835</v>
      </c>
      <c r="W1630" t="s">
        <v>6847</v>
      </c>
      <c r="Y1630" t="s">
        <v>8383</v>
      </c>
      <c r="Z1630" t="s">
        <v>8953</v>
      </c>
      <c r="AA1630" t="s">
        <v>10419</v>
      </c>
      <c r="AB1630">
        <v>43</v>
      </c>
      <c r="AC1630" t="s">
        <v>10929</v>
      </c>
      <c r="AD1630" t="s">
        <v>5741</v>
      </c>
      <c r="AE1630">
        <v>45</v>
      </c>
      <c r="AF1630">
        <v>1</v>
      </c>
      <c r="AG1630">
        <v>0</v>
      </c>
      <c r="AH1630">
        <v>81.67</v>
      </c>
      <c r="AK1630" t="s">
        <v>10966</v>
      </c>
      <c r="AL1630">
        <v>10200</v>
      </c>
      <c r="AR1630">
        <v>0.1</v>
      </c>
      <c r="AS1630" t="s">
        <v>6822</v>
      </c>
      <c r="AT1630" t="s">
        <v>69</v>
      </c>
      <c r="AU1630" t="s">
        <v>5741</v>
      </c>
      <c r="AV1630" t="s">
        <v>11231</v>
      </c>
      <c r="AW1630" t="s">
        <v>11147</v>
      </c>
    </row>
    <row r="1631" spans="1:49">
      <c r="A1631" s="1">
        <f>HYPERLINK("https://lsnyc.legalserver.org/matter/dynamic-profile/view/1906227","19-1906227")</f>
        <v>0</v>
      </c>
      <c r="B1631" t="s">
        <v>207</v>
      </c>
      <c r="C1631" t="s">
        <v>881</v>
      </c>
      <c r="D1631" t="s">
        <v>2724</v>
      </c>
      <c r="E1631" t="s">
        <v>4550</v>
      </c>
      <c r="F1631" t="s">
        <v>5204</v>
      </c>
      <c r="G1631" t="s">
        <v>5635</v>
      </c>
      <c r="H1631">
        <v>10451</v>
      </c>
      <c r="I1631" t="s">
        <v>5696</v>
      </c>
      <c r="J1631" t="s">
        <v>5696</v>
      </c>
      <c r="L1631" t="s">
        <v>6713</v>
      </c>
      <c r="O1631" t="s">
        <v>6745</v>
      </c>
      <c r="R1631" t="s">
        <v>6793</v>
      </c>
      <c r="U1631">
        <v>1325</v>
      </c>
      <c r="V1631" t="s">
        <v>6833</v>
      </c>
      <c r="W1631" t="s">
        <v>6838</v>
      </c>
      <c r="Y1631" t="s">
        <v>8384</v>
      </c>
      <c r="AA1631" t="s">
        <v>10420</v>
      </c>
      <c r="AB1631">
        <v>0</v>
      </c>
      <c r="AC1631" t="s">
        <v>10936</v>
      </c>
      <c r="AE1631">
        <v>5</v>
      </c>
      <c r="AF1631">
        <v>1</v>
      </c>
      <c r="AG1631">
        <v>3</v>
      </c>
      <c r="AH1631">
        <v>20.97</v>
      </c>
      <c r="AK1631" t="s">
        <v>10966</v>
      </c>
      <c r="AL1631">
        <v>5400</v>
      </c>
      <c r="AR1631">
        <v>0</v>
      </c>
      <c r="AT1631" t="s">
        <v>11222</v>
      </c>
      <c r="AV1631" t="s">
        <v>11231</v>
      </c>
      <c r="AW1631" t="s">
        <v>6821</v>
      </c>
    </row>
    <row r="1632" spans="1:49">
      <c r="A1632" s="1">
        <f>HYPERLINK("https://lsnyc.legalserver.org/matter/dynamic-profile/view/1899810","19-1899810")</f>
        <v>0</v>
      </c>
      <c r="B1632" t="s">
        <v>205</v>
      </c>
      <c r="C1632" t="s">
        <v>398</v>
      </c>
      <c r="D1632" t="s">
        <v>2725</v>
      </c>
      <c r="E1632" t="s">
        <v>4551</v>
      </c>
      <c r="F1632" t="s">
        <v>5142</v>
      </c>
      <c r="G1632" t="s">
        <v>5637</v>
      </c>
      <c r="H1632">
        <v>11233</v>
      </c>
      <c r="I1632" t="s">
        <v>5697</v>
      </c>
      <c r="J1632" t="s">
        <v>5696</v>
      </c>
      <c r="K1632" t="s">
        <v>6577</v>
      </c>
      <c r="L1632" t="s">
        <v>6713</v>
      </c>
      <c r="O1632" t="s">
        <v>6753</v>
      </c>
      <c r="P1632" t="s">
        <v>5697</v>
      </c>
      <c r="R1632" t="s">
        <v>6794</v>
      </c>
      <c r="S1632" t="s">
        <v>6801</v>
      </c>
      <c r="U1632">
        <v>189</v>
      </c>
      <c r="V1632" t="s">
        <v>6835</v>
      </c>
      <c r="W1632" t="s">
        <v>6842</v>
      </c>
      <c r="Y1632" t="s">
        <v>8385</v>
      </c>
      <c r="Z1632" t="s">
        <v>5741</v>
      </c>
      <c r="AA1632" t="s">
        <v>10421</v>
      </c>
      <c r="AB1632">
        <v>0</v>
      </c>
      <c r="AC1632" t="s">
        <v>10931</v>
      </c>
      <c r="AD1632" t="s">
        <v>5741</v>
      </c>
      <c r="AE1632">
        <v>4</v>
      </c>
      <c r="AF1632">
        <v>1</v>
      </c>
      <c r="AG1632">
        <v>0</v>
      </c>
      <c r="AH1632">
        <v>80.22</v>
      </c>
      <c r="AK1632" t="s">
        <v>10966</v>
      </c>
      <c r="AL1632">
        <v>10020</v>
      </c>
      <c r="AR1632">
        <v>1.2</v>
      </c>
      <c r="AS1632" t="s">
        <v>11135</v>
      </c>
      <c r="AT1632" t="s">
        <v>69</v>
      </c>
      <c r="AU1632" t="s">
        <v>5741</v>
      </c>
      <c r="AV1632" t="s">
        <v>11231</v>
      </c>
      <c r="AW1632" t="s">
        <v>11132</v>
      </c>
    </row>
    <row r="1633" spans="1:49">
      <c r="A1633" s="1">
        <f>HYPERLINK("https://lsnyc.legalserver.org/matter/dynamic-profile/view/1903815","19-1903815")</f>
        <v>0</v>
      </c>
      <c r="B1633" t="s">
        <v>222</v>
      </c>
      <c r="C1633" t="s">
        <v>572</v>
      </c>
      <c r="D1633" t="s">
        <v>2137</v>
      </c>
      <c r="E1633" t="s">
        <v>3713</v>
      </c>
      <c r="F1633" t="s">
        <v>5116</v>
      </c>
      <c r="G1633" t="s">
        <v>5635</v>
      </c>
      <c r="H1633">
        <v>10460</v>
      </c>
      <c r="I1633" t="s">
        <v>5696</v>
      </c>
      <c r="J1633" t="s">
        <v>5696</v>
      </c>
      <c r="L1633" t="s">
        <v>6713</v>
      </c>
      <c r="O1633" t="s">
        <v>6748</v>
      </c>
      <c r="P1633" t="s">
        <v>5697</v>
      </c>
      <c r="R1633" t="s">
        <v>6793</v>
      </c>
      <c r="U1633">
        <v>208</v>
      </c>
      <c r="V1633" t="s">
        <v>6833</v>
      </c>
      <c r="W1633" t="s">
        <v>6841</v>
      </c>
      <c r="Y1633" t="s">
        <v>7510</v>
      </c>
      <c r="AA1633" t="s">
        <v>9590</v>
      </c>
      <c r="AB1633">
        <v>0</v>
      </c>
      <c r="AC1633" t="s">
        <v>8953</v>
      </c>
      <c r="AD1633" t="s">
        <v>5741</v>
      </c>
      <c r="AE1633">
        <v>10</v>
      </c>
      <c r="AF1633">
        <v>1</v>
      </c>
      <c r="AG1633">
        <v>0</v>
      </c>
      <c r="AH1633">
        <v>85.03</v>
      </c>
      <c r="AK1633" t="s">
        <v>10967</v>
      </c>
      <c r="AL1633">
        <v>10620</v>
      </c>
      <c r="AR1633">
        <v>0.84</v>
      </c>
      <c r="AS1633" t="s">
        <v>6807</v>
      </c>
      <c r="AT1633" t="s">
        <v>11195</v>
      </c>
      <c r="AV1633" t="s">
        <v>11231</v>
      </c>
      <c r="AW1633" t="s">
        <v>6807</v>
      </c>
    </row>
    <row r="1634" spans="1:49">
      <c r="A1634" s="1">
        <f>HYPERLINK("https://lsnyc.legalserver.org/matter/dynamic-profile/view/1902184","19-1902184")</f>
        <v>0</v>
      </c>
      <c r="B1634" t="s">
        <v>205</v>
      </c>
      <c r="C1634" t="s">
        <v>1347</v>
      </c>
      <c r="D1634" t="s">
        <v>2204</v>
      </c>
      <c r="E1634" t="s">
        <v>3289</v>
      </c>
      <c r="F1634">
        <v>2</v>
      </c>
      <c r="G1634" t="s">
        <v>5637</v>
      </c>
      <c r="H1634">
        <v>11207</v>
      </c>
      <c r="I1634" t="s">
        <v>5697</v>
      </c>
      <c r="J1634" t="s">
        <v>5696</v>
      </c>
      <c r="K1634" t="s">
        <v>6578</v>
      </c>
      <c r="L1634" t="s">
        <v>6713</v>
      </c>
      <c r="O1634" t="s">
        <v>6745</v>
      </c>
      <c r="P1634" t="s">
        <v>5697</v>
      </c>
      <c r="R1634" t="s">
        <v>6793</v>
      </c>
      <c r="S1634" t="s">
        <v>6801</v>
      </c>
      <c r="U1634">
        <v>2379</v>
      </c>
      <c r="V1634" t="s">
        <v>6835</v>
      </c>
      <c r="W1634" t="s">
        <v>6842</v>
      </c>
      <c r="Y1634" t="s">
        <v>8382</v>
      </c>
      <c r="Z1634" t="s">
        <v>8928</v>
      </c>
      <c r="AA1634" t="s">
        <v>10422</v>
      </c>
      <c r="AB1634">
        <v>4</v>
      </c>
      <c r="AC1634" t="s">
        <v>10930</v>
      </c>
      <c r="AD1634" t="s">
        <v>10944</v>
      </c>
      <c r="AE1634">
        <v>0</v>
      </c>
      <c r="AF1634">
        <v>2</v>
      </c>
      <c r="AG1634">
        <v>2</v>
      </c>
      <c r="AH1634">
        <v>143.69</v>
      </c>
      <c r="AK1634" t="s">
        <v>10966</v>
      </c>
      <c r="AL1634">
        <v>37000</v>
      </c>
      <c r="AR1634">
        <v>1.7</v>
      </c>
      <c r="AS1634" t="s">
        <v>6825</v>
      </c>
      <c r="AT1634" t="s">
        <v>11188</v>
      </c>
      <c r="AU1634" t="s">
        <v>5741</v>
      </c>
      <c r="AV1634" t="s">
        <v>11231</v>
      </c>
      <c r="AW1634" t="s">
        <v>11163</v>
      </c>
    </row>
    <row r="1635" spans="1:49">
      <c r="A1635" s="1">
        <f>HYPERLINK("https://lsnyc.legalserver.org/matter/dynamic-profile/view/1899137","19-1899137")</f>
        <v>0</v>
      </c>
      <c r="B1635" t="s">
        <v>205</v>
      </c>
      <c r="C1635" t="s">
        <v>1348</v>
      </c>
      <c r="D1635" t="s">
        <v>1676</v>
      </c>
      <c r="E1635" t="s">
        <v>4552</v>
      </c>
      <c r="F1635" t="s">
        <v>5238</v>
      </c>
      <c r="G1635" t="s">
        <v>5637</v>
      </c>
      <c r="H1635">
        <v>11233</v>
      </c>
      <c r="I1635" t="s">
        <v>5697</v>
      </c>
      <c r="J1635" t="s">
        <v>5696</v>
      </c>
      <c r="K1635" t="s">
        <v>5727</v>
      </c>
      <c r="L1635" t="s">
        <v>6713</v>
      </c>
      <c r="O1635" t="s">
        <v>6753</v>
      </c>
      <c r="P1635" t="s">
        <v>5697</v>
      </c>
      <c r="R1635" t="s">
        <v>6793</v>
      </c>
      <c r="S1635" t="s">
        <v>6801</v>
      </c>
      <c r="U1635">
        <v>1173.22</v>
      </c>
      <c r="V1635" t="s">
        <v>6835</v>
      </c>
      <c r="Y1635" t="s">
        <v>8386</v>
      </c>
      <c r="Z1635" t="s">
        <v>5741</v>
      </c>
      <c r="AA1635" t="s">
        <v>10423</v>
      </c>
      <c r="AB1635">
        <v>6</v>
      </c>
      <c r="AC1635" t="s">
        <v>10929</v>
      </c>
      <c r="AE1635">
        <v>12</v>
      </c>
      <c r="AF1635">
        <v>2</v>
      </c>
      <c r="AG1635">
        <v>0</v>
      </c>
      <c r="AH1635">
        <v>276.76</v>
      </c>
      <c r="AK1635" t="s">
        <v>10966</v>
      </c>
      <c r="AL1635">
        <v>46800</v>
      </c>
      <c r="AR1635">
        <v>1.5</v>
      </c>
      <c r="AS1635" t="s">
        <v>11135</v>
      </c>
      <c r="AT1635" t="s">
        <v>11183</v>
      </c>
      <c r="AU1635" t="s">
        <v>5741</v>
      </c>
      <c r="AV1635" t="s">
        <v>11231</v>
      </c>
      <c r="AW1635" t="s">
        <v>11134</v>
      </c>
    </row>
    <row r="1636" spans="1:49">
      <c r="A1636" s="1">
        <f>HYPERLINK("https://lsnyc.legalserver.org/matter/dynamic-profile/view/1897986","19-1897986")</f>
        <v>0</v>
      </c>
      <c r="B1636" t="s">
        <v>68</v>
      </c>
      <c r="C1636" t="s">
        <v>1349</v>
      </c>
      <c r="D1636" t="s">
        <v>2726</v>
      </c>
      <c r="E1636" t="s">
        <v>4553</v>
      </c>
      <c r="F1636" t="s">
        <v>5448</v>
      </c>
      <c r="G1636" t="s">
        <v>5637</v>
      </c>
      <c r="H1636">
        <v>11224</v>
      </c>
      <c r="I1636" t="s">
        <v>5696</v>
      </c>
      <c r="J1636" t="s">
        <v>5696</v>
      </c>
      <c r="K1636" t="s">
        <v>6579</v>
      </c>
      <c r="L1636" t="s">
        <v>6713</v>
      </c>
      <c r="O1636" t="s">
        <v>6754</v>
      </c>
      <c r="R1636" t="s">
        <v>6794</v>
      </c>
      <c r="U1636">
        <v>674</v>
      </c>
      <c r="V1636" t="s">
        <v>6835</v>
      </c>
      <c r="W1636" t="s">
        <v>6842</v>
      </c>
      <c r="Y1636" t="s">
        <v>8387</v>
      </c>
      <c r="AB1636">
        <v>0</v>
      </c>
      <c r="AC1636" t="s">
        <v>10931</v>
      </c>
      <c r="AE1636">
        <v>23</v>
      </c>
      <c r="AF1636">
        <v>1</v>
      </c>
      <c r="AG1636">
        <v>0</v>
      </c>
      <c r="AH1636">
        <v>333.19</v>
      </c>
      <c r="AK1636" t="s">
        <v>10966</v>
      </c>
      <c r="AL1636">
        <v>41616</v>
      </c>
      <c r="AR1636">
        <v>2.6</v>
      </c>
      <c r="AS1636" t="s">
        <v>11127</v>
      </c>
      <c r="AT1636" t="s">
        <v>11188</v>
      </c>
      <c r="AV1636" t="s">
        <v>11231</v>
      </c>
      <c r="AW1636" t="s">
        <v>11142</v>
      </c>
    </row>
    <row r="1637" spans="1:49">
      <c r="A1637" s="1">
        <f>HYPERLINK("https://lsnyc.legalserver.org/matter/dynamic-profile/view/1904583","19-1904583")</f>
        <v>0</v>
      </c>
      <c r="B1637" t="s">
        <v>278</v>
      </c>
      <c r="C1637" t="s">
        <v>1350</v>
      </c>
      <c r="D1637" t="s">
        <v>2727</v>
      </c>
      <c r="E1637" t="s">
        <v>4554</v>
      </c>
      <c r="F1637">
        <v>1</v>
      </c>
      <c r="G1637" t="s">
        <v>5637</v>
      </c>
      <c r="H1637">
        <v>11225</v>
      </c>
      <c r="I1637" t="s">
        <v>5696</v>
      </c>
      <c r="J1637" t="s">
        <v>5696</v>
      </c>
      <c r="L1637" t="s">
        <v>5740</v>
      </c>
      <c r="O1637" t="s">
        <v>6748</v>
      </c>
      <c r="P1637" t="s">
        <v>5697</v>
      </c>
      <c r="R1637" t="s">
        <v>6793</v>
      </c>
      <c r="U1637">
        <v>812</v>
      </c>
      <c r="V1637" t="s">
        <v>6835</v>
      </c>
      <c r="W1637" t="s">
        <v>6843</v>
      </c>
      <c r="Y1637" t="s">
        <v>8388</v>
      </c>
      <c r="AA1637" t="s">
        <v>10424</v>
      </c>
      <c r="AB1637">
        <v>6</v>
      </c>
      <c r="AC1637" t="s">
        <v>10929</v>
      </c>
      <c r="AD1637" t="s">
        <v>5741</v>
      </c>
      <c r="AE1637">
        <v>21</v>
      </c>
      <c r="AF1637">
        <v>1</v>
      </c>
      <c r="AG1637">
        <v>0</v>
      </c>
      <c r="AH1637">
        <v>0</v>
      </c>
      <c r="AK1637" t="s">
        <v>10966</v>
      </c>
      <c r="AL1637">
        <v>0</v>
      </c>
      <c r="AR1637">
        <v>1.4</v>
      </c>
      <c r="AS1637" t="s">
        <v>6812</v>
      </c>
      <c r="AT1637" t="s">
        <v>11180</v>
      </c>
      <c r="AV1637" t="s">
        <v>11231</v>
      </c>
      <c r="AW1637" t="s">
        <v>6810</v>
      </c>
    </row>
    <row r="1638" spans="1:49">
      <c r="A1638" s="1">
        <f>HYPERLINK("https://lsnyc.legalserver.org/matter/dynamic-profile/view/1905037","19-1905037")</f>
        <v>0</v>
      </c>
      <c r="B1638" t="s">
        <v>279</v>
      </c>
      <c r="C1638" t="s">
        <v>882</v>
      </c>
      <c r="D1638" t="s">
        <v>1697</v>
      </c>
      <c r="E1638" t="s">
        <v>4555</v>
      </c>
      <c r="F1638" t="s">
        <v>5490</v>
      </c>
      <c r="G1638" t="s">
        <v>5635</v>
      </c>
      <c r="H1638">
        <v>10457</v>
      </c>
      <c r="I1638" t="s">
        <v>5696</v>
      </c>
      <c r="J1638" t="s">
        <v>5696</v>
      </c>
      <c r="L1638" t="s">
        <v>5740</v>
      </c>
      <c r="O1638" t="s">
        <v>6745</v>
      </c>
      <c r="P1638" t="s">
        <v>5697</v>
      </c>
      <c r="R1638" t="s">
        <v>6793</v>
      </c>
      <c r="U1638">
        <v>1680</v>
      </c>
      <c r="V1638" t="s">
        <v>6833</v>
      </c>
      <c r="W1638" t="s">
        <v>6841</v>
      </c>
      <c r="Y1638" t="s">
        <v>8181</v>
      </c>
      <c r="AA1638" t="s">
        <v>10425</v>
      </c>
      <c r="AB1638">
        <v>100</v>
      </c>
      <c r="AC1638" t="s">
        <v>8953</v>
      </c>
      <c r="AD1638" t="s">
        <v>6841</v>
      </c>
      <c r="AE1638">
        <v>16</v>
      </c>
      <c r="AF1638">
        <v>1</v>
      </c>
      <c r="AG1638">
        <v>3</v>
      </c>
      <c r="AH1638">
        <v>131.26</v>
      </c>
      <c r="AK1638" t="s">
        <v>10966</v>
      </c>
      <c r="AL1638">
        <v>33800</v>
      </c>
      <c r="AR1638">
        <v>3.2</v>
      </c>
      <c r="AS1638" t="s">
        <v>6824</v>
      </c>
      <c r="AT1638" t="s">
        <v>11180</v>
      </c>
      <c r="AV1638" t="s">
        <v>11231</v>
      </c>
      <c r="AW1638" t="s">
        <v>6814</v>
      </c>
    </row>
    <row r="1639" spans="1:49">
      <c r="A1639" s="1">
        <f>HYPERLINK("https://lsnyc.legalserver.org/matter/dynamic-profile/view/1904512","19-1904512")</f>
        <v>0</v>
      </c>
      <c r="B1639" t="s">
        <v>69</v>
      </c>
      <c r="C1639" t="s">
        <v>1351</v>
      </c>
      <c r="D1639" t="s">
        <v>2728</v>
      </c>
      <c r="E1639" t="s">
        <v>4556</v>
      </c>
      <c r="F1639">
        <v>9</v>
      </c>
      <c r="G1639" t="s">
        <v>5637</v>
      </c>
      <c r="H1639">
        <v>11212</v>
      </c>
      <c r="I1639" t="s">
        <v>5697</v>
      </c>
      <c r="J1639" t="s">
        <v>5696</v>
      </c>
      <c r="K1639" t="s">
        <v>5727</v>
      </c>
      <c r="L1639" t="s">
        <v>5740</v>
      </c>
      <c r="O1639" t="s">
        <v>6745</v>
      </c>
      <c r="P1639" t="s">
        <v>5697</v>
      </c>
      <c r="R1639" t="s">
        <v>6793</v>
      </c>
      <c r="S1639" t="s">
        <v>6801</v>
      </c>
      <c r="U1639">
        <v>1300</v>
      </c>
      <c r="V1639" t="s">
        <v>6835</v>
      </c>
      <c r="W1639" t="s">
        <v>6848</v>
      </c>
      <c r="Y1639" t="s">
        <v>8389</v>
      </c>
      <c r="Z1639" t="s">
        <v>9066</v>
      </c>
      <c r="AA1639" t="s">
        <v>10426</v>
      </c>
      <c r="AB1639">
        <v>23</v>
      </c>
      <c r="AC1639" t="s">
        <v>10929</v>
      </c>
      <c r="AD1639" t="s">
        <v>5741</v>
      </c>
      <c r="AE1639">
        <v>1</v>
      </c>
      <c r="AF1639">
        <v>1</v>
      </c>
      <c r="AG1639">
        <v>2</v>
      </c>
      <c r="AH1639">
        <v>22.5</v>
      </c>
      <c r="AK1639" t="s">
        <v>10966</v>
      </c>
      <c r="AL1639">
        <v>4800</v>
      </c>
      <c r="AR1639">
        <v>0</v>
      </c>
      <c r="AT1639" t="s">
        <v>69</v>
      </c>
      <c r="AU1639" t="s">
        <v>5741</v>
      </c>
      <c r="AV1639" t="s">
        <v>11231</v>
      </c>
      <c r="AW1639" t="s">
        <v>6810</v>
      </c>
    </row>
    <row r="1640" spans="1:49">
      <c r="A1640" s="1">
        <f>HYPERLINK("https://lsnyc.legalserver.org/matter/dynamic-profile/view/1902075","19-1902075")</f>
        <v>0</v>
      </c>
      <c r="B1640" t="s">
        <v>254</v>
      </c>
      <c r="C1640" t="s">
        <v>356</v>
      </c>
      <c r="D1640" t="s">
        <v>2729</v>
      </c>
      <c r="E1640" t="s">
        <v>4557</v>
      </c>
      <c r="F1640" t="s">
        <v>5170</v>
      </c>
      <c r="G1640" t="s">
        <v>5635</v>
      </c>
      <c r="H1640">
        <v>10460</v>
      </c>
      <c r="I1640" t="s">
        <v>5696</v>
      </c>
      <c r="J1640" t="s">
        <v>5696</v>
      </c>
      <c r="L1640" t="s">
        <v>5740</v>
      </c>
      <c r="O1640" t="s">
        <v>6748</v>
      </c>
      <c r="R1640" t="s">
        <v>6793</v>
      </c>
      <c r="U1640">
        <v>1600</v>
      </c>
      <c r="V1640" t="s">
        <v>6833</v>
      </c>
      <c r="W1640" t="s">
        <v>6841</v>
      </c>
      <c r="Y1640" t="s">
        <v>8390</v>
      </c>
      <c r="AA1640" t="s">
        <v>10427</v>
      </c>
      <c r="AB1640">
        <v>56</v>
      </c>
      <c r="AC1640" t="s">
        <v>8953</v>
      </c>
      <c r="AD1640" t="s">
        <v>10943</v>
      </c>
      <c r="AE1640">
        <v>2</v>
      </c>
      <c r="AF1640">
        <v>1</v>
      </c>
      <c r="AG1640">
        <v>0</v>
      </c>
      <c r="AH1640">
        <v>124.9</v>
      </c>
      <c r="AK1640" t="s">
        <v>10966</v>
      </c>
      <c r="AL1640">
        <v>15600</v>
      </c>
      <c r="AR1640">
        <v>0.6</v>
      </c>
      <c r="AS1640" t="s">
        <v>11161</v>
      </c>
      <c r="AT1640" t="s">
        <v>11180</v>
      </c>
      <c r="AV1640" t="s">
        <v>11231</v>
      </c>
      <c r="AW1640" t="s">
        <v>11161</v>
      </c>
    </row>
    <row r="1641" spans="1:49">
      <c r="A1641" s="1">
        <f>HYPERLINK("https://lsnyc.legalserver.org/matter/dynamic-profile/view/1897703","19-1897703")</f>
        <v>0</v>
      </c>
      <c r="B1641" t="s">
        <v>244</v>
      </c>
      <c r="C1641" t="s">
        <v>1352</v>
      </c>
      <c r="D1641" t="s">
        <v>2730</v>
      </c>
      <c r="E1641" t="s">
        <v>4558</v>
      </c>
      <c r="F1641" t="s">
        <v>5555</v>
      </c>
      <c r="G1641" t="s">
        <v>5638</v>
      </c>
      <c r="H1641">
        <v>10002</v>
      </c>
      <c r="I1641" t="s">
        <v>5696</v>
      </c>
      <c r="J1641" t="s">
        <v>5696</v>
      </c>
      <c r="L1641" t="s">
        <v>5740</v>
      </c>
      <c r="O1641" t="s">
        <v>6759</v>
      </c>
      <c r="R1641" t="s">
        <v>6793</v>
      </c>
      <c r="U1641">
        <v>809</v>
      </c>
      <c r="V1641" t="s">
        <v>6836</v>
      </c>
      <c r="Y1641" t="s">
        <v>8391</v>
      </c>
      <c r="AA1641" t="s">
        <v>10428</v>
      </c>
      <c r="AB1641">
        <v>0</v>
      </c>
      <c r="AE1641">
        <v>29</v>
      </c>
      <c r="AF1641">
        <v>1</v>
      </c>
      <c r="AG1641">
        <v>0</v>
      </c>
      <c r="AH1641">
        <v>101.17</v>
      </c>
      <c r="AK1641" t="s">
        <v>10966</v>
      </c>
      <c r="AL1641">
        <v>12636</v>
      </c>
      <c r="AR1641">
        <v>0</v>
      </c>
      <c r="AT1641" t="s">
        <v>11194</v>
      </c>
      <c r="AV1641" t="s">
        <v>11231</v>
      </c>
      <c r="AW1641" t="s">
        <v>11151</v>
      </c>
    </row>
    <row r="1642" spans="1:49">
      <c r="A1642" s="1">
        <f>HYPERLINK("https://lsnyc.legalserver.org/matter/dynamic-profile/view/1899343","19-1899343")</f>
        <v>0</v>
      </c>
      <c r="B1642" t="s">
        <v>206</v>
      </c>
      <c r="C1642" t="s">
        <v>1353</v>
      </c>
      <c r="D1642" t="s">
        <v>2731</v>
      </c>
      <c r="E1642" t="s">
        <v>4559</v>
      </c>
      <c r="G1642" t="s">
        <v>5638</v>
      </c>
      <c r="H1642">
        <v>10035</v>
      </c>
      <c r="I1642" t="s">
        <v>5696</v>
      </c>
      <c r="J1642" t="s">
        <v>5696</v>
      </c>
      <c r="L1642" t="s">
        <v>5740</v>
      </c>
      <c r="O1642" t="s">
        <v>6761</v>
      </c>
      <c r="R1642" t="s">
        <v>6794</v>
      </c>
      <c r="U1642">
        <v>0</v>
      </c>
      <c r="V1642" t="s">
        <v>6836</v>
      </c>
      <c r="Y1642" t="s">
        <v>8392</v>
      </c>
      <c r="AA1642" t="s">
        <v>10429</v>
      </c>
      <c r="AB1642">
        <v>0</v>
      </c>
      <c r="AE1642">
        <v>6</v>
      </c>
      <c r="AF1642">
        <v>2</v>
      </c>
      <c r="AG1642">
        <v>2</v>
      </c>
      <c r="AH1642">
        <v>18.08</v>
      </c>
      <c r="AK1642" t="s">
        <v>10966</v>
      </c>
      <c r="AL1642">
        <v>4656</v>
      </c>
      <c r="AR1642">
        <v>0</v>
      </c>
      <c r="AT1642" t="s">
        <v>11194</v>
      </c>
      <c r="AV1642" t="s">
        <v>11231</v>
      </c>
      <c r="AW1642" t="s">
        <v>11126</v>
      </c>
    </row>
    <row r="1643" spans="1:49">
      <c r="A1643" s="1">
        <f>HYPERLINK("https://lsnyc.legalserver.org/matter/dynamic-profile/view/1901370","19-1901370")</f>
        <v>0</v>
      </c>
      <c r="B1643" t="s">
        <v>77</v>
      </c>
      <c r="C1643" t="s">
        <v>1354</v>
      </c>
      <c r="D1643" t="s">
        <v>2732</v>
      </c>
      <c r="E1643" t="s">
        <v>4560</v>
      </c>
      <c r="F1643" t="s">
        <v>5109</v>
      </c>
      <c r="G1643" t="s">
        <v>5637</v>
      </c>
      <c r="H1643">
        <v>11218</v>
      </c>
      <c r="I1643" t="s">
        <v>5696</v>
      </c>
      <c r="J1643" t="s">
        <v>5696</v>
      </c>
      <c r="L1643" t="s">
        <v>5740</v>
      </c>
      <c r="O1643" t="s">
        <v>6745</v>
      </c>
      <c r="P1643" t="s">
        <v>5697</v>
      </c>
      <c r="R1643" t="s">
        <v>6793</v>
      </c>
      <c r="U1643">
        <v>1100</v>
      </c>
      <c r="V1643" t="s">
        <v>6835</v>
      </c>
      <c r="W1643" t="s">
        <v>6842</v>
      </c>
      <c r="Y1643" t="s">
        <v>8393</v>
      </c>
      <c r="AA1643" t="s">
        <v>10430</v>
      </c>
      <c r="AB1643">
        <v>6</v>
      </c>
      <c r="AC1643" t="s">
        <v>10929</v>
      </c>
      <c r="AD1643" t="s">
        <v>5741</v>
      </c>
      <c r="AE1643">
        <v>25</v>
      </c>
      <c r="AF1643">
        <v>2</v>
      </c>
      <c r="AG1643">
        <v>0</v>
      </c>
      <c r="AH1643">
        <v>106.45</v>
      </c>
      <c r="AK1643" t="s">
        <v>10966</v>
      </c>
      <c r="AL1643">
        <v>18000</v>
      </c>
      <c r="AR1643">
        <v>2.1</v>
      </c>
      <c r="AS1643" t="s">
        <v>6815</v>
      </c>
      <c r="AT1643" t="s">
        <v>11180</v>
      </c>
      <c r="AV1643" t="s">
        <v>11231</v>
      </c>
      <c r="AW1643" t="s">
        <v>11148</v>
      </c>
    </row>
    <row r="1644" spans="1:49">
      <c r="A1644" s="1">
        <f>HYPERLINK("https://lsnyc.legalserver.org/matter/dynamic-profile/view/1906064","19-1906064")</f>
        <v>0</v>
      </c>
      <c r="B1644" t="s">
        <v>141</v>
      </c>
      <c r="C1644" t="s">
        <v>472</v>
      </c>
      <c r="D1644" t="s">
        <v>2733</v>
      </c>
      <c r="E1644" t="s">
        <v>4561</v>
      </c>
      <c r="F1644" t="s">
        <v>5105</v>
      </c>
      <c r="G1644" t="s">
        <v>5637</v>
      </c>
      <c r="H1644">
        <v>11211</v>
      </c>
      <c r="I1644" t="s">
        <v>5696</v>
      </c>
      <c r="J1644" t="s">
        <v>5696</v>
      </c>
      <c r="L1644" t="s">
        <v>5740</v>
      </c>
      <c r="O1644" t="s">
        <v>6753</v>
      </c>
      <c r="R1644" t="s">
        <v>6793</v>
      </c>
      <c r="U1644">
        <v>1488</v>
      </c>
      <c r="V1644" t="s">
        <v>6835</v>
      </c>
      <c r="Y1644" t="s">
        <v>8394</v>
      </c>
      <c r="AA1644" t="s">
        <v>10431</v>
      </c>
      <c r="AB1644">
        <v>0</v>
      </c>
      <c r="AC1644" t="s">
        <v>8953</v>
      </c>
      <c r="AD1644" t="s">
        <v>5741</v>
      </c>
      <c r="AE1644">
        <v>8</v>
      </c>
      <c r="AF1644">
        <v>1</v>
      </c>
      <c r="AG1644">
        <v>0</v>
      </c>
      <c r="AH1644">
        <v>228.98</v>
      </c>
      <c r="AK1644" t="s">
        <v>10966</v>
      </c>
      <c r="AL1644">
        <v>28600</v>
      </c>
      <c r="AR1644">
        <v>1.5</v>
      </c>
      <c r="AS1644" t="s">
        <v>6827</v>
      </c>
      <c r="AT1644" t="s">
        <v>11186</v>
      </c>
      <c r="AV1644" t="s">
        <v>11231</v>
      </c>
      <c r="AW1644" t="s">
        <v>6820</v>
      </c>
    </row>
    <row r="1645" spans="1:49">
      <c r="A1645" s="1">
        <f>HYPERLINK("https://lsnyc.legalserver.org/matter/dynamic-profile/view/1902047","19-1902047")</f>
        <v>0</v>
      </c>
      <c r="B1645" t="s">
        <v>69</v>
      </c>
      <c r="C1645" t="s">
        <v>962</v>
      </c>
      <c r="D1645" t="s">
        <v>1964</v>
      </c>
      <c r="E1645" t="s">
        <v>4562</v>
      </c>
      <c r="F1645" t="s">
        <v>5142</v>
      </c>
      <c r="G1645" t="s">
        <v>5637</v>
      </c>
      <c r="H1645">
        <v>11233</v>
      </c>
      <c r="I1645" t="s">
        <v>5697</v>
      </c>
      <c r="J1645" t="s">
        <v>5696</v>
      </c>
      <c r="L1645" t="s">
        <v>5740</v>
      </c>
      <c r="O1645" t="s">
        <v>6745</v>
      </c>
      <c r="P1645" t="s">
        <v>5697</v>
      </c>
      <c r="R1645" t="s">
        <v>6793</v>
      </c>
      <c r="S1645" t="s">
        <v>6801</v>
      </c>
      <c r="U1645">
        <v>1135</v>
      </c>
      <c r="V1645" t="s">
        <v>6835</v>
      </c>
      <c r="W1645" t="s">
        <v>6841</v>
      </c>
      <c r="Y1645" t="s">
        <v>8395</v>
      </c>
      <c r="Z1645" t="s">
        <v>8928</v>
      </c>
      <c r="AA1645" t="s">
        <v>10432</v>
      </c>
      <c r="AB1645">
        <v>70</v>
      </c>
      <c r="AC1645" t="s">
        <v>10936</v>
      </c>
      <c r="AD1645" t="s">
        <v>5741</v>
      </c>
      <c r="AE1645">
        <v>14</v>
      </c>
      <c r="AF1645">
        <v>1</v>
      </c>
      <c r="AG1645">
        <v>1</v>
      </c>
      <c r="AH1645">
        <v>133.91</v>
      </c>
      <c r="AK1645" t="s">
        <v>10966</v>
      </c>
      <c r="AL1645">
        <v>22644</v>
      </c>
      <c r="AR1645">
        <v>0.5</v>
      </c>
      <c r="AS1645" t="s">
        <v>11161</v>
      </c>
      <c r="AT1645" t="s">
        <v>11180</v>
      </c>
      <c r="AU1645" t="s">
        <v>5741</v>
      </c>
      <c r="AV1645" t="s">
        <v>11231</v>
      </c>
      <c r="AW1645" t="s">
        <v>11161</v>
      </c>
    </row>
    <row r="1646" spans="1:49">
      <c r="A1646" s="1">
        <f>HYPERLINK("https://lsnyc.legalserver.org/matter/dynamic-profile/view/1899364","19-1899364")</f>
        <v>0</v>
      </c>
      <c r="B1646" t="s">
        <v>283</v>
      </c>
      <c r="C1646" t="s">
        <v>1355</v>
      </c>
      <c r="D1646" t="s">
        <v>1762</v>
      </c>
      <c r="E1646" t="s">
        <v>3915</v>
      </c>
      <c r="F1646" t="s">
        <v>5097</v>
      </c>
      <c r="G1646" t="s">
        <v>5638</v>
      </c>
      <c r="H1646">
        <v>10009</v>
      </c>
      <c r="I1646" t="s">
        <v>5696</v>
      </c>
      <c r="J1646" t="s">
        <v>5696</v>
      </c>
      <c r="L1646" t="s">
        <v>5740</v>
      </c>
      <c r="O1646" t="s">
        <v>6753</v>
      </c>
      <c r="R1646" t="s">
        <v>6794</v>
      </c>
      <c r="U1646">
        <v>1456</v>
      </c>
      <c r="V1646" t="s">
        <v>6836</v>
      </c>
      <c r="Y1646" t="s">
        <v>7233</v>
      </c>
      <c r="AA1646" t="s">
        <v>9768</v>
      </c>
      <c r="AB1646">
        <v>0</v>
      </c>
      <c r="AE1646">
        <v>0</v>
      </c>
      <c r="AF1646">
        <v>1</v>
      </c>
      <c r="AG1646">
        <v>0</v>
      </c>
      <c r="AH1646">
        <v>200.16</v>
      </c>
      <c r="AK1646" t="s">
        <v>10966</v>
      </c>
      <c r="AL1646">
        <v>25000</v>
      </c>
      <c r="AR1646">
        <v>5</v>
      </c>
      <c r="AS1646" t="s">
        <v>11139</v>
      </c>
      <c r="AT1646" t="s">
        <v>11194</v>
      </c>
      <c r="AV1646" t="s">
        <v>11231</v>
      </c>
      <c r="AW1646" t="s">
        <v>11153</v>
      </c>
    </row>
    <row r="1647" spans="1:49">
      <c r="A1647" s="1">
        <f>HYPERLINK("https://lsnyc.legalserver.org/matter/dynamic-profile/view/1906010","19-1906010")</f>
        <v>0</v>
      </c>
      <c r="B1647" t="s">
        <v>284</v>
      </c>
      <c r="C1647" t="s">
        <v>335</v>
      </c>
      <c r="D1647" t="s">
        <v>2734</v>
      </c>
      <c r="E1647" t="s">
        <v>3771</v>
      </c>
      <c r="G1647" t="s">
        <v>5637</v>
      </c>
      <c r="H1647">
        <v>11233</v>
      </c>
      <c r="I1647" t="s">
        <v>5697</v>
      </c>
      <c r="J1647" t="s">
        <v>5696</v>
      </c>
      <c r="K1647" t="s">
        <v>5738</v>
      </c>
      <c r="L1647" t="s">
        <v>5740</v>
      </c>
      <c r="O1647" t="s">
        <v>6745</v>
      </c>
      <c r="P1647" t="s">
        <v>5697</v>
      </c>
      <c r="R1647" t="s">
        <v>6793</v>
      </c>
      <c r="S1647" t="s">
        <v>6801</v>
      </c>
      <c r="U1647">
        <v>0</v>
      </c>
      <c r="V1647" t="s">
        <v>6835</v>
      </c>
      <c r="W1647" t="s">
        <v>6841</v>
      </c>
      <c r="AA1647" t="s">
        <v>10433</v>
      </c>
      <c r="AB1647">
        <v>1117</v>
      </c>
      <c r="AC1647" t="s">
        <v>10929</v>
      </c>
      <c r="AE1647">
        <v>1</v>
      </c>
      <c r="AF1647">
        <v>1</v>
      </c>
      <c r="AG1647">
        <v>0</v>
      </c>
      <c r="AH1647">
        <v>0</v>
      </c>
      <c r="AK1647" t="s">
        <v>10966</v>
      </c>
      <c r="AL1647">
        <v>0</v>
      </c>
      <c r="AR1647">
        <v>0</v>
      </c>
      <c r="AT1647" t="s">
        <v>69</v>
      </c>
      <c r="AU1647" t="s">
        <v>5741</v>
      </c>
      <c r="AV1647" t="s">
        <v>11231</v>
      </c>
      <c r="AW1647" t="s">
        <v>6826</v>
      </c>
    </row>
    <row r="1648" spans="1:49">
      <c r="A1648" s="1">
        <f>HYPERLINK("https://lsnyc.legalserver.org/matter/dynamic-profile/view/1898791","19-1898791")</f>
        <v>0</v>
      </c>
      <c r="B1648" t="s">
        <v>205</v>
      </c>
      <c r="C1648" t="s">
        <v>1356</v>
      </c>
      <c r="D1648" t="s">
        <v>2735</v>
      </c>
      <c r="E1648" t="s">
        <v>4563</v>
      </c>
      <c r="F1648" t="s">
        <v>5158</v>
      </c>
      <c r="G1648" t="s">
        <v>5637</v>
      </c>
      <c r="H1648">
        <v>11230</v>
      </c>
      <c r="I1648" t="s">
        <v>5696</v>
      </c>
      <c r="J1648" t="s">
        <v>5696</v>
      </c>
      <c r="L1648" t="s">
        <v>5740</v>
      </c>
      <c r="O1648" t="s">
        <v>6753</v>
      </c>
      <c r="R1648" t="s">
        <v>6793</v>
      </c>
      <c r="U1648">
        <v>1560</v>
      </c>
      <c r="V1648" t="s">
        <v>6835</v>
      </c>
      <c r="Y1648" t="s">
        <v>8396</v>
      </c>
      <c r="AA1648" t="s">
        <v>10434</v>
      </c>
      <c r="AB1648">
        <v>0</v>
      </c>
      <c r="AC1648" t="s">
        <v>8953</v>
      </c>
      <c r="AD1648" t="s">
        <v>5741</v>
      </c>
      <c r="AE1648">
        <v>3</v>
      </c>
      <c r="AF1648">
        <v>1</v>
      </c>
      <c r="AG1648">
        <v>0</v>
      </c>
      <c r="AH1648">
        <v>291.43</v>
      </c>
      <c r="AK1648" t="s">
        <v>10969</v>
      </c>
      <c r="AL1648">
        <v>36400</v>
      </c>
      <c r="AR1648">
        <v>1</v>
      </c>
      <c r="AS1648" t="s">
        <v>11152</v>
      </c>
      <c r="AT1648" t="s">
        <v>11186</v>
      </c>
      <c r="AV1648" t="s">
        <v>11231</v>
      </c>
      <c r="AW1648" t="s">
        <v>11152</v>
      </c>
    </row>
    <row r="1649" spans="1:49">
      <c r="A1649" s="1">
        <f>HYPERLINK("https://lsnyc.legalserver.org/matter/dynamic-profile/view/1902336","19-1902336")</f>
        <v>0</v>
      </c>
      <c r="B1649" t="s">
        <v>69</v>
      </c>
      <c r="C1649" t="s">
        <v>1357</v>
      </c>
      <c r="D1649" t="s">
        <v>710</v>
      </c>
      <c r="E1649" t="s">
        <v>4564</v>
      </c>
      <c r="F1649">
        <v>1</v>
      </c>
      <c r="G1649" t="s">
        <v>5637</v>
      </c>
      <c r="H1649">
        <v>11233</v>
      </c>
      <c r="I1649" t="s">
        <v>5697</v>
      </c>
      <c r="J1649" t="s">
        <v>5696</v>
      </c>
      <c r="K1649" t="s">
        <v>5727</v>
      </c>
      <c r="L1649" t="s">
        <v>5740</v>
      </c>
      <c r="O1649" t="s">
        <v>6745</v>
      </c>
      <c r="P1649" t="s">
        <v>5697</v>
      </c>
      <c r="R1649" t="s">
        <v>6793</v>
      </c>
      <c r="S1649" t="s">
        <v>6801</v>
      </c>
      <c r="U1649">
        <v>1300</v>
      </c>
      <c r="V1649" t="s">
        <v>6835</v>
      </c>
      <c r="W1649" t="s">
        <v>6842</v>
      </c>
      <c r="Y1649" t="s">
        <v>8397</v>
      </c>
      <c r="Z1649" t="s">
        <v>8928</v>
      </c>
      <c r="AA1649" t="s">
        <v>10435</v>
      </c>
      <c r="AB1649">
        <v>3</v>
      </c>
      <c r="AC1649" t="s">
        <v>10930</v>
      </c>
      <c r="AD1649" t="s">
        <v>5741</v>
      </c>
      <c r="AE1649">
        <v>9</v>
      </c>
      <c r="AF1649">
        <v>2</v>
      </c>
      <c r="AG1649">
        <v>0</v>
      </c>
      <c r="AH1649">
        <v>159.67</v>
      </c>
      <c r="AK1649" t="s">
        <v>10966</v>
      </c>
      <c r="AL1649">
        <v>27000</v>
      </c>
      <c r="AR1649">
        <v>1</v>
      </c>
      <c r="AS1649" t="s">
        <v>11140</v>
      </c>
      <c r="AT1649" t="s">
        <v>11192</v>
      </c>
      <c r="AU1649" t="s">
        <v>5741</v>
      </c>
      <c r="AV1649" t="s">
        <v>11231</v>
      </c>
      <c r="AW1649" t="s">
        <v>11140</v>
      </c>
    </row>
    <row r="1650" spans="1:49">
      <c r="A1650" s="1">
        <f>HYPERLINK("https://lsnyc.legalserver.org/matter/dynamic-profile/view/1905534","19-1905534")</f>
        <v>0</v>
      </c>
      <c r="B1650" t="s">
        <v>208</v>
      </c>
      <c r="C1650" t="s">
        <v>1056</v>
      </c>
      <c r="D1650" t="s">
        <v>2736</v>
      </c>
      <c r="E1650" t="s">
        <v>4565</v>
      </c>
      <c r="F1650" t="s">
        <v>5128</v>
      </c>
      <c r="G1650" t="s">
        <v>5637</v>
      </c>
      <c r="H1650">
        <v>11225</v>
      </c>
      <c r="I1650" t="s">
        <v>5696</v>
      </c>
      <c r="J1650" t="s">
        <v>5696</v>
      </c>
      <c r="L1650" t="s">
        <v>5740</v>
      </c>
      <c r="O1650" t="s">
        <v>6748</v>
      </c>
      <c r="P1650" t="s">
        <v>5697</v>
      </c>
      <c r="R1650" t="s">
        <v>6793</v>
      </c>
      <c r="U1650">
        <v>800</v>
      </c>
      <c r="V1650" t="s">
        <v>6835</v>
      </c>
      <c r="W1650" t="s">
        <v>6844</v>
      </c>
      <c r="Y1650" t="s">
        <v>8398</v>
      </c>
      <c r="AA1650" t="s">
        <v>10436</v>
      </c>
      <c r="AB1650">
        <v>8</v>
      </c>
      <c r="AC1650" t="s">
        <v>8953</v>
      </c>
      <c r="AD1650" t="s">
        <v>5741</v>
      </c>
      <c r="AE1650">
        <v>21</v>
      </c>
      <c r="AF1650">
        <v>1</v>
      </c>
      <c r="AG1650">
        <v>0</v>
      </c>
      <c r="AH1650">
        <v>86.47</v>
      </c>
      <c r="AK1650" t="s">
        <v>10966</v>
      </c>
      <c r="AL1650">
        <v>10800</v>
      </c>
      <c r="AR1650">
        <v>0.5</v>
      </c>
      <c r="AS1650" t="s">
        <v>6819</v>
      </c>
      <c r="AT1650" t="s">
        <v>11189</v>
      </c>
      <c r="AV1650" t="s">
        <v>11231</v>
      </c>
      <c r="AW1650" t="s">
        <v>6819</v>
      </c>
    </row>
    <row r="1651" spans="1:49">
      <c r="A1651" s="1">
        <f>HYPERLINK("https://lsnyc.legalserver.org/matter/dynamic-profile/view/1902786","19-1902786")</f>
        <v>0</v>
      </c>
      <c r="B1651" t="s">
        <v>79</v>
      </c>
      <c r="C1651" t="s">
        <v>1358</v>
      </c>
      <c r="D1651" t="s">
        <v>2444</v>
      </c>
      <c r="E1651" t="s">
        <v>4566</v>
      </c>
      <c r="G1651" t="s">
        <v>5652</v>
      </c>
      <c r="H1651">
        <v>11692</v>
      </c>
      <c r="I1651" t="s">
        <v>5696</v>
      </c>
      <c r="J1651" t="s">
        <v>5696</v>
      </c>
      <c r="L1651" t="s">
        <v>5740</v>
      </c>
      <c r="O1651" t="s">
        <v>6748</v>
      </c>
      <c r="R1651" t="s">
        <v>6793</v>
      </c>
      <c r="U1651">
        <v>1515</v>
      </c>
      <c r="V1651" t="s">
        <v>6837</v>
      </c>
      <c r="Y1651" t="s">
        <v>8399</v>
      </c>
      <c r="AA1651" t="s">
        <v>10437</v>
      </c>
      <c r="AB1651">
        <v>0</v>
      </c>
      <c r="AE1651">
        <v>2</v>
      </c>
      <c r="AF1651">
        <v>1</v>
      </c>
      <c r="AG1651">
        <v>2</v>
      </c>
      <c r="AH1651">
        <v>91.42</v>
      </c>
      <c r="AK1651" t="s">
        <v>10966</v>
      </c>
      <c r="AL1651">
        <v>19500</v>
      </c>
      <c r="AR1651">
        <v>1.1</v>
      </c>
      <c r="AS1651" t="s">
        <v>11131</v>
      </c>
      <c r="AT1651" t="s">
        <v>11186</v>
      </c>
      <c r="AV1651" t="s">
        <v>11231</v>
      </c>
      <c r="AW1651" t="s">
        <v>11133</v>
      </c>
    </row>
    <row r="1652" spans="1:49">
      <c r="A1652" s="1">
        <f>HYPERLINK("https://lsnyc.legalserver.org/matter/dynamic-profile/view/1899403","19-1899403")</f>
        <v>0</v>
      </c>
      <c r="B1652" t="s">
        <v>68</v>
      </c>
      <c r="C1652" t="s">
        <v>876</v>
      </c>
      <c r="D1652" t="s">
        <v>2737</v>
      </c>
      <c r="E1652" t="s">
        <v>4014</v>
      </c>
      <c r="F1652" t="s">
        <v>5176</v>
      </c>
      <c r="G1652" t="s">
        <v>5637</v>
      </c>
      <c r="H1652">
        <v>11210</v>
      </c>
      <c r="I1652" t="s">
        <v>5696</v>
      </c>
      <c r="J1652" t="s">
        <v>5696</v>
      </c>
      <c r="L1652" t="s">
        <v>5740</v>
      </c>
      <c r="O1652" t="s">
        <v>6756</v>
      </c>
      <c r="P1652" t="s">
        <v>5697</v>
      </c>
      <c r="R1652" t="s">
        <v>6796</v>
      </c>
      <c r="U1652">
        <v>328</v>
      </c>
      <c r="V1652" t="s">
        <v>6835</v>
      </c>
      <c r="W1652" t="s">
        <v>6838</v>
      </c>
      <c r="Y1652" t="s">
        <v>8400</v>
      </c>
      <c r="AA1652" t="s">
        <v>10438</v>
      </c>
      <c r="AB1652">
        <v>24</v>
      </c>
      <c r="AC1652" t="s">
        <v>10929</v>
      </c>
      <c r="AD1652" t="s">
        <v>10944</v>
      </c>
      <c r="AE1652">
        <v>35</v>
      </c>
      <c r="AF1652">
        <v>1</v>
      </c>
      <c r="AG1652">
        <v>0</v>
      </c>
      <c r="AH1652">
        <v>139.19</v>
      </c>
      <c r="AK1652" t="s">
        <v>10967</v>
      </c>
      <c r="AL1652">
        <v>17384.4</v>
      </c>
      <c r="AR1652">
        <v>0.25</v>
      </c>
      <c r="AS1652" t="s">
        <v>11120</v>
      </c>
      <c r="AT1652" t="s">
        <v>11208</v>
      </c>
      <c r="AV1652" t="s">
        <v>11231</v>
      </c>
      <c r="AW1652" t="s">
        <v>11120</v>
      </c>
    </row>
    <row r="1653" spans="1:49">
      <c r="A1653" s="1">
        <f>HYPERLINK("https://lsnyc.legalserver.org/matter/dynamic-profile/view/1899332","19-1899332")</f>
        <v>0</v>
      </c>
      <c r="B1653" t="s">
        <v>206</v>
      </c>
      <c r="C1653" t="s">
        <v>1359</v>
      </c>
      <c r="D1653" t="s">
        <v>673</v>
      </c>
      <c r="E1653" t="s">
        <v>4567</v>
      </c>
      <c r="F1653" t="s">
        <v>5203</v>
      </c>
      <c r="G1653" t="s">
        <v>5638</v>
      </c>
      <c r="H1653">
        <v>10031</v>
      </c>
      <c r="I1653" t="s">
        <v>5696</v>
      </c>
      <c r="J1653" t="s">
        <v>5696</v>
      </c>
      <c r="L1653" t="s">
        <v>5740</v>
      </c>
      <c r="O1653" t="s">
        <v>6761</v>
      </c>
      <c r="R1653" t="s">
        <v>6793</v>
      </c>
      <c r="U1653">
        <v>0</v>
      </c>
      <c r="V1653" t="s">
        <v>6836</v>
      </c>
      <c r="Y1653" t="s">
        <v>7205</v>
      </c>
      <c r="AA1653" t="s">
        <v>10439</v>
      </c>
      <c r="AB1653">
        <v>0</v>
      </c>
      <c r="AE1653">
        <v>33</v>
      </c>
      <c r="AF1653">
        <v>2</v>
      </c>
      <c r="AG1653">
        <v>0</v>
      </c>
      <c r="AH1653">
        <v>428.27</v>
      </c>
      <c r="AK1653" t="s">
        <v>10966</v>
      </c>
      <c r="AL1653">
        <v>72420</v>
      </c>
      <c r="AR1653">
        <v>0</v>
      </c>
      <c r="AT1653" t="s">
        <v>11194</v>
      </c>
      <c r="AV1653" t="s">
        <v>11231</v>
      </c>
      <c r="AW1653" t="s">
        <v>11126</v>
      </c>
    </row>
    <row r="1654" spans="1:49">
      <c r="A1654" s="1">
        <f>HYPERLINK("https://lsnyc.legalserver.org/matter/dynamic-profile/view/1895838","19-1895838")</f>
        <v>0</v>
      </c>
      <c r="B1654" t="s">
        <v>205</v>
      </c>
      <c r="C1654" t="s">
        <v>763</v>
      </c>
      <c r="D1654" t="s">
        <v>2738</v>
      </c>
      <c r="E1654" t="s">
        <v>4568</v>
      </c>
      <c r="G1654" t="s">
        <v>5637</v>
      </c>
      <c r="H1654">
        <v>11206</v>
      </c>
      <c r="I1654" t="s">
        <v>5696</v>
      </c>
      <c r="J1654" t="s">
        <v>5696</v>
      </c>
      <c r="L1654" t="s">
        <v>5740</v>
      </c>
      <c r="O1654" t="s">
        <v>6748</v>
      </c>
      <c r="R1654" t="s">
        <v>6794</v>
      </c>
      <c r="U1654">
        <v>489</v>
      </c>
      <c r="V1654" t="s">
        <v>6835</v>
      </c>
      <c r="Y1654" t="s">
        <v>8401</v>
      </c>
      <c r="AA1654" t="s">
        <v>10440</v>
      </c>
      <c r="AB1654">
        <v>0</v>
      </c>
      <c r="AC1654" t="s">
        <v>10931</v>
      </c>
      <c r="AD1654" t="s">
        <v>5741</v>
      </c>
      <c r="AE1654">
        <v>3</v>
      </c>
      <c r="AF1654">
        <v>1</v>
      </c>
      <c r="AG1654">
        <v>2</v>
      </c>
      <c r="AH1654">
        <v>48.16</v>
      </c>
      <c r="AK1654" t="s">
        <v>10966</v>
      </c>
      <c r="AL1654">
        <v>10272</v>
      </c>
      <c r="AR1654">
        <v>1</v>
      </c>
      <c r="AS1654" t="s">
        <v>11153</v>
      </c>
      <c r="AT1654" t="s">
        <v>11186</v>
      </c>
      <c r="AV1654" t="s">
        <v>11231</v>
      </c>
      <c r="AW1654" t="s">
        <v>11153</v>
      </c>
    </row>
    <row r="1655" spans="1:49">
      <c r="A1655" s="1">
        <f>HYPERLINK("https://lsnyc.legalserver.org/matter/dynamic-profile/view/1904238","19-1904238")</f>
        <v>0</v>
      </c>
      <c r="B1655" t="s">
        <v>264</v>
      </c>
      <c r="C1655" t="s">
        <v>491</v>
      </c>
      <c r="D1655" t="s">
        <v>2670</v>
      </c>
      <c r="E1655" t="s">
        <v>4476</v>
      </c>
      <c r="F1655" t="s">
        <v>5535</v>
      </c>
      <c r="G1655" t="s">
        <v>5636</v>
      </c>
      <c r="H1655">
        <v>10314</v>
      </c>
      <c r="I1655" t="s">
        <v>5696</v>
      </c>
      <c r="J1655" t="s">
        <v>5696</v>
      </c>
      <c r="K1655" t="s">
        <v>5727</v>
      </c>
      <c r="L1655" t="s">
        <v>5740</v>
      </c>
      <c r="O1655" t="s">
        <v>6745</v>
      </c>
      <c r="P1655" t="s">
        <v>5697</v>
      </c>
      <c r="R1655" t="s">
        <v>6793</v>
      </c>
      <c r="S1655" t="s">
        <v>6801</v>
      </c>
      <c r="U1655">
        <v>967</v>
      </c>
      <c r="V1655" t="s">
        <v>6834</v>
      </c>
      <c r="W1655" t="s">
        <v>6843</v>
      </c>
      <c r="Y1655" t="s">
        <v>8309</v>
      </c>
      <c r="AA1655" t="s">
        <v>10344</v>
      </c>
      <c r="AB1655">
        <v>96</v>
      </c>
      <c r="AD1655" t="s">
        <v>10945</v>
      </c>
      <c r="AE1655">
        <v>8</v>
      </c>
      <c r="AF1655">
        <v>1</v>
      </c>
      <c r="AG1655">
        <v>0</v>
      </c>
      <c r="AH1655">
        <v>236.89</v>
      </c>
      <c r="AI1655" t="s">
        <v>6814</v>
      </c>
      <c r="AJ1655" t="s">
        <v>10963</v>
      </c>
      <c r="AK1655" t="s">
        <v>10966</v>
      </c>
      <c r="AL1655">
        <v>29587.92</v>
      </c>
      <c r="AR1655">
        <v>2.8</v>
      </c>
      <c r="AS1655" t="s">
        <v>6820</v>
      </c>
      <c r="AT1655" t="s">
        <v>11177</v>
      </c>
      <c r="AV1655" t="s">
        <v>11231</v>
      </c>
      <c r="AW1655" t="s">
        <v>6812</v>
      </c>
    </row>
    <row r="1656" spans="1:49">
      <c r="A1656" s="1">
        <f>HYPERLINK("https://lsnyc.legalserver.org/matter/dynamic-profile/view/1905941","19-1905941")</f>
        <v>0</v>
      </c>
      <c r="B1656" t="s">
        <v>84</v>
      </c>
      <c r="C1656" t="s">
        <v>353</v>
      </c>
      <c r="D1656" t="s">
        <v>2552</v>
      </c>
      <c r="E1656" t="s">
        <v>4539</v>
      </c>
      <c r="F1656" t="s">
        <v>5556</v>
      </c>
      <c r="G1656" t="s">
        <v>5637</v>
      </c>
      <c r="H1656">
        <v>11213</v>
      </c>
      <c r="I1656" t="s">
        <v>5695</v>
      </c>
      <c r="J1656" t="s">
        <v>5696</v>
      </c>
      <c r="L1656" t="s">
        <v>5740</v>
      </c>
      <c r="O1656" t="s">
        <v>6745</v>
      </c>
      <c r="P1656" t="s">
        <v>5697</v>
      </c>
      <c r="R1656" t="s">
        <v>6793</v>
      </c>
      <c r="S1656" t="s">
        <v>6801</v>
      </c>
      <c r="T1656" t="s">
        <v>6823</v>
      </c>
      <c r="U1656">
        <v>1139.5</v>
      </c>
      <c r="V1656" t="s">
        <v>6835</v>
      </c>
      <c r="Y1656" t="s">
        <v>8402</v>
      </c>
      <c r="Z1656" t="s">
        <v>5773</v>
      </c>
      <c r="AA1656" t="s">
        <v>10441</v>
      </c>
      <c r="AB1656">
        <v>0</v>
      </c>
      <c r="AC1656" t="s">
        <v>10929</v>
      </c>
      <c r="AD1656" t="s">
        <v>5741</v>
      </c>
      <c r="AE1656">
        <v>1</v>
      </c>
      <c r="AF1656">
        <v>1</v>
      </c>
      <c r="AG1656">
        <v>1</v>
      </c>
      <c r="AH1656">
        <v>130.1</v>
      </c>
      <c r="AK1656" t="s">
        <v>10966</v>
      </c>
      <c r="AL1656">
        <v>22000</v>
      </c>
      <c r="AR1656">
        <v>0</v>
      </c>
      <c r="AT1656" t="s">
        <v>69</v>
      </c>
      <c r="AU1656" t="s">
        <v>11228</v>
      </c>
      <c r="AV1656" t="s">
        <v>11231</v>
      </c>
      <c r="AW1656" t="s">
        <v>6826</v>
      </c>
    </row>
    <row r="1657" spans="1:49">
      <c r="A1657" s="1">
        <f>HYPERLINK("https://lsnyc.legalserver.org/matter/dynamic-profile/view/1903871","19-1903871")</f>
        <v>0</v>
      </c>
      <c r="B1657" t="s">
        <v>91</v>
      </c>
      <c r="C1657" t="s">
        <v>1360</v>
      </c>
      <c r="D1657" t="s">
        <v>1879</v>
      </c>
      <c r="E1657" t="s">
        <v>4569</v>
      </c>
      <c r="F1657" t="s">
        <v>5557</v>
      </c>
      <c r="G1657" t="s">
        <v>5637</v>
      </c>
      <c r="H1657">
        <v>11212</v>
      </c>
      <c r="I1657" t="s">
        <v>5697</v>
      </c>
      <c r="J1657" t="s">
        <v>5696</v>
      </c>
      <c r="K1657" t="s">
        <v>5741</v>
      </c>
      <c r="L1657" t="s">
        <v>5740</v>
      </c>
      <c r="O1657" t="s">
        <v>6745</v>
      </c>
      <c r="P1657" t="s">
        <v>5697</v>
      </c>
      <c r="R1657" t="s">
        <v>6793</v>
      </c>
      <c r="S1657" t="s">
        <v>6801</v>
      </c>
      <c r="U1657">
        <v>1600</v>
      </c>
      <c r="V1657" t="s">
        <v>6835</v>
      </c>
      <c r="Y1657" t="s">
        <v>8403</v>
      </c>
      <c r="Z1657" t="s">
        <v>5741</v>
      </c>
      <c r="AA1657" t="s">
        <v>10442</v>
      </c>
      <c r="AB1657">
        <v>6</v>
      </c>
      <c r="AC1657" t="s">
        <v>10929</v>
      </c>
      <c r="AD1657" t="s">
        <v>5741</v>
      </c>
      <c r="AE1657">
        <v>0</v>
      </c>
      <c r="AF1657">
        <v>1</v>
      </c>
      <c r="AG1657">
        <v>0</v>
      </c>
      <c r="AH1657">
        <v>229.43</v>
      </c>
      <c r="AK1657" t="s">
        <v>10966</v>
      </c>
      <c r="AL1657">
        <v>28656</v>
      </c>
      <c r="AR1657">
        <v>4.25</v>
      </c>
      <c r="AS1657" t="s">
        <v>6827</v>
      </c>
      <c r="AT1657" t="s">
        <v>11189</v>
      </c>
      <c r="AU1657" t="s">
        <v>5741</v>
      </c>
      <c r="AV1657" t="s">
        <v>11231</v>
      </c>
      <c r="AW1657" t="s">
        <v>6807</v>
      </c>
    </row>
    <row r="1658" spans="1:49">
      <c r="A1658" s="1">
        <f>HYPERLINK("https://lsnyc.legalserver.org/matter/dynamic-profile/view/1904640","19-1904640")</f>
        <v>0</v>
      </c>
      <c r="B1658" t="s">
        <v>67</v>
      </c>
      <c r="C1658" t="s">
        <v>1361</v>
      </c>
      <c r="D1658" t="s">
        <v>2739</v>
      </c>
      <c r="E1658" t="s">
        <v>4570</v>
      </c>
      <c r="F1658" t="s">
        <v>5185</v>
      </c>
      <c r="G1658" t="s">
        <v>5637</v>
      </c>
      <c r="H1658">
        <v>11212</v>
      </c>
      <c r="I1658" t="s">
        <v>5696</v>
      </c>
      <c r="J1658" t="s">
        <v>5696</v>
      </c>
      <c r="L1658" t="s">
        <v>5740</v>
      </c>
      <c r="O1658" t="s">
        <v>6745</v>
      </c>
      <c r="R1658" t="s">
        <v>6793</v>
      </c>
      <c r="U1658">
        <v>557</v>
      </c>
      <c r="V1658" t="s">
        <v>6835</v>
      </c>
      <c r="Y1658" t="s">
        <v>8404</v>
      </c>
      <c r="AA1658" t="s">
        <v>10443</v>
      </c>
      <c r="AB1658">
        <v>0</v>
      </c>
      <c r="AC1658" t="s">
        <v>10933</v>
      </c>
      <c r="AD1658" t="s">
        <v>5741</v>
      </c>
      <c r="AE1658">
        <v>3</v>
      </c>
      <c r="AF1658">
        <v>1</v>
      </c>
      <c r="AG1658">
        <v>0</v>
      </c>
      <c r="AH1658">
        <v>234.81</v>
      </c>
      <c r="AK1658" t="s">
        <v>10966</v>
      </c>
      <c r="AL1658">
        <v>29328</v>
      </c>
      <c r="AR1658">
        <v>1</v>
      </c>
      <c r="AS1658" t="s">
        <v>6809</v>
      </c>
      <c r="AT1658" t="s">
        <v>11186</v>
      </c>
      <c r="AV1658" t="s">
        <v>11231</v>
      </c>
      <c r="AW1658" t="s">
        <v>6809</v>
      </c>
    </row>
    <row r="1659" spans="1:49">
      <c r="A1659" s="1">
        <f>HYPERLINK("https://lsnyc.legalserver.org/matter/dynamic-profile/view/1903507","19-1903507")</f>
        <v>0</v>
      </c>
      <c r="B1659" t="s">
        <v>205</v>
      </c>
      <c r="C1659" t="s">
        <v>1362</v>
      </c>
      <c r="D1659" t="s">
        <v>2740</v>
      </c>
      <c r="E1659" t="s">
        <v>4056</v>
      </c>
      <c r="F1659">
        <v>402</v>
      </c>
      <c r="G1659" t="s">
        <v>5637</v>
      </c>
      <c r="H1659">
        <v>11212</v>
      </c>
      <c r="I1659" t="s">
        <v>5696</v>
      </c>
      <c r="J1659" t="s">
        <v>5696</v>
      </c>
      <c r="L1659" t="s">
        <v>5740</v>
      </c>
      <c r="O1659" t="s">
        <v>6748</v>
      </c>
      <c r="R1659" t="s">
        <v>6793</v>
      </c>
      <c r="U1659">
        <v>336</v>
      </c>
      <c r="V1659" t="s">
        <v>6835</v>
      </c>
      <c r="Y1659" t="s">
        <v>8405</v>
      </c>
      <c r="AA1659" t="s">
        <v>10444</v>
      </c>
      <c r="AB1659">
        <v>0</v>
      </c>
      <c r="AC1659" t="s">
        <v>8953</v>
      </c>
      <c r="AD1659" t="s">
        <v>5741</v>
      </c>
      <c r="AE1659">
        <v>2</v>
      </c>
      <c r="AF1659">
        <v>1</v>
      </c>
      <c r="AG1659">
        <v>0</v>
      </c>
      <c r="AH1659">
        <v>80.7</v>
      </c>
      <c r="AK1659" t="s">
        <v>10966</v>
      </c>
      <c r="AL1659">
        <v>10080</v>
      </c>
      <c r="AR1659">
        <v>2</v>
      </c>
      <c r="AS1659" t="s">
        <v>6825</v>
      </c>
      <c r="AT1659" t="s">
        <v>11186</v>
      </c>
      <c r="AV1659" t="s">
        <v>11231</v>
      </c>
      <c r="AW1659" t="s">
        <v>11147</v>
      </c>
    </row>
    <row r="1660" spans="1:49">
      <c r="A1660" s="1">
        <f>HYPERLINK("https://lsnyc.legalserver.org/matter/dynamic-profile/view/1903338","19-1903338")</f>
        <v>0</v>
      </c>
      <c r="B1660" t="s">
        <v>101</v>
      </c>
      <c r="C1660" t="s">
        <v>1363</v>
      </c>
      <c r="D1660" t="s">
        <v>2741</v>
      </c>
      <c r="E1660" t="s">
        <v>4571</v>
      </c>
      <c r="G1660" t="s">
        <v>5636</v>
      </c>
      <c r="H1660">
        <v>10304</v>
      </c>
      <c r="I1660" t="s">
        <v>5696</v>
      </c>
      <c r="J1660" t="s">
        <v>5696</v>
      </c>
      <c r="L1660" t="s">
        <v>5740</v>
      </c>
      <c r="O1660" t="s">
        <v>6745</v>
      </c>
      <c r="P1660" t="s">
        <v>5697</v>
      </c>
      <c r="R1660" t="s">
        <v>6793</v>
      </c>
      <c r="U1660">
        <v>2200</v>
      </c>
      <c r="V1660" t="s">
        <v>6834</v>
      </c>
      <c r="W1660" t="s">
        <v>6839</v>
      </c>
      <c r="Y1660" t="s">
        <v>8406</v>
      </c>
      <c r="AA1660" t="s">
        <v>10445</v>
      </c>
      <c r="AB1660">
        <v>0</v>
      </c>
      <c r="AC1660" t="s">
        <v>10930</v>
      </c>
      <c r="AD1660" t="s">
        <v>5741</v>
      </c>
      <c r="AE1660">
        <v>2</v>
      </c>
      <c r="AF1660">
        <v>4</v>
      </c>
      <c r="AG1660">
        <v>2</v>
      </c>
      <c r="AH1660">
        <v>147.44</v>
      </c>
      <c r="AK1660" t="s">
        <v>10966</v>
      </c>
      <c r="AL1660">
        <v>51000</v>
      </c>
      <c r="AR1660">
        <v>2.6</v>
      </c>
      <c r="AS1660" t="s">
        <v>6822</v>
      </c>
      <c r="AT1660" t="s">
        <v>11177</v>
      </c>
      <c r="AV1660" t="s">
        <v>11231</v>
      </c>
      <c r="AW1660" t="s">
        <v>6817</v>
      </c>
    </row>
    <row r="1661" spans="1:49">
      <c r="A1661" s="1">
        <f>HYPERLINK("https://lsnyc.legalserver.org/matter/dynamic-profile/view/1902656","19-1902656")</f>
        <v>0</v>
      </c>
      <c r="B1661" t="s">
        <v>250</v>
      </c>
      <c r="C1661" t="s">
        <v>1364</v>
      </c>
      <c r="D1661" t="s">
        <v>2742</v>
      </c>
      <c r="E1661" t="s">
        <v>4572</v>
      </c>
      <c r="F1661" t="s">
        <v>5248</v>
      </c>
      <c r="G1661" t="s">
        <v>5637</v>
      </c>
      <c r="H1661">
        <v>11233</v>
      </c>
      <c r="I1661" t="s">
        <v>5695</v>
      </c>
      <c r="J1661" t="s">
        <v>5696</v>
      </c>
      <c r="K1661" t="s">
        <v>5741</v>
      </c>
      <c r="L1661" t="s">
        <v>5740</v>
      </c>
      <c r="O1661" t="s">
        <v>6745</v>
      </c>
      <c r="P1661" t="s">
        <v>5697</v>
      </c>
      <c r="R1661" t="s">
        <v>6793</v>
      </c>
      <c r="S1661" t="s">
        <v>6801</v>
      </c>
      <c r="U1661">
        <v>333</v>
      </c>
      <c r="V1661" t="s">
        <v>6835</v>
      </c>
      <c r="W1661" t="s">
        <v>6849</v>
      </c>
      <c r="Y1661" t="s">
        <v>8407</v>
      </c>
      <c r="Z1661" t="s">
        <v>8928</v>
      </c>
      <c r="AA1661" t="s">
        <v>10446</v>
      </c>
      <c r="AB1661">
        <v>6</v>
      </c>
      <c r="AC1661" t="s">
        <v>10930</v>
      </c>
      <c r="AD1661" t="s">
        <v>10944</v>
      </c>
      <c r="AE1661">
        <v>10</v>
      </c>
      <c r="AF1661">
        <v>1</v>
      </c>
      <c r="AG1661">
        <v>0</v>
      </c>
      <c r="AH1661">
        <v>0</v>
      </c>
      <c r="AK1661" t="s">
        <v>10966</v>
      </c>
      <c r="AL1661">
        <v>0</v>
      </c>
      <c r="AR1661">
        <v>5</v>
      </c>
      <c r="AS1661" t="s">
        <v>11138</v>
      </c>
      <c r="AT1661" t="s">
        <v>69</v>
      </c>
      <c r="AU1661" t="s">
        <v>11228</v>
      </c>
      <c r="AV1661" t="s">
        <v>11231</v>
      </c>
      <c r="AW1661" t="s">
        <v>11137</v>
      </c>
    </row>
    <row r="1662" spans="1:49">
      <c r="A1662" s="1">
        <f>HYPERLINK("https://lsnyc.legalserver.org/matter/dynamic-profile/view/1904187","19-1904187")</f>
        <v>0</v>
      </c>
      <c r="B1662" t="s">
        <v>285</v>
      </c>
      <c r="C1662" t="s">
        <v>1365</v>
      </c>
      <c r="D1662" t="s">
        <v>1863</v>
      </c>
      <c r="E1662" t="s">
        <v>4557</v>
      </c>
      <c r="F1662" t="s">
        <v>5354</v>
      </c>
      <c r="G1662" t="s">
        <v>5635</v>
      </c>
      <c r="H1662">
        <v>10460</v>
      </c>
      <c r="I1662" t="s">
        <v>5696</v>
      </c>
      <c r="J1662" t="s">
        <v>5696</v>
      </c>
      <c r="L1662" t="s">
        <v>5740</v>
      </c>
      <c r="O1662" t="s">
        <v>6748</v>
      </c>
      <c r="R1662" t="s">
        <v>6793</v>
      </c>
      <c r="U1662">
        <v>1487</v>
      </c>
      <c r="V1662" t="s">
        <v>6833</v>
      </c>
      <c r="Y1662" t="s">
        <v>8408</v>
      </c>
      <c r="AA1662" t="s">
        <v>10447</v>
      </c>
      <c r="AB1662">
        <v>0</v>
      </c>
      <c r="AC1662" t="s">
        <v>8953</v>
      </c>
      <c r="AD1662" t="s">
        <v>10948</v>
      </c>
      <c r="AE1662">
        <v>0</v>
      </c>
      <c r="AF1662">
        <v>1</v>
      </c>
      <c r="AG1662">
        <v>0</v>
      </c>
      <c r="AH1662">
        <v>36.12</v>
      </c>
      <c r="AK1662" t="s">
        <v>10966</v>
      </c>
      <c r="AL1662">
        <v>4512</v>
      </c>
      <c r="AR1662">
        <v>1.2</v>
      </c>
      <c r="AS1662" t="s">
        <v>6813</v>
      </c>
      <c r="AT1662" t="s">
        <v>11186</v>
      </c>
      <c r="AV1662" t="s">
        <v>11231</v>
      </c>
      <c r="AW1662" t="s">
        <v>6818</v>
      </c>
    </row>
    <row r="1663" spans="1:49">
      <c r="A1663" s="1">
        <f>HYPERLINK("https://lsnyc.legalserver.org/matter/dynamic-profile/view/1896378","19-1896378")</f>
        <v>0</v>
      </c>
      <c r="B1663" t="s">
        <v>226</v>
      </c>
      <c r="C1663" t="s">
        <v>1302</v>
      </c>
      <c r="D1663" t="s">
        <v>1757</v>
      </c>
      <c r="E1663" t="s">
        <v>4573</v>
      </c>
      <c r="F1663">
        <v>42</v>
      </c>
      <c r="G1663" t="s">
        <v>5638</v>
      </c>
      <c r="H1663">
        <v>10034</v>
      </c>
      <c r="I1663" t="s">
        <v>5696</v>
      </c>
      <c r="J1663" t="s">
        <v>5696</v>
      </c>
      <c r="L1663" t="s">
        <v>5740</v>
      </c>
      <c r="O1663" t="s">
        <v>6745</v>
      </c>
      <c r="R1663" t="s">
        <v>6793</v>
      </c>
      <c r="U1663">
        <v>937</v>
      </c>
      <c r="V1663" t="s">
        <v>6836</v>
      </c>
      <c r="Y1663" t="s">
        <v>8409</v>
      </c>
      <c r="AA1663" t="s">
        <v>10448</v>
      </c>
      <c r="AB1663">
        <v>0</v>
      </c>
      <c r="AE1663">
        <v>45</v>
      </c>
      <c r="AF1663">
        <v>1</v>
      </c>
      <c r="AG1663">
        <v>0</v>
      </c>
      <c r="AH1663">
        <v>240.19</v>
      </c>
      <c r="AK1663" t="s">
        <v>10966</v>
      </c>
      <c r="AL1663">
        <v>30000</v>
      </c>
      <c r="AR1663">
        <v>2.65</v>
      </c>
      <c r="AS1663" t="s">
        <v>6895</v>
      </c>
      <c r="AT1663" t="s">
        <v>11194</v>
      </c>
      <c r="AV1663" t="s">
        <v>11231</v>
      </c>
      <c r="AW1663" t="s">
        <v>11164</v>
      </c>
    </row>
    <row r="1664" spans="1:49">
      <c r="A1664" s="1">
        <f>HYPERLINK("https://lsnyc.legalserver.org/matter/dynamic-profile/view/1896419","19-1896419")</f>
        <v>0</v>
      </c>
      <c r="B1664" t="s">
        <v>286</v>
      </c>
      <c r="C1664" t="s">
        <v>956</v>
      </c>
      <c r="D1664" t="s">
        <v>2743</v>
      </c>
      <c r="E1664" t="s">
        <v>4574</v>
      </c>
      <c r="F1664" t="s">
        <v>5322</v>
      </c>
      <c r="G1664" t="s">
        <v>5638</v>
      </c>
      <c r="H1664">
        <v>10033</v>
      </c>
      <c r="I1664" t="s">
        <v>5696</v>
      </c>
      <c r="J1664" t="s">
        <v>5696</v>
      </c>
      <c r="L1664" t="s">
        <v>5740</v>
      </c>
      <c r="O1664" t="s">
        <v>6759</v>
      </c>
      <c r="R1664" t="s">
        <v>6793</v>
      </c>
      <c r="U1664">
        <v>3300</v>
      </c>
      <c r="V1664" t="s">
        <v>6836</v>
      </c>
      <c r="Y1664" t="s">
        <v>8410</v>
      </c>
      <c r="AA1664" t="s">
        <v>10449</v>
      </c>
      <c r="AB1664">
        <v>0</v>
      </c>
      <c r="AC1664" t="s">
        <v>10929</v>
      </c>
      <c r="AE1664">
        <v>1</v>
      </c>
      <c r="AF1664">
        <v>1</v>
      </c>
      <c r="AG1664">
        <v>0</v>
      </c>
      <c r="AH1664">
        <v>92.06999999999999</v>
      </c>
      <c r="AK1664" t="s">
        <v>10966</v>
      </c>
      <c r="AL1664">
        <v>11500</v>
      </c>
      <c r="AR1664">
        <v>3.2</v>
      </c>
      <c r="AS1664" t="s">
        <v>11126</v>
      </c>
      <c r="AT1664" t="s">
        <v>11194</v>
      </c>
      <c r="AV1664" t="s">
        <v>11231</v>
      </c>
      <c r="AW1664" t="s">
        <v>11164</v>
      </c>
    </row>
    <row r="1665" spans="1:49">
      <c r="A1665" s="1">
        <f>HYPERLINK("https://lsnyc.legalserver.org/matter/dynamic-profile/view/1906042","19-1906042")</f>
        <v>0</v>
      </c>
      <c r="B1665" t="s">
        <v>68</v>
      </c>
      <c r="C1665" t="s">
        <v>1366</v>
      </c>
      <c r="D1665" t="s">
        <v>2744</v>
      </c>
      <c r="E1665" t="s">
        <v>4575</v>
      </c>
      <c r="F1665" t="s">
        <v>5182</v>
      </c>
      <c r="G1665" t="s">
        <v>5637</v>
      </c>
      <c r="H1665">
        <v>11235</v>
      </c>
      <c r="I1665" t="s">
        <v>5696</v>
      </c>
      <c r="J1665" t="s">
        <v>5696</v>
      </c>
      <c r="L1665" t="s">
        <v>5740</v>
      </c>
      <c r="O1665" t="s">
        <v>6748</v>
      </c>
      <c r="R1665" t="s">
        <v>6793</v>
      </c>
      <c r="U1665">
        <v>1500</v>
      </c>
      <c r="V1665" t="s">
        <v>6835</v>
      </c>
      <c r="Y1665" t="s">
        <v>7115</v>
      </c>
      <c r="AA1665" t="s">
        <v>10450</v>
      </c>
      <c r="AB1665">
        <v>0</v>
      </c>
      <c r="AD1665" t="s">
        <v>5741</v>
      </c>
      <c r="AE1665">
        <v>13</v>
      </c>
      <c r="AF1665">
        <v>1</v>
      </c>
      <c r="AG1665">
        <v>0</v>
      </c>
      <c r="AH1665">
        <v>42.27</v>
      </c>
      <c r="AK1665" t="s">
        <v>10969</v>
      </c>
      <c r="AL1665">
        <v>5280</v>
      </c>
      <c r="AR1665">
        <v>1</v>
      </c>
      <c r="AS1665" t="s">
        <v>6820</v>
      </c>
      <c r="AT1665" t="s">
        <v>11186</v>
      </c>
      <c r="AV1665" t="s">
        <v>11231</v>
      </c>
      <c r="AW1665" t="s">
        <v>6820</v>
      </c>
    </row>
    <row r="1666" spans="1:49">
      <c r="A1666" s="1">
        <f>HYPERLINK("https://lsnyc.legalserver.org/matter/dynamic-profile/view/1903470","19-1903470")</f>
        <v>0</v>
      </c>
      <c r="B1666" t="s">
        <v>68</v>
      </c>
      <c r="C1666" t="s">
        <v>944</v>
      </c>
      <c r="D1666" t="s">
        <v>2745</v>
      </c>
      <c r="E1666" t="s">
        <v>4576</v>
      </c>
      <c r="F1666" t="s">
        <v>5558</v>
      </c>
      <c r="G1666" t="s">
        <v>5637</v>
      </c>
      <c r="H1666">
        <v>11226</v>
      </c>
      <c r="I1666" t="s">
        <v>5696</v>
      </c>
      <c r="J1666" t="s">
        <v>5696</v>
      </c>
      <c r="L1666" t="s">
        <v>5740</v>
      </c>
      <c r="O1666" t="s">
        <v>6754</v>
      </c>
      <c r="R1666" t="s">
        <v>6793</v>
      </c>
      <c r="U1666">
        <v>880</v>
      </c>
      <c r="V1666" t="s">
        <v>6835</v>
      </c>
      <c r="Y1666" t="s">
        <v>8411</v>
      </c>
      <c r="AA1666" t="s">
        <v>10451</v>
      </c>
      <c r="AB1666">
        <v>0</v>
      </c>
      <c r="AC1666" t="s">
        <v>10929</v>
      </c>
      <c r="AD1666" t="s">
        <v>5741</v>
      </c>
      <c r="AE1666">
        <v>25</v>
      </c>
      <c r="AF1666">
        <v>1</v>
      </c>
      <c r="AG1666">
        <v>0</v>
      </c>
      <c r="AH1666">
        <v>244.98</v>
      </c>
      <c r="AK1666" t="s">
        <v>10966</v>
      </c>
      <c r="AL1666">
        <v>30598</v>
      </c>
      <c r="AR1666">
        <v>2.5</v>
      </c>
      <c r="AS1666" t="s">
        <v>6819</v>
      </c>
      <c r="AT1666" t="s">
        <v>11186</v>
      </c>
      <c r="AV1666" t="s">
        <v>11231</v>
      </c>
      <c r="AW1666" t="s">
        <v>11136</v>
      </c>
    </row>
    <row r="1667" spans="1:49">
      <c r="A1667" s="1">
        <f>HYPERLINK("https://lsnyc.legalserver.org/matter/dynamic-profile/view/1902523","19-1902523")</f>
        <v>0</v>
      </c>
      <c r="B1667" t="s">
        <v>278</v>
      </c>
      <c r="C1667" t="s">
        <v>456</v>
      </c>
      <c r="D1667" t="s">
        <v>2746</v>
      </c>
      <c r="E1667" t="s">
        <v>4577</v>
      </c>
      <c r="F1667" t="s">
        <v>5316</v>
      </c>
      <c r="G1667" t="s">
        <v>5637</v>
      </c>
      <c r="H1667">
        <v>11217</v>
      </c>
      <c r="I1667" t="s">
        <v>5696</v>
      </c>
      <c r="J1667" t="s">
        <v>5696</v>
      </c>
      <c r="L1667" t="s">
        <v>5740</v>
      </c>
      <c r="O1667" t="s">
        <v>6748</v>
      </c>
      <c r="R1667" t="s">
        <v>6793</v>
      </c>
      <c r="U1667">
        <v>3400</v>
      </c>
      <c r="V1667" t="s">
        <v>6835</v>
      </c>
      <c r="Y1667" t="s">
        <v>8412</v>
      </c>
      <c r="AA1667" t="s">
        <v>10452</v>
      </c>
      <c r="AB1667">
        <v>0</v>
      </c>
      <c r="AC1667" t="s">
        <v>10934</v>
      </c>
      <c r="AD1667" t="s">
        <v>6841</v>
      </c>
      <c r="AE1667">
        <v>16</v>
      </c>
      <c r="AF1667">
        <v>1</v>
      </c>
      <c r="AG1667">
        <v>0</v>
      </c>
      <c r="AH1667">
        <v>76</v>
      </c>
      <c r="AK1667" t="s">
        <v>10966</v>
      </c>
      <c r="AL1667">
        <v>9492</v>
      </c>
      <c r="AR1667">
        <v>1</v>
      </c>
      <c r="AS1667" t="s">
        <v>11116</v>
      </c>
      <c r="AT1667" t="s">
        <v>11186</v>
      </c>
      <c r="AV1667" t="s">
        <v>11231</v>
      </c>
      <c r="AW1667" t="s">
        <v>11116</v>
      </c>
    </row>
    <row r="1668" spans="1:49">
      <c r="A1668" s="1">
        <f>HYPERLINK("https://lsnyc.legalserver.org/matter/dynamic-profile/view/1899495","19-1899495")</f>
        <v>0</v>
      </c>
      <c r="B1668" t="s">
        <v>206</v>
      </c>
      <c r="C1668" t="s">
        <v>1367</v>
      </c>
      <c r="D1668" t="s">
        <v>2747</v>
      </c>
      <c r="E1668" t="s">
        <v>4578</v>
      </c>
      <c r="F1668" t="s">
        <v>5187</v>
      </c>
      <c r="G1668" t="s">
        <v>5638</v>
      </c>
      <c r="H1668">
        <v>10027</v>
      </c>
      <c r="I1668" t="s">
        <v>5696</v>
      </c>
      <c r="J1668" t="s">
        <v>5696</v>
      </c>
      <c r="L1668" t="s">
        <v>5740</v>
      </c>
      <c r="O1668" t="s">
        <v>6761</v>
      </c>
      <c r="R1668" t="s">
        <v>6793</v>
      </c>
      <c r="U1668">
        <v>0</v>
      </c>
      <c r="V1668" t="s">
        <v>6836</v>
      </c>
      <c r="Y1668" t="s">
        <v>8413</v>
      </c>
      <c r="AA1668" t="s">
        <v>10453</v>
      </c>
      <c r="AB1668">
        <v>0</v>
      </c>
      <c r="AE1668">
        <v>0</v>
      </c>
      <c r="AF1668">
        <v>1</v>
      </c>
      <c r="AG1668">
        <v>0</v>
      </c>
      <c r="AH1668">
        <v>84.36</v>
      </c>
      <c r="AK1668" t="s">
        <v>10966</v>
      </c>
      <c r="AL1668">
        <v>10536</v>
      </c>
      <c r="AR1668">
        <v>0</v>
      </c>
      <c r="AT1668" t="s">
        <v>11194</v>
      </c>
      <c r="AV1668" t="s">
        <v>11231</v>
      </c>
      <c r="AW1668" t="s">
        <v>11158</v>
      </c>
    </row>
    <row r="1669" spans="1:49">
      <c r="A1669" s="1">
        <f>HYPERLINK("https://lsnyc.legalserver.org/matter/dynamic-profile/view/1899315","19-1899315")</f>
        <v>0</v>
      </c>
      <c r="B1669" t="s">
        <v>206</v>
      </c>
      <c r="C1669" t="s">
        <v>1263</v>
      </c>
      <c r="D1669" t="s">
        <v>2748</v>
      </c>
      <c r="E1669" t="s">
        <v>4579</v>
      </c>
      <c r="F1669">
        <v>33</v>
      </c>
      <c r="G1669" t="s">
        <v>5638</v>
      </c>
      <c r="H1669">
        <v>10031</v>
      </c>
      <c r="I1669" t="s">
        <v>5696</v>
      </c>
      <c r="J1669" t="s">
        <v>5696</v>
      </c>
      <c r="L1669" t="s">
        <v>5740</v>
      </c>
      <c r="O1669" t="s">
        <v>6761</v>
      </c>
      <c r="R1669" t="s">
        <v>6795</v>
      </c>
      <c r="U1669">
        <v>0</v>
      </c>
      <c r="V1669" t="s">
        <v>6836</v>
      </c>
      <c r="Y1669" t="s">
        <v>8414</v>
      </c>
      <c r="AA1669" t="s">
        <v>10454</v>
      </c>
      <c r="AB1669">
        <v>0</v>
      </c>
      <c r="AE1669">
        <v>0</v>
      </c>
      <c r="AF1669">
        <v>2</v>
      </c>
      <c r="AG1669">
        <v>2</v>
      </c>
      <c r="AH1669">
        <v>111.07</v>
      </c>
      <c r="AK1669" t="s">
        <v>10966</v>
      </c>
      <c r="AL1669">
        <v>28600</v>
      </c>
      <c r="AR1669">
        <v>0</v>
      </c>
      <c r="AT1669" t="s">
        <v>11194</v>
      </c>
      <c r="AV1669" t="s">
        <v>11231</v>
      </c>
      <c r="AW1669" t="s">
        <v>11126</v>
      </c>
    </row>
    <row r="1670" spans="1:49">
      <c r="A1670" s="1">
        <f>HYPERLINK("https://lsnyc.legalserver.org/matter/dynamic-profile/view/1903151","19-1903151")</f>
        <v>0</v>
      </c>
      <c r="B1670" t="s">
        <v>68</v>
      </c>
      <c r="C1670" t="s">
        <v>1368</v>
      </c>
      <c r="D1670" t="s">
        <v>1751</v>
      </c>
      <c r="E1670" t="s">
        <v>4580</v>
      </c>
      <c r="F1670" t="s">
        <v>5137</v>
      </c>
      <c r="G1670" t="s">
        <v>5637</v>
      </c>
      <c r="H1670">
        <v>11207</v>
      </c>
      <c r="I1670" t="s">
        <v>5696</v>
      </c>
      <c r="J1670" t="s">
        <v>5696</v>
      </c>
      <c r="L1670" t="s">
        <v>5740</v>
      </c>
      <c r="O1670" t="s">
        <v>6754</v>
      </c>
      <c r="R1670" t="s">
        <v>6794</v>
      </c>
      <c r="U1670">
        <v>0</v>
      </c>
      <c r="V1670" t="s">
        <v>6835</v>
      </c>
      <c r="Y1670" t="s">
        <v>8415</v>
      </c>
      <c r="AA1670" t="s">
        <v>10455</v>
      </c>
      <c r="AB1670">
        <v>0</v>
      </c>
      <c r="AE1670">
        <v>0</v>
      </c>
      <c r="AF1670">
        <v>1</v>
      </c>
      <c r="AG1670">
        <v>0</v>
      </c>
      <c r="AH1670">
        <v>121.83</v>
      </c>
      <c r="AK1670" t="s">
        <v>10966</v>
      </c>
      <c r="AL1670">
        <v>15216</v>
      </c>
      <c r="AR1670">
        <v>2.5</v>
      </c>
      <c r="AS1670" t="s">
        <v>6819</v>
      </c>
      <c r="AT1670" t="s">
        <v>11186</v>
      </c>
      <c r="AV1670" t="s">
        <v>11231</v>
      </c>
      <c r="AW1670" t="s">
        <v>10953</v>
      </c>
    </row>
    <row r="1671" spans="1:49">
      <c r="A1671" s="1">
        <f>HYPERLINK("https://lsnyc.legalserver.org/matter/dynamic-profile/view/1897650","19-1897650")</f>
        <v>0</v>
      </c>
      <c r="B1671" t="s">
        <v>244</v>
      </c>
      <c r="C1671" t="s">
        <v>335</v>
      </c>
      <c r="D1671" t="s">
        <v>2749</v>
      </c>
      <c r="E1671" t="s">
        <v>4581</v>
      </c>
      <c r="F1671" t="s">
        <v>5101</v>
      </c>
      <c r="G1671" t="s">
        <v>5638</v>
      </c>
      <c r="H1671">
        <v>10009</v>
      </c>
      <c r="I1671" t="s">
        <v>5696</v>
      </c>
      <c r="J1671" t="s">
        <v>5696</v>
      </c>
      <c r="L1671" t="s">
        <v>5740</v>
      </c>
      <c r="O1671" t="s">
        <v>6759</v>
      </c>
      <c r="R1671" t="s">
        <v>6794</v>
      </c>
      <c r="U1671">
        <v>0</v>
      </c>
      <c r="V1671" t="s">
        <v>6836</v>
      </c>
      <c r="Y1671" t="s">
        <v>8416</v>
      </c>
      <c r="AA1671" t="s">
        <v>10456</v>
      </c>
      <c r="AB1671">
        <v>0</v>
      </c>
      <c r="AE1671">
        <v>17</v>
      </c>
      <c r="AF1671">
        <v>3</v>
      </c>
      <c r="AG1671">
        <v>1</v>
      </c>
      <c r="AH1671">
        <v>71.86</v>
      </c>
      <c r="AK1671" t="s">
        <v>10967</v>
      </c>
      <c r="AL1671">
        <v>18504</v>
      </c>
      <c r="AR1671">
        <v>0</v>
      </c>
      <c r="AT1671" t="s">
        <v>11194</v>
      </c>
      <c r="AV1671" t="s">
        <v>11231</v>
      </c>
      <c r="AW1671" t="s">
        <v>11165</v>
      </c>
    </row>
    <row r="1672" spans="1:49">
      <c r="A1672" s="1">
        <f>HYPERLINK("https://lsnyc.legalserver.org/matter/dynamic-profile/view/1905375","19-1905375")</f>
        <v>0</v>
      </c>
      <c r="B1672" t="s">
        <v>130</v>
      </c>
      <c r="C1672" t="s">
        <v>343</v>
      </c>
      <c r="D1672" t="s">
        <v>2750</v>
      </c>
      <c r="E1672" t="s">
        <v>4582</v>
      </c>
      <c r="F1672" t="s">
        <v>5140</v>
      </c>
      <c r="G1672" t="s">
        <v>5637</v>
      </c>
      <c r="H1672">
        <v>11233</v>
      </c>
      <c r="I1672" t="s">
        <v>5695</v>
      </c>
      <c r="J1672" t="s">
        <v>5696</v>
      </c>
      <c r="K1672" t="s">
        <v>5727</v>
      </c>
      <c r="L1672" t="s">
        <v>5740</v>
      </c>
      <c r="O1672" t="s">
        <v>6745</v>
      </c>
      <c r="P1672" t="s">
        <v>5697</v>
      </c>
      <c r="R1672" t="s">
        <v>6793</v>
      </c>
      <c r="S1672" t="s">
        <v>6801</v>
      </c>
      <c r="T1672" t="s">
        <v>6828</v>
      </c>
      <c r="U1672">
        <v>550</v>
      </c>
      <c r="V1672" t="s">
        <v>6835</v>
      </c>
      <c r="Y1672" t="s">
        <v>8417</v>
      </c>
      <c r="Z1672" t="s">
        <v>9067</v>
      </c>
      <c r="AA1672" t="s">
        <v>10457</v>
      </c>
      <c r="AB1672">
        <v>6</v>
      </c>
      <c r="AC1672" t="s">
        <v>10929</v>
      </c>
      <c r="AD1672" t="s">
        <v>5741</v>
      </c>
      <c r="AE1672">
        <v>44</v>
      </c>
      <c r="AF1672">
        <v>1</v>
      </c>
      <c r="AG1672">
        <v>0</v>
      </c>
      <c r="AH1672">
        <v>72.15000000000001</v>
      </c>
      <c r="AK1672" t="s">
        <v>10967</v>
      </c>
      <c r="AL1672">
        <v>9012</v>
      </c>
      <c r="AR1672">
        <v>1.25</v>
      </c>
      <c r="AS1672" t="s">
        <v>6827</v>
      </c>
      <c r="AT1672" t="s">
        <v>69</v>
      </c>
      <c r="AU1672" t="s">
        <v>11228</v>
      </c>
      <c r="AV1672" t="s">
        <v>11231</v>
      </c>
      <c r="AW1672" t="s">
        <v>6828</v>
      </c>
    </row>
    <row r="1673" spans="1:49">
      <c r="A1673" s="1">
        <f>HYPERLINK("https://lsnyc.legalserver.org/matter/dynamic-profile/view/1906162","19-1906162")</f>
        <v>0</v>
      </c>
      <c r="B1673" t="s">
        <v>211</v>
      </c>
      <c r="C1673" t="s">
        <v>372</v>
      </c>
      <c r="D1673" t="s">
        <v>2751</v>
      </c>
      <c r="E1673" t="s">
        <v>4583</v>
      </c>
      <c r="F1673" t="s">
        <v>5248</v>
      </c>
      <c r="G1673" t="s">
        <v>5635</v>
      </c>
      <c r="H1673">
        <v>10460</v>
      </c>
      <c r="I1673" t="s">
        <v>5696</v>
      </c>
      <c r="J1673" t="s">
        <v>5696</v>
      </c>
      <c r="L1673" t="s">
        <v>5740</v>
      </c>
      <c r="O1673" t="s">
        <v>6748</v>
      </c>
      <c r="R1673" t="s">
        <v>6793</v>
      </c>
      <c r="U1673">
        <v>723.99</v>
      </c>
      <c r="V1673" t="s">
        <v>6833</v>
      </c>
      <c r="Y1673" t="s">
        <v>8418</v>
      </c>
      <c r="AA1673" t="s">
        <v>10458</v>
      </c>
      <c r="AB1673">
        <v>0</v>
      </c>
      <c r="AC1673" t="s">
        <v>8953</v>
      </c>
      <c r="AD1673" t="s">
        <v>5741</v>
      </c>
      <c r="AE1673">
        <v>3</v>
      </c>
      <c r="AF1673">
        <v>1</v>
      </c>
      <c r="AG1673">
        <v>0</v>
      </c>
      <c r="AH1673">
        <v>115.29</v>
      </c>
      <c r="AK1673" t="s">
        <v>10966</v>
      </c>
      <c r="AL1673">
        <v>14400</v>
      </c>
      <c r="AR1673">
        <v>1</v>
      </c>
      <c r="AS1673" t="s">
        <v>6821</v>
      </c>
      <c r="AT1673" t="s">
        <v>11186</v>
      </c>
      <c r="AV1673" t="s">
        <v>11231</v>
      </c>
      <c r="AW1673" t="s">
        <v>6821</v>
      </c>
    </row>
    <row r="1674" spans="1:49">
      <c r="A1674" s="1">
        <f>HYPERLINK("https://lsnyc.legalserver.org/matter/dynamic-profile/view/1900423","19-1900423")</f>
        <v>0</v>
      </c>
      <c r="B1674" t="s">
        <v>205</v>
      </c>
      <c r="C1674" t="s">
        <v>1369</v>
      </c>
      <c r="D1674" t="s">
        <v>966</v>
      </c>
      <c r="E1674" t="s">
        <v>4584</v>
      </c>
      <c r="F1674" t="s">
        <v>5133</v>
      </c>
      <c r="G1674" t="s">
        <v>5637</v>
      </c>
      <c r="H1674">
        <v>11212</v>
      </c>
      <c r="I1674" t="s">
        <v>5697</v>
      </c>
      <c r="J1674" t="s">
        <v>5696</v>
      </c>
      <c r="L1674" t="s">
        <v>5740</v>
      </c>
      <c r="O1674" t="s">
        <v>6746</v>
      </c>
      <c r="R1674" t="s">
        <v>6795</v>
      </c>
      <c r="U1674">
        <v>1433</v>
      </c>
      <c r="V1674" t="s">
        <v>6835</v>
      </c>
      <c r="W1674" t="s">
        <v>6841</v>
      </c>
      <c r="Y1674" t="s">
        <v>7596</v>
      </c>
      <c r="AA1674" t="s">
        <v>10459</v>
      </c>
      <c r="AB1674">
        <v>0</v>
      </c>
      <c r="AD1674" t="s">
        <v>6841</v>
      </c>
      <c r="AE1674">
        <v>8</v>
      </c>
      <c r="AF1674">
        <v>1</v>
      </c>
      <c r="AG1674">
        <v>0</v>
      </c>
      <c r="AH1674">
        <v>36.12</v>
      </c>
      <c r="AK1674" t="s">
        <v>10966</v>
      </c>
      <c r="AL1674">
        <v>4512</v>
      </c>
      <c r="AR1674">
        <v>0.2</v>
      </c>
      <c r="AS1674" t="s">
        <v>11148</v>
      </c>
      <c r="AT1674" t="s">
        <v>11190</v>
      </c>
      <c r="AV1674" t="s">
        <v>11231</v>
      </c>
      <c r="AW1674" t="s">
        <v>11160</v>
      </c>
    </row>
    <row r="1675" spans="1:49">
      <c r="A1675" s="1">
        <f>HYPERLINK("https://lsnyc.legalserver.org/matter/dynamic-profile/view/1904211","19-1904211")</f>
        <v>0</v>
      </c>
      <c r="B1675" t="s">
        <v>69</v>
      </c>
      <c r="C1675" t="s">
        <v>1370</v>
      </c>
      <c r="D1675" t="s">
        <v>2752</v>
      </c>
      <c r="E1675" t="s">
        <v>4585</v>
      </c>
      <c r="F1675">
        <v>1</v>
      </c>
      <c r="G1675" t="s">
        <v>5637</v>
      </c>
      <c r="H1675">
        <v>11233</v>
      </c>
      <c r="I1675" t="s">
        <v>5697</v>
      </c>
      <c r="J1675" t="s">
        <v>5696</v>
      </c>
      <c r="K1675" t="s">
        <v>5727</v>
      </c>
      <c r="L1675" t="s">
        <v>5740</v>
      </c>
      <c r="O1675" t="s">
        <v>6745</v>
      </c>
      <c r="P1675" t="s">
        <v>5697</v>
      </c>
      <c r="R1675" t="s">
        <v>6793</v>
      </c>
      <c r="S1675" t="s">
        <v>6801</v>
      </c>
      <c r="U1675">
        <v>1200</v>
      </c>
      <c r="V1675" t="s">
        <v>6835</v>
      </c>
      <c r="W1675" t="s">
        <v>6841</v>
      </c>
      <c r="Y1675" t="s">
        <v>8419</v>
      </c>
      <c r="Z1675" t="s">
        <v>5741</v>
      </c>
      <c r="AB1675">
        <v>3</v>
      </c>
      <c r="AC1675" t="s">
        <v>10930</v>
      </c>
      <c r="AD1675" t="s">
        <v>5741</v>
      </c>
      <c r="AE1675">
        <v>1</v>
      </c>
      <c r="AF1675">
        <v>1</v>
      </c>
      <c r="AG1675">
        <v>0</v>
      </c>
      <c r="AH1675">
        <v>48.04</v>
      </c>
      <c r="AK1675" t="s">
        <v>10966</v>
      </c>
      <c r="AL1675">
        <v>6000</v>
      </c>
      <c r="AR1675">
        <v>0.5</v>
      </c>
      <c r="AS1675" t="s">
        <v>6818</v>
      </c>
      <c r="AT1675" t="s">
        <v>11180</v>
      </c>
      <c r="AU1675" t="s">
        <v>5741</v>
      </c>
      <c r="AV1675" t="s">
        <v>11231</v>
      </c>
      <c r="AW1675" t="s">
        <v>6818</v>
      </c>
    </row>
    <row r="1676" spans="1:49">
      <c r="A1676" s="1">
        <f>HYPERLINK("https://lsnyc.legalserver.org/matter/dynamic-profile/view/1901332","19-1901332")</f>
        <v>0</v>
      </c>
      <c r="B1676" t="s">
        <v>205</v>
      </c>
      <c r="C1676" t="s">
        <v>386</v>
      </c>
      <c r="D1676" t="s">
        <v>1712</v>
      </c>
      <c r="E1676" t="s">
        <v>3157</v>
      </c>
      <c r="F1676" t="s">
        <v>5109</v>
      </c>
      <c r="G1676" t="s">
        <v>5637</v>
      </c>
      <c r="H1676">
        <v>11207</v>
      </c>
      <c r="I1676" t="s">
        <v>5697</v>
      </c>
      <c r="J1676" t="s">
        <v>5696</v>
      </c>
      <c r="K1676" t="s">
        <v>5738</v>
      </c>
      <c r="L1676" t="s">
        <v>5740</v>
      </c>
      <c r="O1676" t="s">
        <v>6745</v>
      </c>
      <c r="P1676" t="s">
        <v>5697</v>
      </c>
      <c r="R1676" t="s">
        <v>6793</v>
      </c>
      <c r="U1676">
        <v>850</v>
      </c>
      <c r="V1676" t="s">
        <v>6835</v>
      </c>
      <c r="W1676" t="s">
        <v>6842</v>
      </c>
      <c r="Y1676" t="s">
        <v>6953</v>
      </c>
      <c r="AB1676">
        <v>8</v>
      </c>
      <c r="AC1676" t="s">
        <v>10929</v>
      </c>
      <c r="AD1676" t="s">
        <v>5741</v>
      </c>
      <c r="AE1676">
        <v>1</v>
      </c>
      <c r="AF1676">
        <v>1</v>
      </c>
      <c r="AG1676">
        <v>0</v>
      </c>
      <c r="AH1676">
        <v>240.19</v>
      </c>
      <c r="AK1676" t="s">
        <v>10966</v>
      </c>
      <c r="AL1676">
        <v>30000</v>
      </c>
      <c r="AR1676">
        <v>0.8</v>
      </c>
      <c r="AS1676" t="s">
        <v>11135</v>
      </c>
      <c r="AT1676" t="s">
        <v>69</v>
      </c>
      <c r="AU1676" t="s">
        <v>5741</v>
      </c>
      <c r="AV1676" t="s">
        <v>11231</v>
      </c>
      <c r="AW1676" t="s">
        <v>11148</v>
      </c>
    </row>
    <row r="1677" spans="1:49">
      <c r="A1677" s="1">
        <f>HYPERLINK("https://lsnyc.legalserver.org/matter/dynamic-profile/view/1903037","19-1903037")</f>
        <v>0</v>
      </c>
      <c r="B1677" t="s">
        <v>68</v>
      </c>
      <c r="C1677" t="s">
        <v>994</v>
      </c>
      <c r="D1677" t="s">
        <v>2753</v>
      </c>
      <c r="E1677" t="s">
        <v>4586</v>
      </c>
      <c r="F1677" t="s">
        <v>5233</v>
      </c>
      <c r="G1677" t="s">
        <v>5637</v>
      </c>
      <c r="H1677">
        <v>11216</v>
      </c>
      <c r="I1677" t="s">
        <v>5696</v>
      </c>
      <c r="J1677" t="s">
        <v>5696</v>
      </c>
      <c r="L1677" t="s">
        <v>5740</v>
      </c>
      <c r="O1677" t="s">
        <v>6748</v>
      </c>
      <c r="R1677" t="s">
        <v>6793</v>
      </c>
      <c r="U1677">
        <v>1010</v>
      </c>
      <c r="V1677" t="s">
        <v>6835</v>
      </c>
      <c r="W1677" t="s">
        <v>6843</v>
      </c>
      <c r="Y1677" t="s">
        <v>7413</v>
      </c>
      <c r="AB1677">
        <v>40</v>
      </c>
      <c r="AC1677" t="s">
        <v>8953</v>
      </c>
      <c r="AD1677" t="s">
        <v>5741</v>
      </c>
      <c r="AE1677">
        <v>3</v>
      </c>
      <c r="AF1677">
        <v>1</v>
      </c>
      <c r="AG1677">
        <v>0</v>
      </c>
      <c r="AH1677">
        <v>172.94</v>
      </c>
      <c r="AK1677" t="s">
        <v>10966</v>
      </c>
      <c r="AL1677">
        <v>21600</v>
      </c>
      <c r="AR1677">
        <v>0.7</v>
      </c>
      <c r="AS1677" t="s">
        <v>11138</v>
      </c>
      <c r="AT1677" t="s">
        <v>11180</v>
      </c>
      <c r="AV1677" t="s">
        <v>11231</v>
      </c>
      <c r="AW1677" t="s">
        <v>11138</v>
      </c>
    </row>
    <row r="1678" spans="1:49">
      <c r="A1678" s="1">
        <f>HYPERLINK("https://lsnyc.legalserver.org/matter/dynamic-profile/view/1902344","19-1902344")</f>
        <v>0</v>
      </c>
      <c r="B1678" t="s">
        <v>98</v>
      </c>
      <c r="C1678" t="s">
        <v>1371</v>
      </c>
      <c r="D1678" t="s">
        <v>2754</v>
      </c>
      <c r="E1678" t="s">
        <v>4587</v>
      </c>
      <c r="F1678" t="s">
        <v>5285</v>
      </c>
      <c r="G1678" t="s">
        <v>5638</v>
      </c>
      <c r="H1678">
        <v>10031</v>
      </c>
      <c r="I1678" t="s">
        <v>5696</v>
      </c>
      <c r="J1678" t="s">
        <v>5696</v>
      </c>
      <c r="L1678" t="s">
        <v>5740</v>
      </c>
      <c r="O1678" t="s">
        <v>6761</v>
      </c>
      <c r="R1678" t="s">
        <v>6793</v>
      </c>
      <c r="U1678">
        <v>1021</v>
      </c>
      <c r="V1678" t="s">
        <v>6836</v>
      </c>
      <c r="Y1678" t="s">
        <v>8420</v>
      </c>
      <c r="AB1678">
        <v>0</v>
      </c>
      <c r="AE1678">
        <v>21</v>
      </c>
      <c r="AF1678">
        <v>1</v>
      </c>
      <c r="AG1678">
        <v>0</v>
      </c>
      <c r="AH1678">
        <v>160.13</v>
      </c>
      <c r="AK1678" t="s">
        <v>10966</v>
      </c>
      <c r="AL1678">
        <v>20000</v>
      </c>
      <c r="AR1678">
        <v>0</v>
      </c>
      <c r="AT1678" t="s">
        <v>11194</v>
      </c>
      <c r="AV1678" t="s">
        <v>11231</v>
      </c>
      <c r="AW1678" t="s">
        <v>11163</v>
      </c>
    </row>
    <row r="1679" spans="1:49">
      <c r="A1679" s="1">
        <f>HYPERLINK("https://lsnyc.legalserver.org/matter/dynamic-profile/view/1902099","19-1902099")</f>
        <v>0</v>
      </c>
      <c r="B1679" t="s">
        <v>287</v>
      </c>
      <c r="C1679" t="s">
        <v>1372</v>
      </c>
      <c r="D1679" t="s">
        <v>2755</v>
      </c>
      <c r="E1679" t="s">
        <v>4588</v>
      </c>
      <c r="F1679" t="s">
        <v>5559</v>
      </c>
      <c r="G1679" t="s">
        <v>5638</v>
      </c>
      <c r="H1679">
        <v>10014</v>
      </c>
      <c r="I1679" t="s">
        <v>5696</v>
      </c>
      <c r="J1679" t="s">
        <v>5696</v>
      </c>
      <c r="L1679" t="s">
        <v>5740</v>
      </c>
      <c r="O1679" t="s">
        <v>6770</v>
      </c>
      <c r="R1679" t="s">
        <v>6795</v>
      </c>
      <c r="U1679">
        <v>0</v>
      </c>
      <c r="V1679" t="s">
        <v>6836</v>
      </c>
      <c r="Y1679" t="s">
        <v>8421</v>
      </c>
      <c r="AB1679">
        <v>0</v>
      </c>
      <c r="AE1679">
        <v>0</v>
      </c>
      <c r="AF1679">
        <v>1</v>
      </c>
      <c r="AG1679">
        <v>0</v>
      </c>
      <c r="AH1679">
        <v>136.91</v>
      </c>
      <c r="AK1679" t="s">
        <v>10966</v>
      </c>
      <c r="AL1679">
        <v>17100</v>
      </c>
      <c r="AR1679">
        <v>5.7</v>
      </c>
      <c r="AS1679" t="s">
        <v>6819</v>
      </c>
      <c r="AT1679" t="s">
        <v>11194</v>
      </c>
      <c r="AV1679" t="s">
        <v>11231</v>
      </c>
      <c r="AW1679" t="s">
        <v>11150</v>
      </c>
    </row>
    <row r="1680" spans="1:49">
      <c r="A1680" s="1">
        <f>HYPERLINK("https://lsnyc.legalserver.org/matter/dynamic-profile/view/1902136","19-1902136")</f>
        <v>0</v>
      </c>
      <c r="B1680" t="s">
        <v>254</v>
      </c>
      <c r="C1680" t="s">
        <v>1373</v>
      </c>
      <c r="D1680" t="s">
        <v>2756</v>
      </c>
      <c r="E1680" t="s">
        <v>4589</v>
      </c>
      <c r="F1680">
        <v>1</v>
      </c>
      <c r="G1680" t="s">
        <v>5635</v>
      </c>
      <c r="H1680">
        <v>10459</v>
      </c>
      <c r="I1680" t="s">
        <v>5695</v>
      </c>
      <c r="J1680" t="s">
        <v>5696</v>
      </c>
      <c r="L1680" t="s">
        <v>5740</v>
      </c>
      <c r="O1680" t="s">
        <v>6745</v>
      </c>
      <c r="P1680" t="s">
        <v>5697</v>
      </c>
      <c r="R1680" t="s">
        <v>6793</v>
      </c>
      <c r="U1680">
        <v>1200</v>
      </c>
      <c r="V1680" t="s">
        <v>6833</v>
      </c>
      <c r="Y1680" t="s">
        <v>8422</v>
      </c>
      <c r="AB1680">
        <v>3</v>
      </c>
      <c r="AC1680" t="s">
        <v>8953</v>
      </c>
      <c r="AD1680" t="s">
        <v>5741</v>
      </c>
      <c r="AE1680">
        <v>11</v>
      </c>
      <c r="AF1680">
        <v>2</v>
      </c>
      <c r="AG1680">
        <v>1</v>
      </c>
      <c r="AH1680">
        <v>60.95</v>
      </c>
      <c r="AK1680" t="s">
        <v>10967</v>
      </c>
      <c r="AL1680">
        <v>13000</v>
      </c>
      <c r="AR1680">
        <v>2.5</v>
      </c>
      <c r="AS1680" t="s">
        <v>11139</v>
      </c>
      <c r="AT1680" t="s">
        <v>11189</v>
      </c>
      <c r="AU1680" t="s">
        <v>11228</v>
      </c>
      <c r="AV1680" t="s">
        <v>11231</v>
      </c>
      <c r="AW1680" t="s">
        <v>11163</v>
      </c>
    </row>
    <row r="1681" spans="1:49">
      <c r="A1681" s="1">
        <f>HYPERLINK("https://lsnyc.legalserver.org/matter/dynamic-profile/view/1899350","19-1899350")</f>
        <v>0</v>
      </c>
      <c r="B1681" t="s">
        <v>206</v>
      </c>
      <c r="C1681" t="s">
        <v>697</v>
      </c>
      <c r="D1681" t="s">
        <v>1796</v>
      </c>
      <c r="E1681" t="s">
        <v>4590</v>
      </c>
      <c r="F1681">
        <v>23</v>
      </c>
      <c r="G1681" t="s">
        <v>5638</v>
      </c>
      <c r="H1681">
        <v>10031</v>
      </c>
      <c r="I1681" t="s">
        <v>5696</v>
      </c>
      <c r="J1681" t="s">
        <v>5696</v>
      </c>
      <c r="L1681" t="s">
        <v>5740</v>
      </c>
      <c r="O1681" t="s">
        <v>6761</v>
      </c>
      <c r="R1681" t="s">
        <v>6793</v>
      </c>
      <c r="U1681">
        <v>0</v>
      </c>
      <c r="V1681" t="s">
        <v>6836</v>
      </c>
      <c r="Y1681" t="s">
        <v>8423</v>
      </c>
      <c r="AB1681">
        <v>0</v>
      </c>
      <c r="AE1681">
        <v>24</v>
      </c>
      <c r="AF1681">
        <v>4</v>
      </c>
      <c r="AG1681">
        <v>2</v>
      </c>
      <c r="AH1681">
        <v>96.98</v>
      </c>
      <c r="AK1681" t="s">
        <v>10967</v>
      </c>
      <c r="AL1681">
        <v>33544</v>
      </c>
      <c r="AR1681">
        <v>0</v>
      </c>
      <c r="AT1681" t="s">
        <v>11194</v>
      </c>
      <c r="AV1681" t="s">
        <v>11231</v>
      </c>
      <c r="AW1681" t="s">
        <v>11126</v>
      </c>
    </row>
    <row r="1682" spans="1:49">
      <c r="A1682" s="1">
        <f>HYPERLINK("https://lsnyc.legalserver.org/matter/dynamic-profile/view/1905991","19-1905991")</f>
        <v>0</v>
      </c>
      <c r="B1682" t="s">
        <v>284</v>
      </c>
      <c r="C1682" t="s">
        <v>442</v>
      </c>
      <c r="D1682" t="s">
        <v>631</v>
      </c>
      <c r="E1682" t="s">
        <v>3771</v>
      </c>
      <c r="F1682" t="s">
        <v>5560</v>
      </c>
      <c r="G1682" t="s">
        <v>5637</v>
      </c>
      <c r="H1682">
        <v>11233</v>
      </c>
      <c r="I1682" t="s">
        <v>5695</v>
      </c>
      <c r="J1682" t="s">
        <v>5696</v>
      </c>
      <c r="K1682" t="s">
        <v>5773</v>
      </c>
      <c r="L1682" t="s">
        <v>6720</v>
      </c>
      <c r="O1682" t="s">
        <v>6745</v>
      </c>
      <c r="P1682" t="s">
        <v>5697</v>
      </c>
      <c r="R1682" t="s">
        <v>6793</v>
      </c>
      <c r="S1682" t="s">
        <v>6801</v>
      </c>
      <c r="T1682" t="s">
        <v>6811</v>
      </c>
      <c r="U1682">
        <v>1200</v>
      </c>
      <c r="V1682" t="s">
        <v>6835</v>
      </c>
      <c r="Y1682" t="s">
        <v>7605</v>
      </c>
      <c r="Z1682" t="s">
        <v>5773</v>
      </c>
      <c r="AB1682">
        <v>1117</v>
      </c>
      <c r="AC1682" t="s">
        <v>10929</v>
      </c>
      <c r="AD1682" t="s">
        <v>5741</v>
      </c>
      <c r="AE1682">
        <v>26</v>
      </c>
      <c r="AF1682">
        <v>4</v>
      </c>
      <c r="AG1682">
        <v>1</v>
      </c>
      <c r="AH1682">
        <v>99.44</v>
      </c>
      <c r="AK1682" t="s">
        <v>10966</v>
      </c>
      <c r="AL1682">
        <v>30000</v>
      </c>
      <c r="AR1682">
        <v>0</v>
      </c>
      <c r="AT1682" t="s">
        <v>69</v>
      </c>
      <c r="AU1682" t="s">
        <v>11228</v>
      </c>
      <c r="AV1682" t="s">
        <v>11231</v>
      </c>
      <c r="AW1682" t="s">
        <v>6826</v>
      </c>
    </row>
    <row r="1683" spans="1:49">
      <c r="A1683" s="1">
        <f>HYPERLINK("https://lsnyc.legalserver.org/matter/dynamic-profile/view/1905984","19-1905984")</f>
        <v>0</v>
      </c>
      <c r="B1683" t="s">
        <v>284</v>
      </c>
      <c r="C1683" t="s">
        <v>491</v>
      </c>
      <c r="D1683" t="s">
        <v>1924</v>
      </c>
      <c r="E1683" t="s">
        <v>4591</v>
      </c>
      <c r="F1683" t="s">
        <v>5561</v>
      </c>
      <c r="G1683" t="s">
        <v>5637</v>
      </c>
      <c r="H1683">
        <v>11233</v>
      </c>
      <c r="I1683" t="s">
        <v>5695</v>
      </c>
      <c r="J1683" t="s">
        <v>5696</v>
      </c>
      <c r="K1683" t="s">
        <v>5727</v>
      </c>
      <c r="L1683" t="s">
        <v>6720</v>
      </c>
      <c r="O1683" t="s">
        <v>6745</v>
      </c>
      <c r="P1683" t="s">
        <v>5695</v>
      </c>
      <c r="R1683" t="s">
        <v>6793</v>
      </c>
      <c r="S1683" t="s">
        <v>6801</v>
      </c>
      <c r="U1683">
        <v>1001.91</v>
      </c>
      <c r="V1683" t="s">
        <v>6835</v>
      </c>
      <c r="W1683" t="s">
        <v>6850</v>
      </c>
      <c r="Y1683" t="s">
        <v>8424</v>
      </c>
      <c r="Z1683" t="s">
        <v>5773</v>
      </c>
      <c r="AB1683">
        <v>1117</v>
      </c>
      <c r="AC1683" t="s">
        <v>10929</v>
      </c>
      <c r="AD1683" t="s">
        <v>5741</v>
      </c>
      <c r="AE1683">
        <v>40</v>
      </c>
      <c r="AF1683">
        <v>2</v>
      </c>
      <c r="AG1683">
        <v>0</v>
      </c>
      <c r="AH1683">
        <v>620.9299999999999</v>
      </c>
      <c r="AJ1683" t="s">
        <v>10963</v>
      </c>
      <c r="AK1683" t="s">
        <v>10966</v>
      </c>
      <c r="AL1683">
        <v>105000</v>
      </c>
      <c r="AM1683" t="s">
        <v>11076</v>
      </c>
      <c r="AR1683">
        <v>0</v>
      </c>
      <c r="AT1683" t="s">
        <v>69</v>
      </c>
      <c r="AU1683" t="s">
        <v>11228</v>
      </c>
      <c r="AV1683" t="s">
        <v>11231</v>
      </c>
      <c r="AW1683" t="s">
        <v>6826</v>
      </c>
    </row>
    <row r="1684" spans="1:49">
      <c r="A1684" s="1">
        <f>HYPERLINK("https://lsnyc.legalserver.org/matter/dynamic-profile/view/1900830","19-1900830")</f>
        <v>0</v>
      </c>
      <c r="B1684" t="s">
        <v>142</v>
      </c>
      <c r="C1684" t="s">
        <v>694</v>
      </c>
      <c r="D1684" t="s">
        <v>2010</v>
      </c>
      <c r="E1684" t="s">
        <v>3210</v>
      </c>
      <c r="F1684" t="s">
        <v>5562</v>
      </c>
      <c r="G1684" t="s">
        <v>5635</v>
      </c>
      <c r="H1684">
        <v>10460</v>
      </c>
      <c r="I1684" t="s">
        <v>5696</v>
      </c>
      <c r="J1684" t="s">
        <v>5696</v>
      </c>
      <c r="K1684" t="s">
        <v>6580</v>
      </c>
      <c r="L1684" t="s">
        <v>6714</v>
      </c>
      <c r="O1684" t="s">
        <v>6748</v>
      </c>
      <c r="R1684" t="s">
        <v>6793</v>
      </c>
      <c r="U1684">
        <v>1967</v>
      </c>
      <c r="V1684" t="s">
        <v>6833</v>
      </c>
      <c r="Y1684" t="s">
        <v>8425</v>
      </c>
      <c r="AA1684" t="s">
        <v>10460</v>
      </c>
      <c r="AB1684">
        <v>168</v>
      </c>
      <c r="AE1684">
        <v>11</v>
      </c>
      <c r="AF1684">
        <v>1</v>
      </c>
      <c r="AG1684">
        <v>1</v>
      </c>
      <c r="AH1684">
        <v>192.19</v>
      </c>
      <c r="AK1684" t="s">
        <v>10966</v>
      </c>
      <c r="AL1684">
        <v>32500</v>
      </c>
      <c r="AR1684">
        <v>0.5</v>
      </c>
      <c r="AS1684" t="s">
        <v>11157</v>
      </c>
      <c r="AT1684" t="s">
        <v>11181</v>
      </c>
      <c r="AV1684" t="s">
        <v>11231</v>
      </c>
      <c r="AW1684" t="s">
        <v>11157</v>
      </c>
    </row>
    <row r="1685" spans="1:49">
      <c r="A1685" s="1">
        <f>HYPERLINK("https://lsnyc.legalserver.org/matter/dynamic-profile/view/1899756","19-1899756")</f>
        <v>0</v>
      </c>
      <c r="B1685" t="s">
        <v>210</v>
      </c>
      <c r="C1685" t="s">
        <v>1374</v>
      </c>
      <c r="D1685" t="s">
        <v>2757</v>
      </c>
      <c r="E1685" t="s">
        <v>4592</v>
      </c>
      <c r="F1685" t="s">
        <v>5109</v>
      </c>
      <c r="G1685" t="s">
        <v>5636</v>
      </c>
      <c r="H1685">
        <v>10301</v>
      </c>
      <c r="I1685" t="s">
        <v>5696</v>
      </c>
      <c r="J1685" t="s">
        <v>5696</v>
      </c>
      <c r="K1685" t="s">
        <v>6581</v>
      </c>
      <c r="L1685" t="s">
        <v>6714</v>
      </c>
      <c r="O1685" t="s">
        <v>6745</v>
      </c>
      <c r="R1685" t="s">
        <v>6793</v>
      </c>
      <c r="U1685">
        <v>1200</v>
      </c>
      <c r="V1685" t="s">
        <v>6834</v>
      </c>
      <c r="W1685" t="s">
        <v>6841</v>
      </c>
      <c r="Y1685" t="s">
        <v>8426</v>
      </c>
      <c r="AA1685" t="s">
        <v>10461</v>
      </c>
      <c r="AB1685">
        <v>5</v>
      </c>
      <c r="AC1685" t="s">
        <v>8953</v>
      </c>
      <c r="AD1685" t="s">
        <v>5741</v>
      </c>
      <c r="AE1685">
        <v>3</v>
      </c>
      <c r="AF1685">
        <v>1</v>
      </c>
      <c r="AG1685">
        <v>0</v>
      </c>
      <c r="AH1685">
        <v>57.65</v>
      </c>
      <c r="AK1685" t="s">
        <v>10966</v>
      </c>
      <c r="AL1685">
        <v>7200</v>
      </c>
      <c r="AR1685">
        <v>0.5</v>
      </c>
      <c r="AS1685" t="s">
        <v>11146</v>
      </c>
      <c r="AT1685" t="s">
        <v>11180</v>
      </c>
      <c r="AV1685" t="s">
        <v>11231</v>
      </c>
      <c r="AW1685" t="s">
        <v>11146</v>
      </c>
    </row>
    <row r="1686" spans="1:49">
      <c r="A1686" s="1">
        <f>HYPERLINK("https://lsnyc.legalserver.org/matter/dynamic-profile/view/1903237","19-1903237")</f>
        <v>0</v>
      </c>
      <c r="B1686" t="s">
        <v>75</v>
      </c>
      <c r="C1686" t="s">
        <v>1375</v>
      </c>
      <c r="D1686" t="s">
        <v>2758</v>
      </c>
      <c r="E1686" t="s">
        <v>4593</v>
      </c>
      <c r="F1686" t="s">
        <v>5563</v>
      </c>
      <c r="G1686" t="s">
        <v>5638</v>
      </c>
      <c r="H1686">
        <v>10022</v>
      </c>
      <c r="I1686" t="s">
        <v>5696</v>
      </c>
      <c r="J1686" t="s">
        <v>5696</v>
      </c>
      <c r="K1686" t="s">
        <v>6582</v>
      </c>
      <c r="L1686" t="s">
        <v>6714</v>
      </c>
      <c r="O1686" t="s">
        <v>6758</v>
      </c>
      <c r="P1686" t="s">
        <v>5697</v>
      </c>
      <c r="R1686" t="s">
        <v>6793</v>
      </c>
      <c r="U1686">
        <v>1105.67</v>
      </c>
      <c r="V1686" t="s">
        <v>6836</v>
      </c>
      <c r="W1686" t="s">
        <v>6845</v>
      </c>
      <c r="Y1686" t="s">
        <v>8427</v>
      </c>
      <c r="AA1686" t="s">
        <v>10462</v>
      </c>
      <c r="AB1686">
        <v>120</v>
      </c>
      <c r="AC1686" t="s">
        <v>10929</v>
      </c>
      <c r="AD1686" t="s">
        <v>10945</v>
      </c>
      <c r="AE1686">
        <v>49</v>
      </c>
      <c r="AF1686">
        <v>1</v>
      </c>
      <c r="AG1686">
        <v>0</v>
      </c>
      <c r="AH1686">
        <v>141.55</v>
      </c>
      <c r="AK1686" t="s">
        <v>10966</v>
      </c>
      <c r="AL1686">
        <v>17680</v>
      </c>
      <c r="AR1686">
        <v>11.35</v>
      </c>
      <c r="AS1686" t="s">
        <v>6824</v>
      </c>
      <c r="AT1686" t="s">
        <v>11180</v>
      </c>
      <c r="AV1686" t="s">
        <v>11231</v>
      </c>
      <c r="AW1686" t="s">
        <v>11139</v>
      </c>
    </row>
    <row r="1687" spans="1:49">
      <c r="A1687" s="1">
        <f>HYPERLINK("https://lsnyc.legalserver.org/matter/dynamic-profile/view/1899535","19-1899535")</f>
        <v>0</v>
      </c>
      <c r="B1687" t="s">
        <v>192</v>
      </c>
      <c r="C1687" t="s">
        <v>668</v>
      </c>
      <c r="D1687" t="s">
        <v>1251</v>
      </c>
      <c r="E1687" t="s">
        <v>4594</v>
      </c>
      <c r="F1687" t="s">
        <v>5564</v>
      </c>
      <c r="G1687" t="s">
        <v>5635</v>
      </c>
      <c r="H1687">
        <v>10453</v>
      </c>
      <c r="I1687" t="s">
        <v>5695</v>
      </c>
      <c r="J1687" t="s">
        <v>5696</v>
      </c>
      <c r="K1687" t="s">
        <v>6583</v>
      </c>
      <c r="L1687" t="s">
        <v>6714</v>
      </c>
      <c r="O1687" t="s">
        <v>6747</v>
      </c>
      <c r="P1687" t="s">
        <v>5697</v>
      </c>
      <c r="R1687" t="s">
        <v>6793</v>
      </c>
      <c r="U1687">
        <v>1078</v>
      </c>
      <c r="V1687" t="s">
        <v>6833</v>
      </c>
      <c r="Y1687" t="s">
        <v>8428</v>
      </c>
      <c r="AA1687" t="s">
        <v>10463</v>
      </c>
      <c r="AB1687">
        <v>0</v>
      </c>
      <c r="AD1687" t="s">
        <v>10944</v>
      </c>
      <c r="AE1687">
        <v>22</v>
      </c>
      <c r="AF1687">
        <v>1</v>
      </c>
      <c r="AG1687">
        <v>1</v>
      </c>
      <c r="AH1687">
        <v>78.06</v>
      </c>
      <c r="AK1687" t="s">
        <v>10966</v>
      </c>
      <c r="AL1687">
        <v>13200</v>
      </c>
      <c r="AR1687">
        <v>1.7</v>
      </c>
      <c r="AS1687" t="s">
        <v>11143</v>
      </c>
      <c r="AT1687" t="s">
        <v>288</v>
      </c>
      <c r="AU1687" t="s">
        <v>11228</v>
      </c>
      <c r="AV1687" t="s">
        <v>11231</v>
      </c>
      <c r="AW1687" t="s">
        <v>11158</v>
      </c>
    </row>
    <row r="1688" spans="1:49">
      <c r="A1688" s="1">
        <f>HYPERLINK("https://lsnyc.legalserver.org/matter/dynamic-profile/view/1904142","19-1904142")</f>
        <v>0</v>
      </c>
      <c r="B1688" t="s">
        <v>278</v>
      </c>
      <c r="C1688" t="s">
        <v>438</v>
      </c>
      <c r="D1688" t="s">
        <v>2759</v>
      </c>
      <c r="E1688" t="s">
        <v>4595</v>
      </c>
      <c r="F1688" t="s">
        <v>5189</v>
      </c>
      <c r="G1688" t="s">
        <v>5637</v>
      </c>
      <c r="H1688">
        <v>11230</v>
      </c>
      <c r="I1688" t="s">
        <v>5696</v>
      </c>
      <c r="J1688" t="s">
        <v>5696</v>
      </c>
      <c r="K1688" t="s">
        <v>6584</v>
      </c>
      <c r="L1688" t="s">
        <v>6714</v>
      </c>
      <c r="O1688" t="s">
        <v>6748</v>
      </c>
      <c r="R1688" t="s">
        <v>6793</v>
      </c>
      <c r="U1688">
        <v>538</v>
      </c>
      <c r="V1688" t="s">
        <v>6835</v>
      </c>
      <c r="W1688" t="s">
        <v>6839</v>
      </c>
      <c r="Y1688" t="s">
        <v>8429</v>
      </c>
      <c r="AA1688" t="s">
        <v>10464</v>
      </c>
      <c r="AB1688">
        <v>200</v>
      </c>
      <c r="AC1688" t="s">
        <v>10929</v>
      </c>
      <c r="AD1688" t="s">
        <v>5741</v>
      </c>
      <c r="AE1688">
        <v>30</v>
      </c>
      <c r="AF1688">
        <v>1</v>
      </c>
      <c r="AG1688">
        <v>0</v>
      </c>
      <c r="AH1688">
        <v>76.86</v>
      </c>
      <c r="AK1688" t="s">
        <v>10966</v>
      </c>
      <c r="AL1688">
        <v>9600</v>
      </c>
      <c r="AR1688">
        <v>0.95</v>
      </c>
      <c r="AS1688" t="s">
        <v>6814</v>
      </c>
      <c r="AT1688" t="s">
        <v>11180</v>
      </c>
      <c r="AV1688" t="s">
        <v>11231</v>
      </c>
      <c r="AW1688" t="s">
        <v>6818</v>
      </c>
    </row>
    <row r="1689" spans="1:49">
      <c r="A1689" s="1">
        <f>HYPERLINK("https://lsnyc.legalserver.org/matter/dynamic-profile/view/1900943","19-1900943")</f>
        <v>0</v>
      </c>
      <c r="B1689" t="s">
        <v>152</v>
      </c>
      <c r="C1689" t="s">
        <v>423</v>
      </c>
      <c r="D1689" t="s">
        <v>1757</v>
      </c>
      <c r="E1689" t="s">
        <v>4596</v>
      </c>
      <c r="F1689" t="s">
        <v>5292</v>
      </c>
      <c r="G1689" t="s">
        <v>5635</v>
      </c>
      <c r="H1689">
        <v>10451</v>
      </c>
      <c r="I1689" t="s">
        <v>5696</v>
      </c>
      <c r="J1689" t="s">
        <v>5696</v>
      </c>
      <c r="K1689" t="s">
        <v>6585</v>
      </c>
      <c r="L1689" t="s">
        <v>6714</v>
      </c>
      <c r="O1689" t="s">
        <v>6772</v>
      </c>
      <c r="P1689" t="s">
        <v>5697</v>
      </c>
      <c r="R1689" t="s">
        <v>6797</v>
      </c>
      <c r="U1689">
        <v>792</v>
      </c>
      <c r="V1689" t="s">
        <v>6833</v>
      </c>
      <c r="W1689" t="s">
        <v>6841</v>
      </c>
      <c r="Y1689" t="s">
        <v>8430</v>
      </c>
      <c r="AA1689" t="s">
        <v>10465</v>
      </c>
      <c r="AB1689">
        <v>288</v>
      </c>
      <c r="AC1689" t="s">
        <v>10933</v>
      </c>
      <c r="AD1689" t="s">
        <v>5741</v>
      </c>
      <c r="AE1689">
        <v>5</v>
      </c>
      <c r="AF1689">
        <v>1</v>
      </c>
      <c r="AG1689">
        <v>0</v>
      </c>
      <c r="AH1689">
        <v>208.17</v>
      </c>
      <c r="AK1689" t="s">
        <v>10966</v>
      </c>
      <c r="AL1689">
        <v>26000</v>
      </c>
      <c r="AR1689">
        <v>5.05</v>
      </c>
      <c r="AS1689" t="s">
        <v>6814</v>
      </c>
      <c r="AT1689" t="s">
        <v>11180</v>
      </c>
      <c r="AV1689" t="s">
        <v>11231</v>
      </c>
      <c r="AW1689" t="s">
        <v>11120</v>
      </c>
    </row>
    <row r="1690" spans="1:49">
      <c r="A1690" s="1">
        <f>HYPERLINK("https://lsnyc.legalserver.org/matter/dynamic-profile/view/1905716","19-1905716")</f>
        <v>0</v>
      </c>
      <c r="B1690" t="s">
        <v>278</v>
      </c>
      <c r="C1690" t="s">
        <v>886</v>
      </c>
      <c r="D1690" t="s">
        <v>2760</v>
      </c>
      <c r="E1690" t="s">
        <v>4597</v>
      </c>
      <c r="F1690" t="s">
        <v>5215</v>
      </c>
      <c r="G1690" t="s">
        <v>5637</v>
      </c>
      <c r="H1690">
        <v>11203</v>
      </c>
      <c r="I1690" t="s">
        <v>5696</v>
      </c>
      <c r="J1690" t="s">
        <v>5696</v>
      </c>
      <c r="L1690" t="s">
        <v>6714</v>
      </c>
      <c r="O1690" t="s">
        <v>6748</v>
      </c>
      <c r="R1690" t="s">
        <v>6793</v>
      </c>
      <c r="U1690">
        <v>950</v>
      </c>
      <c r="V1690" t="s">
        <v>6835</v>
      </c>
      <c r="W1690" t="s">
        <v>6853</v>
      </c>
      <c r="Y1690" t="s">
        <v>8431</v>
      </c>
      <c r="AA1690" t="s">
        <v>10466</v>
      </c>
      <c r="AB1690">
        <v>3</v>
      </c>
      <c r="AE1690">
        <v>8</v>
      </c>
      <c r="AF1690">
        <v>1</v>
      </c>
      <c r="AG1690">
        <v>0</v>
      </c>
      <c r="AH1690">
        <v>187.35</v>
      </c>
      <c r="AK1690" t="s">
        <v>10966</v>
      </c>
      <c r="AL1690">
        <v>23400</v>
      </c>
      <c r="AR1690">
        <v>1</v>
      </c>
      <c r="AS1690" t="s">
        <v>6823</v>
      </c>
      <c r="AT1690" t="s">
        <v>11210</v>
      </c>
      <c r="AV1690" t="s">
        <v>11231</v>
      </c>
      <c r="AW1690" t="s">
        <v>6823</v>
      </c>
    </row>
    <row r="1691" spans="1:49">
      <c r="A1691" s="1">
        <f>HYPERLINK("https://lsnyc.legalserver.org/matter/dynamic-profile/view/1906058","19-1906058")</f>
        <v>0</v>
      </c>
      <c r="B1691" t="s">
        <v>130</v>
      </c>
      <c r="C1691" t="s">
        <v>1346</v>
      </c>
      <c r="D1691" t="s">
        <v>2723</v>
      </c>
      <c r="E1691" t="s">
        <v>4549</v>
      </c>
      <c r="F1691" t="s">
        <v>5554</v>
      </c>
      <c r="G1691" t="s">
        <v>5637</v>
      </c>
      <c r="H1691">
        <v>11233</v>
      </c>
      <c r="I1691" t="s">
        <v>5697</v>
      </c>
      <c r="J1691" t="s">
        <v>5696</v>
      </c>
      <c r="K1691" t="s">
        <v>6586</v>
      </c>
      <c r="L1691" t="s">
        <v>6714</v>
      </c>
      <c r="O1691" t="s">
        <v>6745</v>
      </c>
      <c r="P1691" t="s">
        <v>5697</v>
      </c>
      <c r="R1691" t="s">
        <v>6793</v>
      </c>
      <c r="S1691" t="s">
        <v>6802</v>
      </c>
      <c r="U1691">
        <v>1100.06</v>
      </c>
      <c r="V1691" t="s">
        <v>6835</v>
      </c>
      <c r="W1691" t="s">
        <v>6847</v>
      </c>
      <c r="Y1691" t="s">
        <v>8383</v>
      </c>
      <c r="Z1691" t="s">
        <v>8953</v>
      </c>
      <c r="AA1691" t="s">
        <v>10419</v>
      </c>
      <c r="AB1691">
        <v>43</v>
      </c>
      <c r="AC1691" t="s">
        <v>10929</v>
      </c>
      <c r="AD1691" t="s">
        <v>5741</v>
      </c>
      <c r="AE1691">
        <v>45</v>
      </c>
      <c r="AF1691">
        <v>3</v>
      </c>
      <c r="AG1691">
        <v>0</v>
      </c>
      <c r="AH1691">
        <v>110.15</v>
      </c>
      <c r="AK1691" t="s">
        <v>10966</v>
      </c>
      <c r="AL1691">
        <v>23496</v>
      </c>
      <c r="AR1691">
        <v>0</v>
      </c>
      <c r="AT1691" t="s">
        <v>69</v>
      </c>
      <c r="AU1691" t="s">
        <v>5741</v>
      </c>
      <c r="AV1691" t="s">
        <v>11231</v>
      </c>
      <c r="AW1691" t="s">
        <v>6820</v>
      </c>
    </row>
    <row r="1692" spans="1:49">
      <c r="A1692" s="1">
        <f>HYPERLINK("https://lsnyc.legalserver.org/matter/dynamic-profile/view/1898776","19-1898776")</f>
        <v>0</v>
      </c>
      <c r="B1692" t="s">
        <v>155</v>
      </c>
      <c r="C1692" t="s">
        <v>398</v>
      </c>
      <c r="D1692" t="s">
        <v>2307</v>
      </c>
      <c r="E1692" t="s">
        <v>4598</v>
      </c>
      <c r="F1692" t="s">
        <v>5105</v>
      </c>
      <c r="G1692" t="s">
        <v>5637</v>
      </c>
      <c r="H1692">
        <v>11212</v>
      </c>
      <c r="I1692" t="s">
        <v>5697</v>
      </c>
      <c r="J1692" t="s">
        <v>5697</v>
      </c>
      <c r="K1692" t="s">
        <v>6587</v>
      </c>
      <c r="L1692" t="s">
        <v>6714</v>
      </c>
      <c r="O1692" t="s">
        <v>6745</v>
      </c>
      <c r="P1692" t="s">
        <v>5697</v>
      </c>
      <c r="R1692" t="s">
        <v>6793</v>
      </c>
      <c r="S1692" t="s">
        <v>6801</v>
      </c>
      <c r="U1692">
        <v>402</v>
      </c>
      <c r="V1692" t="s">
        <v>6835</v>
      </c>
      <c r="W1692" t="s">
        <v>6849</v>
      </c>
      <c r="Y1692" t="s">
        <v>8432</v>
      </c>
      <c r="Z1692" t="s">
        <v>9068</v>
      </c>
      <c r="AA1692" t="s">
        <v>10467</v>
      </c>
      <c r="AB1692">
        <v>24</v>
      </c>
      <c r="AC1692" t="s">
        <v>10934</v>
      </c>
      <c r="AD1692" t="s">
        <v>10944</v>
      </c>
      <c r="AE1692">
        <v>34</v>
      </c>
      <c r="AF1692">
        <v>1</v>
      </c>
      <c r="AG1692">
        <v>0</v>
      </c>
      <c r="AH1692">
        <v>36.61</v>
      </c>
      <c r="AK1692" t="s">
        <v>10966</v>
      </c>
      <c r="AL1692">
        <v>4572</v>
      </c>
      <c r="AR1692">
        <v>0.2</v>
      </c>
      <c r="AS1692" t="s">
        <v>11169</v>
      </c>
      <c r="AT1692" t="s">
        <v>69</v>
      </c>
      <c r="AV1692" t="s">
        <v>11231</v>
      </c>
      <c r="AW1692" t="s">
        <v>11152</v>
      </c>
    </row>
    <row r="1693" spans="1:49">
      <c r="A1693" s="1">
        <f>HYPERLINK("https://lsnyc.legalserver.org/matter/dynamic-profile/view/1905507","19-1905507")</f>
        <v>0</v>
      </c>
      <c r="B1693" t="s">
        <v>101</v>
      </c>
      <c r="C1693" t="s">
        <v>1376</v>
      </c>
      <c r="D1693" t="s">
        <v>1862</v>
      </c>
      <c r="E1693" t="s">
        <v>4599</v>
      </c>
      <c r="F1693" t="s">
        <v>5206</v>
      </c>
      <c r="G1693" t="s">
        <v>5636</v>
      </c>
      <c r="H1693">
        <v>10304</v>
      </c>
      <c r="I1693" t="s">
        <v>5696</v>
      </c>
      <c r="J1693" t="s">
        <v>5696</v>
      </c>
      <c r="K1693" t="s">
        <v>6588</v>
      </c>
      <c r="L1693" t="s">
        <v>6714</v>
      </c>
      <c r="O1693" t="s">
        <v>6745</v>
      </c>
      <c r="P1693" t="s">
        <v>5697</v>
      </c>
      <c r="R1693" t="s">
        <v>6793</v>
      </c>
      <c r="S1693" t="s">
        <v>6801</v>
      </c>
      <c r="U1693">
        <v>500</v>
      </c>
      <c r="V1693" t="s">
        <v>6834</v>
      </c>
      <c r="W1693" t="s">
        <v>6839</v>
      </c>
      <c r="Y1693" t="s">
        <v>8433</v>
      </c>
      <c r="AA1693" t="s">
        <v>10468</v>
      </c>
      <c r="AB1693">
        <v>361</v>
      </c>
      <c r="AC1693" t="s">
        <v>10929</v>
      </c>
      <c r="AD1693" t="s">
        <v>5741</v>
      </c>
      <c r="AE1693">
        <v>11</v>
      </c>
      <c r="AF1693">
        <v>1</v>
      </c>
      <c r="AG1693">
        <v>1</v>
      </c>
      <c r="AH1693">
        <v>92.25</v>
      </c>
      <c r="AK1693" t="s">
        <v>10966</v>
      </c>
      <c r="AL1693">
        <v>15600</v>
      </c>
      <c r="AR1693">
        <v>0.7</v>
      </c>
      <c r="AS1693" t="s">
        <v>6819</v>
      </c>
      <c r="AT1693" t="s">
        <v>11177</v>
      </c>
      <c r="AV1693" t="s">
        <v>11231</v>
      </c>
      <c r="AW1693" t="s">
        <v>6819</v>
      </c>
    </row>
    <row r="1694" spans="1:49">
      <c r="A1694" s="1">
        <f>HYPERLINK("https://lsnyc.legalserver.org/matter/dynamic-profile/view/1900379","19-1900379")</f>
        <v>0</v>
      </c>
      <c r="B1694" t="s">
        <v>101</v>
      </c>
      <c r="C1694" t="s">
        <v>646</v>
      </c>
      <c r="D1694" t="s">
        <v>2444</v>
      </c>
      <c r="E1694" t="s">
        <v>4136</v>
      </c>
      <c r="F1694" t="s">
        <v>5243</v>
      </c>
      <c r="G1694" t="s">
        <v>5636</v>
      </c>
      <c r="H1694">
        <v>10307</v>
      </c>
      <c r="I1694" t="s">
        <v>5695</v>
      </c>
      <c r="J1694" t="s">
        <v>5696</v>
      </c>
      <c r="K1694" t="s">
        <v>6589</v>
      </c>
      <c r="L1694" t="s">
        <v>6714</v>
      </c>
      <c r="O1694" t="s">
        <v>6751</v>
      </c>
      <c r="P1694" t="s">
        <v>5697</v>
      </c>
      <c r="R1694" t="s">
        <v>6793</v>
      </c>
      <c r="S1694" t="s">
        <v>6801</v>
      </c>
      <c r="U1694">
        <v>750</v>
      </c>
      <c r="V1694" t="s">
        <v>6834</v>
      </c>
      <c r="W1694" t="s">
        <v>6841</v>
      </c>
      <c r="Y1694" t="s">
        <v>7954</v>
      </c>
      <c r="AA1694" t="s">
        <v>9991</v>
      </c>
      <c r="AB1694">
        <v>2</v>
      </c>
      <c r="AC1694" t="s">
        <v>10930</v>
      </c>
      <c r="AD1694" t="s">
        <v>5741</v>
      </c>
      <c r="AE1694">
        <v>6</v>
      </c>
      <c r="AF1694">
        <v>1</v>
      </c>
      <c r="AG1694">
        <v>0</v>
      </c>
      <c r="AH1694">
        <v>99.34</v>
      </c>
      <c r="AK1694" t="s">
        <v>10966</v>
      </c>
      <c r="AL1694">
        <v>12408</v>
      </c>
      <c r="AR1694">
        <v>3.95</v>
      </c>
      <c r="AS1694" t="s">
        <v>11161</v>
      </c>
      <c r="AT1694" t="s">
        <v>11177</v>
      </c>
      <c r="AU1694" t="s">
        <v>11228</v>
      </c>
      <c r="AV1694" t="s">
        <v>11231</v>
      </c>
      <c r="AW1694" t="s">
        <v>11124</v>
      </c>
    </row>
    <row r="1695" spans="1:49">
      <c r="A1695" s="1">
        <f>HYPERLINK("https://lsnyc.legalserver.org/matter/dynamic-profile/view/1903982","19-1903982")</f>
        <v>0</v>
      </c>
      <c r="B1695" t="s">
        <v>202</v>
      </c>
      <c r="C1695" t="s">
        <v>574</v>
      </c>
      <c r="D1695" t="s">
        <v>2761</v>
      </c>
      <c r="E1695" t="s">
        <v>4600</v>
      </c>
      <c r="F1695" t="s">
        <v>5215</v>
      </c>
      <c r="G1695" t="s">
        <v>5635</v>
      </c>
      <c r="H1695">
        <v>10468</v>
      </c>
      <c r="I1695" t="s">
        <v>5695</v>
      </c>
      <c r="J1695" t="s">
        <v>5696</v>
      </c>
      <c r="K1695" t="s">
        <v>6590</v>
      </c>
      <c r="L1695" t="s">
        <v>6714</v>
      </c>
      <c r="O1695" t="s">
        <v>6763</v>
      </c>
      <c r="P1695" t="s">
        <v>5697</v>
      </c>
      <c r="R1695" t="s">
        <v>6793</v>
      </c>
      <c r="U1695">
        <v>1390.15</v>
      </c>
      <c r="V1695" t="s">
        <v>6833</v>
      </c>
      <c r="W1695" t="s">
        <v>6840</v>
      </c>
      <c r="Y1695" t="s">
        <v>8434</v>
      </c>
      <c r="AA1695" t="s">
        <v>10469</v>
      </c>
      <c r="AB1695">
        <v>82</v>
      </c>
      <c r="AC1695" t="s">
        <v>10929</v>
      </c>
      <c r="AD1695" t="s">
        <v>5741</v>
      </c>
      <c r="AE1695">
        <v>30</v>
      </c>
      <c r="AF1695">
        <v>2</v>
      </c>
      <c r="AG1695">
        <v>0</v>
      </c>
      <c r="AH1695">
        <v>384.39</v>
      </c>
      <c r="AK1695" t="s">
        <v>10966</v>
      </c>
      <c r="AL1695">
        <v>65000</v>
      </c>
      <c r="AR1695">
        <v>2</v>
      </c>
      <c r="AS1695" t="s">
        <v>6815</v>
      </c>
      <c r="AT1695" t="s">
        <v>219</v>
      </c>
      <c r="AU1695" t="s">
        <v>11228</v>
      </c>
      <c r="AV1695" t="s">
        <v>11231</v>
      </c>
      <c r="AW1695" t="s">
        <v>11139</v>
      </c>
    </row>
    <row r="1696" spans="1:49">
      <c r="A1696" s="1">
        <f>HYPERLINK("https://lsnyc.legalserver.org/matter/dynamic-profile/view/1904811","19-1904811")</f>
        <v>0</v>
      </c>
      <c r="B1696" t="s">
        <v>203</v>
      </c>
      <c r="C1696" t="s">
        <v>1377</v>
      </c>
      <c r="D1696" t="s">
        <v>2762</v>
      </c>
      <c r="E1696" t="s">
        <v>4601</v>
      </c>
      <c r="F1696" t="s">
        <v>5445</v>
      </c>
      <c r="G1696" t="s">
        <v>5635</v>
      </c>
      <c r="H1696">
        <v>10467</v>
      </c>
      <c r="I1696" t="s">
        <v>5695</v>
      </c>
      <c r="J1696" t="s">
        <v>5696</v>
      </c>
      <c r="K1696" t="s">
        <v>6591</v>
      </c>
      <c r="L1696" t="s">
        <v>6714</v>
      </c>
      <c r="O1696" t="s">
        <v>6763</v>
      </c>
      <c r="P1696" t="s">
        <v>5697</v>
      </c>
      <c r="R1696" t="s">
        <v>6793</v>
      </c>
      <c r="U1696">
        <v>1560</v>
      </c>
      <c r="V1696" t="s">
        <v>6833</v>
      </c>
      <c r="W1696" t="s">
        <v>6840</v>
      </c>
      <c r="Y1696" t="s">
        <v>8435</v>
      </c>
      <c r="AA1696" t="s">
        <v>10470</v>
      </c>
      <c r="AB1696">
        <v>0</v>
      </c>
      <c r="AC1696" t="s">
        <v>10930</v>
      </c>
      <c r="AD1696" t="s">
        <v>10944</v>
      </c>
      <c r="AE1696">
        <v>1</v>
      </c>
      <c r="AF1696">
        <v>1</v>
      </c>
      <c r="AG1696">
        <v>1</v>
      </c>
      <c r="AH1696">
        <v>165.58</v>
      </c>
      <c r="AK1696" t="s">
        <v>10966</v>
      </c>
      <c r="AL1696">
        <v>28000</v>
      </c>
      <c r="AR1696">
        <v>2.5</v>
      </c>
      <c r="AS1696" t="s">
        <v>6812</v>
      </c>
      <c r="AT1696" t="s">
        <v>11179</v>
      </c>
      <c r="AU1696" t="s">
        <v>11228</v>
      </c>
      <c r="AV1696" t="s">
        <v>11231</v>
      </c>
      <c r="AW1696" t="s">
        <v>6816</v>
      </c>
    </row>
    <row r="1697" spans="1:49">
      <c r="A1697" s="1">
        <f>HYPERLINK("https://lsnyc.legalserver.org/matter/dynamic-profile/view/1906203","19-1906203")</f>
        <v>0</v>
      </c>
      <c r="B1697" t="s">
        <v>211</v>
      </c>
      <c r="C1697" t="s">
        <v>945</v>
      </c>
      <c r="D1697" t="s">
        <v>1867</v>
      </c>
      <c r="E1697" t="s">
        <v>4602</v>
      </c>
      <c r="F1697" t="s">
        <v>5128</v>
      </c>
      <c r="G1697" t="s">
        <v>5635</v>
      </c>
      <c r="H1697">
        <v>10457</v>
      </c>
      <c r="I1697" t="s">
        <v>5696</v>
      </c>
      <c r="J1697" t="s">
        <v>5696</v>
      </c>
      <c r="K1697" t="s">
        <v>6592</v>
      </c>
      <c r="L1697" t="s">
        <v>6714</v>
      </c>
      <c r="O1697" t="s">
        <v>6748</v>
      </c>
      <c r="R1697" t="s">
        <v>6793</v>
      </c>
      <c r="U1697">
        <v>1108</v>
      </c>
      <c r="V1697" t="s">
        <v>6833</v>
      </c>
      <c r="Y1697" t="s">
        <v>7161</v>
      </c>
      <c r="AA1697" t="s">
        <v>10471</v>
      </c>
      <c r="AB1697">
        <v>20</v>
      </c>
      <c r="AD1697" t="s">
        <v>10946</v>
      </c>
      <c r="AE1697">
        <v>5</v>
      </c>
      <c r="AF1697">
        <v>1</v>
      </c>
      <c r="AG1697">
        <v>2</v>
      </c>
      <c r="AH1697">
        <v>115.9</v>
      </c>
      <c r="AK1697" t="s">
        <v>10966</v>
      </c>
      <c r="AL1697">
        <v>24722</v>
      </c>
      <c r="AR1697">
        <v>0.9</v>
      </c>
      <c r="AS1697" t="s">
        <v>6821</v>
      </c>
      <c r="AT1697" t="s">
        <v>11192</v>
      </c>
      <c r="AV1697" t="s">
        <v>11231</v>
      </c>
      <c r="AW1697" t="s">
        <v>6821</v>
      </c>
    </row>
    <row r="1698" spans="1:49">
      <c r="A1698" s="1">
        <f>HYPERLINK("https://lsnyc.legalserver.org/matter/dynamic-profile/view/1899921","19-1899921")</f>
        <v>0</v>
      </c>
      <c r="B1698" t="s">
        <v>87</v>
      </c>
      <c r="C1698" t="s">
        <v>1378</v>
      </c>
      <c r="D1698" t="s">
        <v>2041</v>
      </c>
      <c r="E1698" t="s">
        <v>4603</v>
      </c>
      <c r="F1698" t="s">
        <v>5565</v>
      </c>
      <c r="G1698" t="s">
        <v>5637</v>
      </c>
      <c r="H1698">
        <v>11226</v>
      </c>
      <c r="I1698" t="s">
        <v>5696</v>
      </c>
      <c r="J1698" t="s">
        <v>5696</v>
      </c>
      <c r="K1698" t="s">
        <v>6593</v>
      </c>
      <c r="L1698" t="s">
        <v>6714</v>
      </c>
      <c r="O1698" t="s">
        <v>6745</v>
      </c>
      <c r="P1698" t="s">
        <v>5695</v>
      </c>
      <c r="R1698" t="s">
        <v>6793</v>
      </c>
      <c r="U1698">
        <v>771.66</v>
      </c>
      <c r="V1698" t="s">
        <v>6835</v>
      </c>
      <c r="W1698" t="s">
        <v>6843</v>
      </c>
      <c r="Y1698" t="s">
        <v>8436</v>
      </c>
      <c r="Z1698">
        <v>35037572</v>
      </c>
      <c r="AA1698" t="s">
        <v>10472</v>
      </c>
      <c r="AB1698">
        <v>16</v>
      </c>
      <c r="AC1698" t="s">
        <v>10929</v>
      </c>
      <c r="AE1698">
        <v>36</v>
      </c>
      <c r="AF1698">
        <v>4</v>
      </c>
      <c r="AG1698">
        <v>1</v>
      </c>
      <c r="AH1698">
        <v>76.23</v>
      </c>
      <c r="AK1698" t="s">
        <v>10966</v>
      </c>
      <c r="AL1698">
        <v>23000</v>
      </c>
      <c r="AR1698">
        <v>7.1</v>
      </c>
      <c r="AS1698" t="s">
        <v>6823</v>
      </c>
      <c r="AT1698" t="s">
        <v>11204</v>
      </c>
      <c r="AV1698" t="s">
        <v>11231</v>
      </c>
      <c r="AW1698" t="s">
        <v>11132</v>
      </c>
    </row>
    <row r="1699" spans="1:49">
      <c r="A1699" s="1">
        <f>HYPERLINK("https://lsnyc.legalserver.org/matter/dynamic-profile/view/1898627","19-1898627")</f>
        <v>0</v>
      </c>
      <c r="B1699" t="s">
        <v>109</v>
      </c>
      <c r="C1699" t="s">
        <v>1379</v>
      </c>
      <c r="D1699" t="s">
        <v>2763</v>
      </c>
      <c r="E1699" t="s">
        <v>4604</v>
      </c>
      <c r="F1699" t="s">
        <v>5110</v>
      </c>
      <c r="G1699" t="s">
        <v>5635</v>
      </c>
      <c r="H1699">
        <v>10461</v>
      </c>
      <c r="I1699" t="s">
        <v>5695</v>
      </c>
      <c r="J1699" t="s">
        <v>5695</v>
      </c>
      <c r="K1699" t="s">
        <v>6594</v>
      </c>
      <c r="L1699" t="s">
        <v>6714</v>
      </c>
      <c r="O1699" t="s">
        <v>6747</v>
      </c>
      <c r="P1699" t="s">
        <v>5697</v>
      </c>
      <c r="R1699" t="s">
        <v>6793</v>
      </c>
      <c r="U1699">
        <v>0</v>
      </c>
      <c r="V1699" t="s">
        <v>6833</v>
      </c>
      <c r="W1699" t="s">
        <v>6839</v>
      </c>
      <c r="Y1699" t="s">
        <v>8437</v>
      </c>
      <c r="Z1699" t="s">
        <v>9069</v>
      </c>
      <c r="AA1699" t="s">
        <v>10473</v>
      </c>
      <c r="AB1699">
        <v>6</v>
      </c>
      <c r="AC1699" t="s">
        <v>10931</v>
      </c>
      <c r="AD1699" t="s">
        <v>10944</v>
      </c>
      <c r="AE1699">
        <v>0</v>
      </c>
      <c r="AF1699">
        <v>1</v>
      </c>
      <c r="AG1699">
        <v>0</v>
      </c>
      <c r="AH1699">
        <v>55.44</v>
      </c>
      <c r="AK1699" t="s">
        <v>10966</v>
      </c>
      <c r="AL1699">
        <v>6924</v>
      </c>
      <c r="AM1699" t="s">
        <v>11077</v>
      </c>
      <c r="AR1699">
        <v>1.25</v>
      </c>
      <c r="AS1699" t="s">
        <v>11134</v>
      </c>
      <c r="AT1699" t="s">
        <v>11179</v>
      </c>
      <c r="AU1699" t="s">
        <v>11229</v>
      </c>
      <c r="AV1699" t="s">
        <v>11231</v>
      </c>
      <c r="AW1699" t="s">
        <v>11152</v>
      </c>
    </row>
    <row r="1700" spans="1:49">
      <c r="A1700" s="1">
        <f>HYPERLINK("https://lsnyc.legalserver.org/matter/dynamic-profile/view/1903031","19-1903031")</f>
        <v>0</v>
      </c>
      <c r="B1700" t="s">
        <v>155</v>
      </c>
      <c r="C1700" t="s">
        <v>1380</v>
      </c>
      <c r="D1700" t="s">
        <v>2175</v>
      </c>
      <c r="E1700" t="s">
        <v>4605</v>
      </c>
      <c r="F1700">
        <v>318</v>
      </c>
      <c r="G1700" t="s">
        <v>5637</v>
      </c>
      <c r="H1700">
        <v>11208</v>
      </c>
      <c r="I1700" t="s">
        <v>5697</v>
      </c>
      <c r="J1700" t="s">
        <v>5696</v>
      </c>
      <c r="K1700" t="s">
        <v>6595</v>
      </c>
      <c r="L1700" t="s">
        <v>6714</v>
      </c>
      <c r="O1700" t="s">
        <v>6745</v>
      </c>
      <c r="P1700" t="s">
        <v>5697</v>
      </c>
      <c r="R1700" t="s">
        <v>6793</v>
      </c>
      <c r="U1700">
        <v>1348</v>
      </c>
      <c r="V1700" t="s">
        <v>6835</v>
      </c>
      <c r="W1700" t="s">
        <v>6843</v>
      </c>
      <c r="Y1700" t="s">
        <v>8438</v>
      </c>
      <c r="Z1700" t="s">
        <v>9070</v>
      </c>
      <c r="AA1700" t="s">
        <v>10474</v>
      </c>
      <c r="AB1700">
        <v>323</v>
      </c>
      <c r="AC1700" t="s">
        <v>10929</v>
      </c>
      <c r="AD1700" t="s">
        <v>10949</v>
      </c>
      <c r="AE1700">
        <v>0</v>
      </c>
      <c r="AF1700">
        <v>1</v>
      </c>
      <c r="AG1700">
        <v>0</v>
      </c>
      <c r="AH1700">
        <v>0</v>
      </c>
      <c r="AK1700" t="s">
        <v>10966</v>
      </c>
      <c r="AL1700">
        <v>0</v>
      </c>
      <c r="AR1700">
        <v>1.2</v>
      </c>
      <c r="AS1700" t="s">
        <v>10953</v>
      </c>
      <c r="AT1700" t="s">
        <v>67</v>
      </c>
      <c r="AV1700" t="s">
        <v>11231</v>
      </c>
      <c r="AW1700" t="s">
        <v>11138</v>
      </c>
    </row>
    <row r="1701" spans="1:49">
      <c r="A1701" s="1">
        <f>HYPERLINK("https://lsnyc.legalserver.org/matter/dynamic-profile/view/1905695","19-1905695")</f>
        <v>0</v>
      </c>
      <c r="B1701" t="s">
        <v>185</v>
      </c>
      <c r="C1701" t="s">
        <v>1381</v>
      </c>
      <c r="D1701" t="s">
        <v>2764</v>
      </c>
      <c r="E1701" t="s">
        <v>4606</v>
      </c>
      <c r="F1701" t="s">
        <v>5361</v>
      </c>
      <c r="G1701" t="s">
        <v>5635</v>
      </c>
      <c r="H1701">
        <v>10468</v>
      </c>
      <c r="I1701" t="s">
        <v>5695</v>
      </c>
      <c r="J1701" t="s">
        <v>5696</v>
      </c>
      <c r="K1701" t="s">
        <v>6596</v>
      </c>
      <c r="L1701" t="s">
        <v>6714</v>
      </c>
      <c r="O1701" t="s">
        <v>6763</v>
      </c>
      <c r="P1701" t="s">
        <v>5697</v>
      </c>
      <c r="R1701" t="s">
        <v>6793</v>
      </c>
      <c r="U1701">
        <v>1541.18</v>
      </c>
      <c r="V1701" t="s">
        <v>6833</v>
      </c>
      <c r="W1701" t="s">
        <v>6840</v>
      </c>
      <c r="Y1701" t="s">
        <v>8439</v>
      </c>
      <c r="AA1701" t="s">
        <v>10475</v>
      </c>
      <c r="AB1701">
        <v>0</v>
      </c>
      <c r="AC1701" t="s">
        <v>10929</v>
      </c>
      <c r="AD1701" t="s">
        <v>5741</v>
      </c>
      <c r="AE1701">
        <v>7</v>
      </c>
      <c r="AF1701">
        <v>1</v>
      </c>
      <c r="AG1701">
        <v>0</v>
      </c>
      <c r="AH1701">
        <v>0</v>
      </c>
      <c r="AK1701" t="s">
        <v>10966</v>
      </c>
      <c r="AL1701">
        <v>0</v>
      </c>
      <c r="AR1701">
        <v>0.5</v>
      </c>
      <c r="AS1701" t="s">
        <v>6823</v>
      </c>
      <c r="AT1701" t="s">
        <v>11179</v>
      </c>
      <c r="AU1701" t="s">
        <v>11228</v>
      </c>
      <c r="AV1701" t="s">
        <v>11231</v>
      </c>
      <c r="AW1701" t="s">
        <v>6823</v>
      </c>
    </row>
    <row r="1702" spans="1:49">
      <c r="A1702" s="1">
        <f>HYPERLINK("https://lsnyc.legalserver.org/matter/dynamic-profile/view/1895757","19-1895757")</f>
        <v>0</v>
      </c>
      <c r="B1702" t="s">
        <v>101</v>
      </c>
      <c r="C1702" t="s">
        <v>1314</v>
      </c>
      <c r="D1702" t="s">
        <v>2765</v>
      </c>
      <c r="E1702" t="s">
        <v>4607</v>
      </c>
      <c r="F1702" t="s">
        <v>5400</v>
      </c>
      <c r="G1702" t="s">
        <v>5636</v>
      </c>
      <c r="H1702">
        <v>10304</v>
      </c>
      <c r="I1702" t="s">
        <v>5696</v>
      </c>
      <c r="J1702" t="s">
        <v>5696</v>
      </c>
      <c r="K1702" t="s">
        <v>6597</v>
      </c>
      <c r="L1702" t="s">
        <v>6714</v>
      </c>
      <c r="O1702" t="s">
        <v>6745</v>
      </c>
      <c r="P1702" t="s">
        <v>5697</v>
      </c>
      <c r="R1702" t="s">
        <v>6793</v>
      </c>
      <c r="S1702" t="s">
        <v>6801</v>
      </c>
      <c r="U1702">
        <v>1200</v>
      </c>
      <c r="V1702" t="s">
        <v>6834</v>
      </c>
      <c r="W1702" t="s">
        <v>6839</v>
      </c>
      <c r="Y1702" t="s">
        <v>8440</v>
      </c>
      <c r="AA1702" t="s">
        <v>10476</v>
      </c>
      <c r="AB1702">
        <v>0</v>
      </c>
      <c r="AC1702" t="s">
        <v>10934</v>
      </c>
      <c r="AD1702" t="s">
        <v>10944</v>
      </c>
      <c r="AE1702">
        <v>11</v>
      </c>
      <c r="AF1702">
        <v>1</v>
      </c>
      <c r="AG1702">
        <v>0</v>
      </c>
      <c r="AH1702">
        <v>145.72</v>
      </c>
      <c r="AK1702" t="s">
        <v>10966</v>
      </c>
      <c r="AL1702">
        <v>18200</v>
      </c>
      <c r="AR1702">
        <v>7.8</v>
      </c>
      <c r="AS1702" t="s">
        <v>6819</v>
      </c>
      <c r="AT1702" t="s">
        <v>11225</v>
      </c>
      <c r="AV1702" t="s">
        <v>11231</v>
      </c>
      <c r="AW1702" t="s">
        <v>11130</v>
      </c>
    </row>
    <row r="1703" spans="1:49">
      <c r="A1703" s="1">
        <f>HYPERLINK("https://lsnyc.legalserver.org/matter/dynamic-profile/view/1905185","19-1905185")</f>
        <v>0</v>
      </c>
      <c r="B1703" t="s">
        <v>136</v>
      </c>
      <c r="C1703" t="s">
        <v>450</v>
      </c>
      <c r="D1703" t="s">
        <v>2766</v>
      </c>
      <c r="E1703" t="s">
        <v>4608</v>
      </c>
      <c r="F1703" t="s">
        <v>5315</v>
      </c>
      <c r="G1703" t="s">
        <v>5637</v>
      </c>
      <c r="H1703">
        <v>11210</v>
      </c>
      <c r="I1703" t="s">
        <v>5696</v>
      </c>
      <c r="J1703" t="s">
        <v>5696</v>
      </c>
      <c r="L1703" t="s">
        <v>6714</v>
      </c>
      <c r="O1703" t="s">
        <v>6771</v>
      </c>
      <c r="R1703" t="s">
        <v>6793</v>
      </c>
      <c r="U1703">
        <v>0</v>
      </c>
      <c r="V1703" t="s">
        <v>6835</v>
      </c>
      <c r="Y1703" t="s">
        <v>8441</v>
      </c>
      <c r="AA1703" t="s">
        <v>10477</v>
      </c>
      <c r="AB1703">
        <v>0</v>
      </c>
      <c r="AE1703">
        <v>0</v>
      </c>
      <c r="AF1703">
        <v>3</v>
      </c>
      <c r="AG1703">
        <v>2</v>
      </c>
      <c r="AH1703">
        <v>71.79000000000001</v>
      </c>
      <c r="AK1703" t="s">
        <v>10966</v>
      </c>
      <c r="AL1703">
        <v>21660</v>
      </c>
      <c r="AR1703">
        <v>0.25</v>
      </c>
      <c r="AS1703" t="s">
        <v>6808</v>
      </c>
      <c r="AT1703" t="s">
        <v>11214</v>
      </c>
      <c r="AV1703" t="s">
        <v>11231</v>
      </c>
      <c r="AW1703" t="s">
        <v>6808</v>
      </c>
    </row>
    <row r="1704" spans="1:49">
      <c r="A1704" s="1">
        <f>HYPERLINK("https://lsnyc.legalserver.org/matter/dynamic-profile/view/1899796","19-1899796")</f>
        <v>0</v>
      </c>
      <c r="B1704" t="s">
        <v>72</v>
      </c>
      <c r="C1704" t="s">
        <v>1322</v>
      </c>
      <c r="D1704" t="s">
        <v>2427</v>
      </c>
      <c r="E1704" t="s">
        <v>4609</v>
      </c>
      <c r="F1704" t="s">
        <v>5161</v>
      </c>
      <c r="G1704" t="s">
        <v>5637</v>
      </c>
      <c r="H1704">
        <v>11212</v>
      </c>
      <c r="I1704" t="s">
        <v>5696</v>
      </c>
      <c r="J1704" t="s">
        <v>5696</v>
      </c>
      <c r="K1704" t="s">
        <v>6598</v>
      </c>
      <c r="L1704" t="s">
        <v>6714</v>
      </c>
      <c r="O1704" t="s">
        <v>6745</v>
      </c>
      <c r="R1704" t="s">
        <v>6793</v>
      </c>
      <c r="U1704">
        <v>1025</v>
      </c>
      <c r="V1704" t="s">
        <v>6835</v>
      </c>
      <c r="W1704" t="s">
        <v>6842</v>
      </c>
      <c r="Y1704" t="s">
        <v>8442</v>
      </c>
      <c r="AA1704" t="s">
        <v>10478</v>
      </c>
      <c r="AB1704">
        <v>0</v>
      </c>
      <c r="AC1704" t="s">
        <v>10929</v>
      </c>
      <c r="AD1704" t="s">
        <v>10948</v>
      </c>
      <c r="AE1704">
        <v>6</v>
      </c>
      <c r="AF1704">
        <v>1</v>
      </c>
      <c r="AG1704">
        <v>0</v>
      </c>
      <c r="AH1704">
        <v>99.92</v>
      </c>
      <c r="AK1704" t="s">
        <v>10966</v>
      </c>
      <c r="AL1704">
        <v>12480</v>
      </c>
      <c r="AR1704">
        <v>4.05</v>
      </c>
      <c r="AS1704" t="s">
        <v>6812</v>
      </c>
      <c r="AT1704" t="s">
        <v>11188</v>
      </c>
      <c r="AV1704" t="s">
        <v>11231</v>
      </c>
      <c r="AW1704" t="s">
        <v>11132</v>
      </c>
    </row>
    <row r="1705" spans="1:49">
      <c r="A1705" s="1">
        <f>HYPERLINK("https://lsnyc.legalserver.org/matter/dynamic-profile/view/1902499","19-1902499")</f>
        <v>0</v>
      </c>
      <c r="B1705" t="s">
        <v>85</v>
      </c>
      <c r="C1705" t="s">
        <v>880</v>
      </c>
      <c r="D1705" t="s">
        <v>2767</v>
      </c>
      <c r="E1705" t="s">
        <v>4610</v>
      </c>
      <c r="F1705" t="s">
        <v>5158</v>
      </c>
      <c r="G1705" t="s">
        <v>5637</v>
      </c>
      <c r="H1705">
        <v>11220</v>
      </c>
      <c r="I1705" t="s">
        <v>5696</v>
      </c>
      <c r="J1705" t="s">
        <v>5696</v>
      </c>
      <c r="K1705" t="s">
        <v>6599</v>
      </c>
      <c r="L1705" t="s">
        <v>6714</v>
      </c>
      <c r="O1705" t="s">
        <v>6754</v>
      </c>
      <c r="R1705" t="s">
        <v>6793</v>
      </c>
      <c r="U1705">
        <v>400</v>
      </c>
      <c r="V1705" t="s">
        <v>6835</v>
      </c>
      <c r="W1705" t="s">
        <v>6842</v>
      </c>
      <c r="Y1705" t="s">
        <v>8443</v>
      </c>
      <c r="AA1705" t="s">
        <v>10479</v>
      </c>
      <c r="AB1705">
        <v>6</v>
      </c>
      <c r="AC1705" t="s">
        <v>10929</v>
      </c>
      <c r="AD1705" t="s">
        <v>5741</v>
      </c>
      <c r="AE1705">
        <v>20</v>
      </c>
      <c r="AF1705">
        <v>1</v>
      </c>
      <c r="AG1705">
        <v>0</v>
      </c>
      <c r="AH1705">
        <v>82.43000000000001</v>
      </c>
      <c r="AK1705" t="s">
        <v>10966</v>
      </c>
      <c r="AL1705">
        <v>10296</v>
      </c>
      <c r="AR1705">
        <v>3.85</v>
      </c>
      <c r="AS1705" t="s">
        <v>6812</v>
      </c>
      <c r="AT1705" t="s">
        <v>11188</v>
      </c>
      <c r="AV1705" t="s">
        <v>11231</v>
      </c>
      <c r="AW1705" t="s">
        <v>11117</v>
      </c>
    </row>
    <row r="1706" spans="1:49">
      <c r="A1706" s="1">
        <f>HYPERLINK("https://lsnyc.legalserver.org/matter/dynamic-profile/view/1904063","19-1904063")</f>
        <v>0</v>
      </c>
      <c r="B1706" t="s">
        <v>100</v>
      </c>
      <c r="C1706" t="s">
        <v>899</v>
      </c>
      <c r="D1706" t="s">
        <v>1703</v>
      </c>
      <c r="E1706" t="s">
        <v>4611</v>
      </c>
      <c r="F1706" t="s">
        <v>5257</v>
      </c>
      <c r="G1706" t="s">
        <v>5635</v>
      </c>
      <c r="H1706">
        <v>10457</v>
      </c>
      <c r="I1706" t="s">
        <v>5695</v>
      </c>
      <c r="J1706" t="s">
        <v>5696</v>
      </c>
      <c r="K1706" t="s">
        <v>6600</v>
      </c>
      <c r="L1706" t="s">
        <v>6714</v>
      </c>
      <c r="O1706" t="s">
        <v>6763</v>
      </c>
      <c r="P1706" t="s">
        <v>5697</v>
      </c>
      <c r="R1706" t="s">
        <v>6793</v>
      </c>
      <c r="U1706">
        <v>1053.93</v>
      </c>
      <c r="V1706" t="s">
        <v>6833</v>
      </c>
      <c r="Y1706" t="s">
        <v>8444</v>
      </c>
      <c r="AA1706" t="s">
        <v>10480</v>
      </c>
      <c r="AB1706">
        <v>118</v>
      </c>
      <c r="AE1706">
        <v>7</v>
      </c>
      <c r="AF1706">
        <v>1</v>
      </c>
      <c r="AG1706">
        <v>1</v>
      </c>
      <c r="AH1706">
        <v>92.25</v>
      </c>
      <c r="AK1706" t="s">
        <v>10966</v>
      </c>
      <c r="AL1706">
        <v>15600</v>
      </c>
      <c r="AR1706">
        <v>1.75</v>
      </c>
      <c r="AS1706" t="s">
        <v>6819</v>
      </c>
      <c r="AT1706" t="s">
        <v>288</v>
      </c>
      <c r="AU1706" t="s">
        <v>11228</v>
      </c>
      <c r="AV1706" t="s">
        <v>11231</v>
      </c>
      <c r="AW1706" t="s">
        <v>6817</v>
      </c>
    </row>
    <row r="1707" spans="1:49">
      <c r="A1707" s="1">
        <f>HYPERLINK("https://lsnyc.legalserver.org/matter/dynamic-profile/view/1901753","19-1901753")</f>
        <v>0</v>
      </c>
      <c r="B1707" t="s">
        <v>288</v>
      </c>
      <c r="C1707" t="s">
        <v>599</v>
      </c>
      <c r="D1707" t="s">
        <v>1718</v>
      </c>
      <c r="E1707" t="s">
        <v>3640</v>
      </c>
      <c r="G1707" t="s">
        <v>5635</v>
      </c>
      <c r="H1707">
        <v>10467</v>
      </c>
      <c r="I1707" t="s">
        <v>5695</v>
      </c>
      <c r="J1707" t="s">
        <v>5696</v>
      </c>
      <c r="K1707" t="s">
        <v>6329</v>
      </c>
      <c r="L1707" t="s">
        <v>6714</v>
      </c>
      <c r="O1707" t="s">
        <v>6748</v>
      </c>
      <c r="P1707" t="s">
        <v>5697</v>
      </c>
      <c r="R1707" t="s">
        <v>6793</v>
      </c>
      <c r="U1707">
        <v>1475</v>
      </c>
      <c r="V1707" t="s">
        <v>6833</v>
      </c>
      <c r="Y1707" t="s">
        <v>8119</v>
      </c>
      <c r="AA1707" t="s">
        <v>10154</v>
      </c>
      <c r="AB1707">
        <v>0</v>
      </c>
      <c r="AE1707">
        <v>3</v>
      </c>
      <c r="AF1707">
        <v>1</v>
      </c>
      <c r="AG1707">
        <v>0</v>
      </c>
      <c r="AH1707">
        <v>51.88</v>
      </c>
      <c r="AK1707" t="s">
        <v>10966</v>
      </c>
      <c r="AL1707">
        <v>6480</v>
      </c>
      <c r="AR1707">
        <v>0</v>
      </c>
      <c r="AT1707" t="s">
        <v>288</v>
      </c>
      <c r="AU1707" t="s">
        <v>11228</v>
      </c>
      <c r="AV1707" t="s">
        <v>11231</v>
      </c>
      <c r="AW1707" t="s">
        <v>11149</v>
      </c>
    </row>
    <row r="1708" spans="1:49">
      <c r="A1708" s="1">
        <f>HYPERLINK("https://lsnyc.legalserver.org/matter/dynamic-profile/view/1903930","19-1903930")</f>
        <v>0</v>
      </c>
      <c r="B1708" t="s">
        <v>193</v>
      </c>
      <c r="C1708" t="s">
        <v>1382</v>
      </c>
      <c r="D1708" t="s">
        <v>2768</v>
      </c>
      <c r="E1708" t="s">
        <v>4612</v>
      </c>
      <c r="F1708">
        <v>314</v>
      </c>
      <c r="G1708" t="s">
        <v>5635</v>
      </c>
      <c r="H1708">
        <v>10457</v>
      </c>
      <c r="I1708" t="s">
        <v>5695</v>
      </c>
      <c r="J1708" t="s">
        <v>5696</v>
      </c>
      <c r="K1708" t="s">
        <v>6601</v>
      </c>
      <c r="L1708" t="s">
        <v>6714</v>
      </c>
      <c r="O1708" t="s">
        <v>6763</v>
      </c>
      <c r="P1708" t="s">
        <v>5697</v>
      </c>
      <c r="R1708" t="s">
        <v>6793</v>
      </c>
      <c r="U1708">
        <v>1038</v>
      </c>
      <c r="V1708" t="s">
        <v>6833</v>
      </c>
      <c r="Y1708" t="s">
        <v>8445</v>
      </c>
      <c r="AA1708" t="s">
        <v>10481</v>
      </c>
      <c r="AB1708">
        <v>0</v>
      </c>
      <c r="AE1708">
        <v>1</v>
      </c>
      <c r="AF1708">
        <v>1</v>
      </c>
      <c r="AG1708">
        <v>1</v>
      </c>
      <c r="AH1708">
        <v>177.41</v>
      </c>
      <c r="AK1708" t="s">
        <v>10966</v>
      </c>
      <c r="AL1708">
        <v>30000</v>
      </c>
      <c r="AR1708">
        <v>1.2</v>
      </c>
      <c r="AS1708" t="s">
        <v>6808</v>
      </c>
      <c r="AT1708" t="s">
        <v>288</v>
      </c>
      <c r="AU1708" t="s">
        <v>11228</v>
      </c>
      <c r="AV1708" t="s">
        <v>11231</v>
      </c>
      <c r="AW1708" t="s">
        <v>6807</v>
      </c>
    </row>
    <row r="1709" spans="1:49">
      <c r="A1709" s="1">
        <f>HYPERLINK("https://lsnyc.legalserver.org/matter/dynamic-profile/view/1899154","19-1899154")</f>
        <v>0</v>
      </c>
      <c r="B1709" t="s">
        <v>92</v>
      </c>
      <c r="C1709" t="s">
        <v>415</v>
      </c>
      <c r="D1709" t="s">
        <v>2263</v>
      </c>
      <c r="E1709" t="s">
        <v>4613</v>
      </c>
      <c r="F1709" t="s">
        <v>5180</v>
      </c>
      <c r="G1709" t="s">
        <v>5637</v>
      </c>
      <c r="H1709">
        <v>11216</v>
      </c>
      <c r="I1709" t="s">
        <v>5696</v>
      </c>
      <c r="J1709" t="s">
        <v>5696</v>
      </c>
      <c r="K1709" t="s">
        <v>6602</v>
      </c>
      <c r="L1709" t="s">
        <v>6714</v>
      </c>
      <c r="O1709" t="s">
        <v>6755</v>
      </c>
      <c r="P1709" t="s">
        <v>5695</v>
      </c>
      <c r="R1709" t="s">
        <v>6796</v>
      </c>
      <c r="U1709">
        <v>0</v>
      </c>
      <c r="V1709" t="s">
        <v>6835</v>
      </c>
      <c r="Y1709" t="s">
        <v>8446</v>
      </c>
      <c r="AA1709" t="s">
        <v>10482</v>
      </c>
      <c r="AB1709">
        <v>0</v>
      </c>
      <c r="AC1709" t="s">
        <v>10929</v>
      </c>
      <c r="AE1709">
        <v>11</v>
      </c>
      <c r="AF1709">
        <v>1</v>
      </c>
      <c r="AG1709">
        <v>1</v>
      </c>
      <c r="AH1709">
        <v>7.86</v>
      </c>
      <c r="AK1709" t="s">
        <v>10966</v>
      </c>
      <c r="AL1709">
        <v>1328.6</v>
      </c>
      <c r="AR1709">
        <v>11.1</v>
      </c>
      <c r="AS1709" t="s">
        <v>6827</v>
      </c>
      <c r="AT1709" t="s">
        <v>11204</v>
      </c>
      <c r="AV1709" t="s">
        <v>11231</v>
      </c>
      <c r="AW1709" t="s">
        <v>11134</v>
      </c>
    </row>
    <row r="1710" spans="1:49">
      <c r="A1710" s="1">
        <f>HYPERLINK("https://lsnyc.legalserver.org/matter/dynamic-profile/view/1901247","19-1901247")</f>
        <v>0</v>
      </c>
      <c r="B1710" t="s">
        <v>199</v>
      </c>
      <c r="C1710" t="s">
        <v>1383</v>
      </c>
      <c r="D1710" t="s">
        <v>2681</v>
      </c>
      <c r="E1710" t="s">
        <v>4614</v>
      </c>
      <c r="F1710" t="s">
        <v>5348</v>
      </c>
      <c r="G1710" t="s">
        <v>5635</v>
      </c>
      <c r="H1710">
        <v>10462</v>
      </c>
      <c r="I1710" t="s">
        <v>5695</v>
      </c>
      <c r="J1710" t="s">
        <v>5696</v>
      </c>
      <c r="K1710" t="s">
        <v>6603</v>
      </c>
      <c r="L1710" t="s">
        <v>6714</v>
      </c>
      <c r="O1710" t="s">
        <v>6763</v>
      </c>
      <c r="P1710" t="s">
        <v>5697</v>
      </c>
      <c r="R1710" t="s">
        <v>6793</v>
      </c>
      <c r="U1710">
        <v>1444</v>
      </c>
      <c r="V1710" t="s">
        <v>6833</v>
      </c>
      <c r="W1710" t="s">
        <v>6839</v>
      </c>
      <c r="Y1710" t="s">
        <v>8447</v>
      </c>
      <c r="Z1710" t="s">
        <v>9071</v>
      </c>
      <c r="AA1710" t="s">
        <v>10483</v>
      </c>
      <c r="AB1710">
        <v>90</v>
      </c>
      <c r="AC1710" t="s">
        <v>10934</v>
      </c>
      <c r="AD1710" t="s">
        <v>10944</v>
      </c>
      <c r="AE1710">
        <v>17</v>
      </c>
      <c r="AF1710">
        <v>1</v>
      </c>
      <c r="AG1710">
        <v>0</v>
      </c>
      <c r="AH1710">
        <v>124.89</v>
      </c>
      <c r="AK1710" t="s">
        <v>10966</v>
      </c>
      <c r="AL1710">
        <v>15598.7</v>
      </c>
      <c r="AR1710">
        <v>12</v>
      </c>
      <c r="AS1710" t="s">
        <v>6826</v>
      </c>
      <c r="AT1710" t="s">
        <v>11222</v>
      </c>
      <c r="AU1710" t="s">
        <v>11229</v>
      </c>
      <c r="AV1710" t="s">
        <v>11231</v>
      </c>
      <c r="AW1710" t="s">
        <v>10958</v>
      </c>
    </row>
    <row r="1711" spans="1:49">
      <c r="A1711" s="1">
        <f>HYPERLINK("https://lsnyc.legalserver.org/matter/dynamic-profile/view/1906349","19-1906349")</f>
        <v>0</v>
      </c>
      <c r="B1711" t="s">
        <v>69</v>
      </c>
      <c r="C1711" t="s">
        <v>1165</v>
      </c>
      <c r="D1711" t="s">
        <v>2769</v>
      </c>
      <c r="E1711" t="s">
        <v>4615</v>
      </c>
      <c r="F1711">
        <v>2</v>
      </c>
      <c r="G1711" t="s">
        <v>5637</v>
      </c>
      <c r="H1711">
        <v>11208</v>
      </c>
      <c r="I1711" t="s">
        <v>5697</v>
      </c>
      <c r="J1711" t="s">
        <v>5696</v>
      </c>
      <c r="K1711" t="s">
        <v>6604</v>
      </c>
      <c r="L1711" t="s">
        <v>6714</v>
      </c>
      <c r="O1711" t="s">
        <v>6745</v>
      </c>
      <c r="P1711" t="s">
        <v>6792</v>
      </c>
      <c r="R1711" t="s">
        <v>6793</v>
      </c>
      <c r="S1711" t="s">
        <v>6801</v>
      </c>
      <c r="U1711">
        <v>1500</v>
      </c>
      <c r="V1711" t="s">
        <v>6835</v>
      </c>
      <c r="W1711" t="s">
        <v>6840</v>
      </c>
      <c r="Y1711" t="s">
        <v>8448</v>
      </c>
      <c r="Z1711" t="s">
        <v>8953</v>
      </c>
      <c r="AA1711" t="s">
        <v>10484</v>
      </c>
      <c r="AB1711">
        <v>4</v>
      </c>
      <c r="AC1711" t="s">
        <v>10930</v>
      </c>
      <c r="AD1711" t="s">
        <v>10950</v>
      </c>
      <c r="AE1711">
        <v>5</v>
      </c>
      <c r="AF1711">
        <v>1</v>
      </c>
      <c r="AG1711">
        <v>2</v>
      </c>
      <c r="AH1711">
        <v>70.31999999999999</v>
      </c>
      <c r="AK1711" t="s">
        <v>10966</v>
      </c>
      <c r="AL1711">
        <v>15000</v>
      </c>
      <c r="AR1711">
        <v>0</v>
      </c>
      <c r="AT1711" t="s">
        <v>69</v>
      </c>
      <c r="AU1711" t="s">
        <v>11228</v>
      </c>
      <c r="AV1711" t="s">
        <v>11231</v>
      </c>
      <c r="AW1711" t="s">
        <v>6827</v>
      </c>
    </row>
    <row r="1712" spans="1:49">
      <c r="A1712" s="1">
        <f>HYPERLINK("https://lsnyc.legalserver.org/matter/dynamic-profile/view/1904166","19-1904166")</f>
        <v>0</v>
      </c>
      <c r="B1712" t="s">
        <v>257</v>
      </c>
      <c r="C1712" t="s">
        <v>1384</v>
      </c>
      <c r="D1712" t="s">
        <v>2770</v>
      </c>
      <c r="E1712" t="s">
        <v>4616</v>
      </c>
      <c r="F1712" t="s">
        <v>5154</v>
      </c>
      <c r="G1712" t="s">
        <v>5638</v>
      </c>
      <c r="H1712">
        <v>10026</v>
      </c>
      <c r="I1712" t="s">
        <v>5696</v>
      </c>
      <c r="J1712" t="s">
        <v>5696</v>
      </c>
      <c r="K1712">
        <v>56299</v>
      </c>
      <c r="L1712" t="s">
        <v>6714</v>
      </c>
      <c r="O1712" t="s">
        <v>6759</v>
      </c>
      <c r="R1712" t="s">
        <v>6793</v>
      </c>
      <c r="U1712">
        <v>800</v>
      </c>
      <c r="V1712" t="s">
        <v>6836</v>
      </c>
      <c r="Y1712" t="s">
        <v>8449</v>
      </c>
      <c r="AA1712" t="s">
        <v>10485</v>
      </c>
      <c r="AB1712">
        <v>21</v>
      </c>
      <c r="AE1712">
        <v>5</v>
      </c>
      <c r="AF1712">
        <v>1</v>
      </c>
      <c r="AG1712">
        <v>0</v>
      </c>
      <c r="AH1712">
        <v>0</v>
      </c>
      <c r="AK1712" t="s">
        <v>10966</v>
      </c>
      <c r="AL1712">
        <v>0</v>
      </c>
      <c r="AR1712">
        <v>1</v>
      </c>
      <c r="AS1712" t="s">
        <v>6818</v>
      </c>
      <c r="AT1712" t="s">
        <v>11194</v>
      </c>
      <c r="AV1712" t="s">
        <v>11231</v>
      </c>
      <c r="AW1712" t="s">
        <v>6818</v>
      </c>
    </row>
    <row r="1713" spans="1:49">
      <c r="A1713" s="1">
        <f>HYPERLINK("https://lsnyc.legalserver.org/matter/dynamic-profile/view/1905424","19-1905424")</f>
        <v>0</v>
      </c>
      <c r="B1713" t="s">
        <v>199</v>
      </c>
      <c r="C1713" t="s">
        <v>1385</v>
      </c>
      <c r="D1713" t="s">
        <v>1667</v>
      </c>
      <c r="E1713" t="s">
        <v>4617</v>
      </c>
      <c r="F1713">
        <v>406</v>
      </c>
      <c r="G1713" t="s">
        <v>5635</v>
      </c>
      <c r="H1713">
        <v>10457</v>
      </c>
      <c r="I1713" t="s">
        <v>5695</v>
      </c>
      <c r="J1713" t="s">
        <v>5696</v>
      </c>
      <c r="K1713" t="s">
        <v>6605</v>
      </c>
      <c r="L1713" t="s">
        <v>6714</v>
      </c>
      <c r="O1713" t="s">
        <v>6763</v>
      </c>
      <c r="R1713" t="s">
        <v>6793</v>
      </c>
      <c r="U1713">
        <v>1053</v>
      </c>
      <c r="V1713" t="s">
        <v>6833</v>
      </c>
      <c r="Y1713" t="s">
        <v>8450</v>
      </c>
      <c r="AA1713" t="s">
        <v>10486</v>
      </c>
      <c r="AB1713">
        <v>0</v>
      </c>
      <c r="AE1713">
        <v>9</v>
      </c>
      <c r="AF1713">
        <v>1</v>
      </c>
      <c r="AG1713">
        <v>0</v>
      </c>
      <c r="AH1713">
        <v>70.14</v>
      </c>
      <c r="AK1713" t="s">
        <v>10966</v>
      </c>
      <c r="AL1713">
        <v>8760</v>
      </c>
      <c r="AR1713">
        <v>3</v>
      </c>
      <c r="AS1713" t="s">
        <v>6827</v>
      </c>
      <c r="AT1713" t="s">
        <v>288</v>
      </c>
      <c r="AU1713" t="s">
        <v>11228</v>
      </c>
      <c r="AV1713" t="s">
        <v>11231</v>
      </c>
      <c r="AW1713" t="s">
        <v>6822</v>
      </c>
    </row>
    <row r="1714" spans="1:49">
      <c r="A1714" s="1">
        <f>HYPERLINK("https://lsnyc.legalserver.org/matter/dynamic-profile/view/1901457","19-1901457")</f>
        <v>0</v>
      </c>
      <c r="B1714" t="s">
        <v>88</v>
      </c>
      <c r="C1714" t="s">
        <v>1386</v>
      </c>
      <c r="D1714" t="s">
        <v>2771</v>
      </c>
      <c r="E1714" t="s">
        <v>4618</v>
      </c>
      <c r="F1714" t="s">
        <v>5242</v>
      </c>
      <c r="G1714" t="s">
        <v>5637</v>
      </c>
      <c r="H1714">
        <v>11203</v>
      </c>
      <c r="I1714" t="s">
        <v>5696</v>
      </c>
      <c r="J1714" t="s">
        <v>5696</v>
      </c>
      <c r="K1714" t="s">
        <v>6606</v>
      </c>
      <c r="L1714" t="s">
        <v>6714</v>
      </c>
      <c r="O1714" t="s">
        <v>6748</v>
      </c>
      <c r="R1714" t="s">
        <v>6793</v>
      </c>
      <c r="U1714">
        <v>1700</v>
      </c>
      <c r="V1714" t="s">
        <v>6835</v>
      </c>
      <c r="W1714" t="s">
        <v>6847</v>
      </c>
      <c r="Y1714" t="s">
        <v>8451</v>
      </c>
      <c r="AA1714" t="s">
        <v>10487</v>
      </c>
      <c r="AB1714">
        <v>6</v>
      </c>
      <c r="AE1714">
        <v>14</v>
      </c>
      <c r="AF1714">
        <v>1</v>
      </c>
      <c r="AG1714">
        <v>1</v>
      </c>
      <c r="AH1714">
        <v>166.06</v>
      </c>
      <c r="AK1714" t="s">
        <v>10966</v>
      </c>
      <c r="AL1714">
        <v>28080</v>
      </c>
      <c r="AR1714">
        <v>0.5</v>
      </c>
      <c r="AS1714" t="s">
        <v>11135</v>
      </c>
      <c r="AT1714" t="s">
        <v>11181</v>
      </c>
      <c r="AV1714" t="s">
        <v>11231</v>
      </c>
      <c r="AW1714" t="s">
        <v>11135</v>
      </c>
    </row>
    <row r="1715" spans="1:49">
      <c r="A1715" s="1">
        <f>HYPERLINK("https://lsnyc.legalserver.org/matter/dynamic-profile/view/1904054","19-1904054")</f>
        <v>0</v>
      </c>
      <c r="B1715" t="s">
        <v>185</v>
      </c>
      <c r="C1715" t="s">
        <v>926</v>
      </c>
      <c r="D1715" t="s">
        <v>2020</v>
      </c>
      <c r="E1715" t="s">
        <v>4619</v>
      </c>
      <c r="F1715" t="s">
        <v>5144</v>
      </c>
      <c r="G1715" t="s">
        <v>5635</v>
      </c>
      <c r="H1715">
        <v>10468</v>
      </c>
      <c r="I1715" t="s">
        <v>5695</v>
      </c>
      <c r="J1715" t="s">
        <v>5696</v>
      </c>
      <c r="K1715" t="s">
        <v>6607</v>
      </c>
      <c r="L1715" t="s">
        <v>6714</v>
      </c>
      <c r="O1715" t="s">
        <v>6763</v>
      </c>
      <c r="P1715" t="s">
        <v>5697</v>
      </c>
      <c r="R1715" t="s">
        <v>6793</v>
      </c>
      <c r="U1715">
        <v>887</v>
      </c>
      <c r="V1715" t="s">
        <v>6833</v>
      </c>
      <c r="Y1715" t="s">
        <v>8452</v>
      </c>
      <c r="AA1715" t="s">
        <v>10488</v>
      </c>
      <c r="AB1715">
        <v>0</v>
      </c>
      <c r="AE1715">
        <v>16</v>
      </c>
      <c r="AF1715">
        <v>1</v>
      </c>
      <c r="AG1715">
        <v>0</v>
      </c>
      <c r="AH1715">
        <v>204.64</v>
      </c>
      <c r="AK1715" t="s">
        <v>10967</v>
      </c>
      <c r="AL1715">
        <v>25560</v>
      </c>
      <c r="AM1715" t="s">
        <v>11068</v>
      </c>
      <c r="AR1715">
        <v>2</v>
      </c>
      <c r="AS1715" t="s">
        <v>6815</v>
      </c>
      <c r="AT1715" t="s">
        <v>288</v>
      </c>
      <c r="AU1715" t="s">
        <v>11228</v>
      </c>
      <c r="AV1715" t="s">
        <v>11231</v>
      </c>
      <c r="AW1715" t="s">
        <v>6817</v>
      </c>
    </row>
    <row r="1716" spans="1:49">
      <c r="A1716" s="1">
        <f>HYPERLINK("https://lsnyc.legalserver.org/matter/dynamic-profile/view/1901836","19-1901836")</f>
        <v>0</v>
      </c>
      <c r="B1716" t="s">
        <v>155</v>
      </c>
      <c r="C1716" t="s">
        <v>706</v>
      </c>
      <c r="D1716" t="s">
        <v>1657</v>
      </c>
      <c r="E1716" t="s">
        <v>4620</v>
      </c>
      <c r="F1716" t="s">
        <v>5542</v>
      </c>
      <c r="G1716" t="s">
        <v>5637</v>
      </c>
      <c r="H1716">
        <v>11233</v>
      </c>
      <c r="I1716" t="s">
        <v>5697</v>
      </c>
      <c r="J1716" t="s">
        <v>5696</v>
      </c>
      <c r="K1716" t="s">
        <v>6608</v>
      </c>
      <c r="L1716" t="s">
        <v>6714</v>
      </c>
      <c r="O1716" t="s">
        <v>6745</v>
      </c>
      <c r="P1716" t="s">
        <v>5697</v>
      </c>
      <c r="R1716" t="s">
        <v>6793</v>
      </c>
      <c r="S1716" t="s">
        <v>6804</v>
      </c>
      <c r="U1716">
        <v>0</v>
      </c>
      <c r="V1716" t="s">
        <v>6835</v>
      </c>
      <c r="W1716" t="s">
        <v>6847</v>
      </c>
      <c r="Y1716" t="s">
        <v>8453</v>
      </c>
      <c r="Z1716" t="s">
        <v>9072</v>
      </c>
      <c r="AA1716" t="s">
        <v>10489</v>
      </c>
      <c r="AB1716">
        <v>36</v>
      </c>
      <c r="AC1716" t="s">
        <v>10929</v>
      </c>
      <c r="AD1716" t="s">
        <v>10944</v>
      </c>
      <c r="AE1716">
        <v>15</v>
      </c>
      <c r="AF1716">
        <v>2</v>
      </c>
      <c r="AG1716">
        <v>0</v>
      </c>
      <c r="AH1716">
        <v>64.87</v>
      </c>
      <c r="AK1716" t="s">
        <v>10966</v>
      </c>
      <c r="AL1716">
        <v>10970.16</v>
      </c>
      <c r="AR1716">
        <v>10.6</v>
      </c>
      <c r="AS1716" t="s">
        <v>6818</v>
      </c>
      <c r="AT1716" t="s">
        <v>11188</v>
      </c>
      <c r="AU1716" t="s">
        <v>11229</v>
      </c>
      <c r="AV1716" t="s">
        <v>11231</v>
      </c>
      <c r="AW1716" t="s">
        <v>11149</v>
      </c>
    </row>
    <row r="1717" spans="1:49">
      <c r="A1717" s="1">
        <f>HYPERLINK("https://lsnyc.legalserver.org/matter/dynamic-profile/view/1904013","19-1904013")</f>
        <v>0</v>
      </c>
      <c r="B1717" t="s">
        <v>207</v>
      </c>
      <c r="C1717" t="s">
        <v>588</v>
      </c>
      <c r="D1717" t="s">
        <v>1822</v>
      </c>
      <c r="E1717" t="s">
        <v>4294</v>
      </c>
      <c r="F1717">
        <v>2</v>
      </c>
      <c r="G1717" t="s">
        <v>5635</v>
      </c>
      <c r="H1717">
        <v>10460</v>
      </c>
      <c r="I1717" t="s">
        <v>5696</v>
      </c>
      <c r="J1717" t="s">
        <v>5696</v>
      </c>
      <c r="K1717" t="s">
        <v>6609</v>
      </c>
      <c r="L1717" t="s">
        <v>6714</v>
      </c>
      <c r="O1717" t="s">
        <v>6745</v>
      </c>
      <c r="R1717" t="s">
        <v>6793</v>
      </c>
      <c r="U1717">
        <v>1179</v>
      </c>
      <c r="V1717" t="s">
        <v>6833</v>
      </c>
      <c r="W1717" t="s">
        <v>6843</v>
      </c>
      <c r="Y1717" t="s">
        <v>8126</v>
      </c>
      <c r="AA1717" t="s">
        <v>10161</v>
      </c>
      <c r="AB1717">
        <v>25</v>
      </c>
      <c r="AC1717" t="s">
        <v>10929</v>
      </c>
      <c r="AD1717" t="s">
        <v>5741</v>
      </c>
      <c r="AE1717">
        <v>14</v>
      </c>
      <c r="AF1717">
        <v>1</v>
      </c>
      <c r="AG1717">
        <v>0</v>
      </c>
      <c r="AH1717">
        <v>99.92</v>
      </c>
      <c r="AK1717" t="s">
        <v>10966</v>
      </c>
      <c r="AL1717">
        <v>12480</v>
      </c>
      <c r="AR1717">
        <v>0.6</v>
      </c>
      <c r="AS1717" t="s">
        <v>6825</v>
      </c>
      <c r="AT1717" t="s">
        <v>11188</v>
      </c>
      <c r="AV1717" t="s">
        <v>11231</v>
      </c>
      <c r="AW1717" t="s">
        <v>6825</v>
      </c>
    </row>
    <row r="1718" spans="1:49">
      <c r="A1718" s="1">
        <f>HYPERLINK("https://lsnyc.legalserver.org/matter/dynamic-profile/view/1900694","19-1900694")</f>
        <v>0</v>
      </c>
      <c r="B1718" t="s">
        <v>183</v>
      </c>
      <c r="C1718" t="s">
        <v>808</v>
      </c>
      <c r="D1718" t="s">
        <v>2081</v>
      </c>
      <c r="E1718" t="s">
        <v>4621</v>
      </c>
      <c r="F1718">
        <v>1</v>
      </c>
      <c r="G1718" t="s">
        <v>5635</v>
      </c>
      <c r="H1718">
        <v>10467</v>
      </c>
      <c r="I1718" t="s">
        <v>5695</v>
      </c>
      <c r="J1718" t="s">
        <v>5696</v>
      </c>
      <c r="K1718" t="s">
        <v>6610</v>
      </c>
      <c r="L1718" t="s">
        <v>6714</v>
      </c>
      <c r="O1718" t="s">
        <v>6763</v>
      </c>
      <c r="P1718" t="s">
        <v>5697</v>
      </c>
      <c r="R1718" t="s">
        <v>6793</v>
      </c>
      <c r="U1718">
        <v>2500</v>
      </c>
      <c r="V1718" t="s">
        <v>6833</v>
      </c>
      <c r="W1718" t="s">
        <v>6840</v>
      </c>
      <c r="Y1718" t="s">
        <v>8454</v>
      </c>
      <c r="AA1718" t="s">
        <v>10490</v>
      </c>
      <c r="AB1718">
        <v>2</v>
      </c>
      <c r="AC1718" t="s">
        <v>10939</v>
      </c>
      <c r="AD1718" t="s">
        <v>5741</v>
      </c>
      <c r="AE1718">
        <v>1</v>
      </c>
      <c r="AF1718">
        <v>2</v>
      </c>
      <c r="AG1718">
        <v>0</v>
      </c>
      <c r="AH1718">
        <v>92.25</v>
      </c>
      <c r="AK1718" t="s">
        <v>10967</v>
      </c>
      <c r="AL1718">
        <v>15600</v>
      </c>
      <c r="AR1718">
        <v>6.85</v>
      </c>
      <c r="AS1718" t="s">
        <v>6826</v>
      </c>
      <c r="AT1718" t="s">
        <v>219</v>
      </c>
      <c r="AU1718" t="s">
        <v>11228</v>
      </c>
      <c r="AV1718" t="s">
        <v>11231</v>
      </c>
      <c r="AW1718" t="s">
        <v>11132</v>
      </c>
    </row>
    <row r="1719" spans="1:49">
      <c r="A1719" s="1">
        <f>HYPERLINK("https://lsnyc.legalserver.org/matter/dynamic-profile/view/1906165","19-1906165")</f>
        <v>0</v>
      </c>
      <c r="B1719" t="s">
        <v>155</v>
      </c>
      <c r="C1719" t="s">
        <v>1387</v>
      </c>
      <c r="D1719" t="s">
        <v>866</v>
      </c>
      <c r="E1719" t="s">
        <v>4622</v>
      </c>
      <c r="F1719" t="s">
        <v>5566</v>
      </c>
      <c r="G1719" t="s">
        <v>5637</v>
      </c>
      <c r="H1719">
        <v>11233</v>
      </c>
      <c r="I1719" t="s">
        <v>5696</v>
      </c>
      <c r="J1719" t="s">
        <v>5696</v>
      </c>
      <c r="K1719" t="s">
        <v>6611</v>
      </c>
      <c r="L1719" t="s">
        <v>6714</v>
      </c>
      <c r="O1719" t="s">
        <v>6745</v>
      </c>
      <c r="P1719" t="s">
        <v>5697</v>
      </c>
      <c r="R1719" t="s">
        <v>6793</v>
      </c>
      <c r="U1719">
        <v>2100</v>
      </c>
      <c r="V1719" t="s">
        <v>6835</v>
      </c>
      <c r="W1719" t="s">
        <v>6841</v>
      </c>
      <c r="Y1719" t="s">
        <v>8455</v>
      </c>
      <c r="Z1719">
        <v>6659617</v>
      </c>
      <c r="AA1719" t="s">
        <v>10491</v>
      </c>
      <c r="AB1719">
        <v>287</v>
      </c>
      <c r="AC1719" t="s">
        <v>10929</v>
      </c>
      <c r="AD1719" t="s">
        <v>10944</v>
      </c>
      <c r="AE1719">
        <v>3</v>
      </c>
      <c r="AF1719">
        <v>1</v>
      </c>
      <c r="AG1719">
        <v>0</v>
      </c>
      <c r="AH1719">
        <v>98.8</v>
      </c>
      <c r="AK1719" t="s">
        <v>10966</v>
      </c>
      <c r="AL1719">
        <v>12340</v>
      </c>
      <c r="AR1719">
        <v>1</v>
      </c>
      <c r="AS1719" t="s">
        <v>6821</v>
      </c>
      <c r="AT1719" t="s">
        <v>11192</v>
      </c>
      <c r="AV1719" t="s">
        <v>11231</v>
      </c>
      <c r="AW1719" t="s">
        <v>6821</v>
      </c>
    </row>
    <row r="1720" spans="1:49">
      <c r="A1720" s="1">
        <f>HYPERLINK("https://lsnyc.legalserver.org/matter/dynamic-profile/view/1904888","19-1904888")</f>
        <v>0</v>
      </c>
      <c r="B1720" t="s">
        <v>72</v>
      </c>
      <c r="C1720" t="s">
        <v>1388</v>
      </c>
      <c r="D1720" t="s">
        <v>1251</v>
      </c>
      <c r="E1720" t="s">
        <v>4623</v>
      </c>
      <c r="F1720" t="s">
        <v>5137</v>
      </c>
      <c r="G1720" t="s">
        <v>5637</v>
      </c>
      <c r="H1720">
        <v>11213</v>
      </c>
      <c r="I1720" t="s">
        <v>5696</v>
      </c>
      <c r="J1720" t="s">
        <v>5696</v>
      </c>
      <c r="K1720" t="s">
        <v>6612</v>
      </c>
      <c r="L1720" t="s">
        <v>6714</v>
      </c>
      <c r="O1720" t="s">
        <v>6746</v>
      </c>
      <c r="P1720" t="s">
        <v>5697</v>
      </c>
      <c r="R1720" t="s">
        <v>6793</v>
      </c>
      <c r="U1720">
        <v>135</v>
      </c>
      <c r="V1720" t="s">
        <v>6835</v>
      </c>
      <c r="W1720" t="s">
        <v>6840</v>
      </c>
      <c r="Y1720" t="s">
        <v>7963</v>
      </c>
      <c r="AA1720" t="s">
        <v>10492</v>
      </c>
      <c r="AB1720">
        <v>11</v>
      </c>
      <c r="AE1720">
        <v>16</v>
      </c>
      <c r="AF1720">
        <v>1</v>
      </c>
      <c r="AG1720">
        <v>0</v>
      </c>
      <c r="AH1720">
        <v>33.31</v>
      </c>
      <c r="AL1720">
        <v>4160</v>
      </c>
      <c r="AR1720">
        <v>4</v>
      </c>
      <c r="AS1720" t="s">
        <v>6827</v>
      </c>
      <c r="AT1720" t="s">
        <v>141</v>
      </c>
      <c r="AV1720" t="s">
        <v>11231</v>
      </c>
      <c r="AW1720" t="s">
        <v>6816</v>
      </c>
    </row>
    <row r="1721" spans="1:49">
      <c r="A1721" s="1">
        <f>HYPERLINK("https://lsnyc.legalserver.org/matter/dynamic-profile/view/1904363","19-1904363")</f>
        <v>0</v>
      </c>
      <c r="B1721" t="s">
        <v>281</v>
      </c>
      <c r="C1721" t="s">
        <v>469</v>
      </c>
      <c r="D1721" t="s">
        <v>1741</v>
      </c>
      <c r="E1721" t="s">
        <v>4286</v>
      </c>
      <c r="F1721" t="s">
        <v>5207</v>
      </c>
      <c r="G1721" t="s">
        <v>5636</v>
      </c>
      <c r="H1721">
        <v>10301</v>
      </c>
      <c r="I1721" t="s">
        <v>5695</v>
      </c>
      <c r="J1721" t="s">
        <v>5696</v>
      </c>
      <c r="K1721" t="s">
        <v>6613</v>
      </c>
      <c r="L1721" t="s">
        <v>6714</v>
      </c>
      <c r="O1721" t="s">
        <v>6745</v>
      </c>
      <c r="P1721" t="s">
        <v>5697</v>
      </c>
      <c r="R1721" t="s">
        <v>6793</v>
      </c>
      <c r="S1721" t="s">
        <v>6801</v>
      </c>
      <c r="U1721">
        <v>1717</v>
      </c>
      <c r="V1721" t="s">
        <v>6834</v>
      </c>
      <c r="W1721" t="s">
        <v>6839</v>
      </c>
      <c r="Y1721" t="s">
        <v>8456</v>
      </c>
      <c r="AA1721" t="s">
        <v>10493</v>
      </c>
      <c r="AB1721">
        <v>0</v>
      </c>
      <c r="AD1721" t="s">
        <v>5741</v>
      </c>
      <c r="AE1721">
        <v>1</v>
      </c>
      <c r="AF1721">
        <v>1</v>
      </c>
      <c r="AG1721">
        <v>2</v>
      </c>
      <c r="AH1721">
        <v>119.46</v>
      </c>
      <c r="AK1721" t="s">
        <v>10966</v>
      </c>
      <c r="AL1721">
        <v>25479.96</v>
      </c>
      <c r="AR1721">
        <v>6.04</v>
      </c>
      <c r="AS1721" t="s">
        <v>6820</v>
      </c>
      <c r="AT1721" t="s">
        <v>11177</v>
      </c>
      <c r="AU1721" t="s">
        <v>11228</v>
      </c>
      <c r="AV1721" t="s">
        <v>11231</v>
      </c>
      <c r="AW1721" t="s">
        <v>6814</v>
      </c>
    </row>
    <row r="1722" spans="1:49">
      <c r="A1722" s="1">
        <f>HYPERLINK("https://lsnyc.legalserver.org/matter/dynamic-profile/view/1901929","19-1901929")</f>
        <v>0</v>
      </c>
      <c r="B1722" t="s">
        <v>119</v>
      </c>
      <c r="C1722" t="s">
        <v>1133</v>
      </c>
      <c r="D1722" t="s">
        <v>2772</v>
      </c>
      <c r="E1722" t="s">
        <v>4624</v>
      </c>
      <c r="F1722" t="s">
        <v>5248</v>
      </c>
      <c r="G1722" t="s">
        <v>5637</v>
      </c>
      <c r="H1722">
        <v>11233</v>
      </c>
      <c r="I1722" t="s">
        <v>5697</v>
      </c>
      <c r="J1722" t="s">
        <v>5696</v>
      </c>
      <c r="K1722" t="s">
        <v>6614</v>
      </c>
      <c r="L1722" t="s">
        <v>6714</v>
      </c>
      <c r="O1722" t="s">
        <v>6745</v>
      </c>
      <c r="P1722" t="s">
        <v>5697</v>
      </c>
      <c r="R1722" t="s">
        <v>6793</v>
      </c>
      <c r="S1722" t="s">
        <v>6801</v>
      </c>
      <c r="U1722">
        <v>1052</v>
      </c>
      <c r="V1722" t="s">
        <v>6835</v>
      </c>
      <c r="W1722" t="s">
        <v>6843</v>
      </c>
      <c r="Y1722" t="s">
        <v>8457</v>
      </c>
      <c r="Z1722" t="s">
        <v>5741</v>
      </c>
      <c r="AA1722" t="s">
        <v>10494</v>
      </c>
      <c r="AB1722">
        <v>12</v>
      </c>
      <c r="AC1722" t="s">
        <v>10929</v>
      </c>
      <c r="AD1722" t="s">
        <v>5741</v>
      </c>
      <c r="AE1722">
        <v>8</v>
      </c>
      <c r="AF1722">
        <v>2</v>
      </c>
      <c r="AG1722">
        <v>0</v>
      </c>
      <c r="AH1722">
        <v>153.76</v>
      </c>
      <c r="AK1722" t="s">
        <v>10966</v>
      </c>
      <c r="AL1722">
        <v>26000</v>
      </c>
      <c r="AR1722">
        <v>22</v>
      </c>
      <c r="AS1722" t="s">
        <v>6820</v>
      </c>
      <c r="AT1722" t="s">
        <v>69</v>
      </c>
      <c r="AU1722" t="s">
        <v>5741</v>
      </c>
      <c r="AV1722" t="s">
        <v>11231</v>
      </c>
      <c r="AW1722" t="s">
        <v>11150</v>
      </c>
    </row>
    <row r="1723" spans="1:49">
      <c r="A1723" s="1">
        <f>HYPERLINK("https://lsnyc.legalserver.org/matter/dynamic-profile/view/1904154","19-1904154")</f>
        <v>0</v>
      </c>
      <c r="B1723" t="s">
        <v>78</v>
      </c>
      <c r="C1723" t="s">
        <v>1389</v>
      </c>
      <c r="D1723" t="s">
        <v>2260</v>
      </c>
      <c r="E1723" t="s">
        <v>4625</v>
      </c>
      <c r="F1723" t="s">
        <v>5143</v>
      </c>
      <c r="G1723" t="s">
        <v>5638</v>
      </c>
      <c r="H1723">
        <v>10027</v>
      </c>
      <c r="I1723" t="s">
        <v>5696</v>
      </c>
      <c r="J1723" t="s">
        <v>5696</v>
      </c>
      <c r="L1723" t="s">
        <v>6714</v>
      </c>
      <c r="O1723" t="s">
        <v>6749</v>
      </c>
      <c r="P1723" t="s">
        <v>5697</v>
      </c>
      <c r="R1723" t="s">
        <v>6793</v>
      </c>
      <c r="U1723">
        <v>869.02</v>
      </c>
      <c r="V1723" t="s">
        <v>6836</v>
      </c>
      <c r="Y1723" t="s">
        <v>8458</v>
      </c>
      <c r="AA1723" t="s">
        <v>10495</v>
      </c>
      <c r="AB1723">
        <v>0</v>
      </c>
      <c r="AE1723">
        <v>23</v>
      </c>
      <c r="AF1723">
        <v>2</v>
      </c>
      <c r="AG1723">
        <v>1</v>
      </c>
      <c r="AH1723">
        <v>109.7</v>
      </c>
      <c r="AK1723" t="s">
        <v>10966</v>
      </c>
      <c r="AL1723">
        <v>23400</v>
      </c>
      <c r="AR1723">
        <v>1</v>
      </c>
      <c r="AS1723" t="s">
        <v>6818</v>
      </c>
      <c r="AT1723" t="s">
        <v>11199</v>
      </c>
      <c r="AV1723" t="s">
        <v>11231</v>
      </c>
      <c r="AW1723" t="s">
        <v>6818</v>
      </c>
    </row>
    <row r="1724" spans="1:49">
      <c r="A1724" s="1">
        <f>HYPERLINK("https://lsnyc.legalserver.org/matter/dynamic-profile/view/1902441","19-1902441")</f>
        <v>0</v>
      </c>
      <c r="B1724" t="s">
        <v>199</v>
      </c>
      <c r="C1724" t="s">
        <v>1390</v>
      </c>
      <c r="D1724" t="s">
        <v>1773</v>
      </c>
      <c r="E1724" t="s">
        <v>4626</v>
      </c>
      <c r="F1724" t="s">
        <v>5567</v>
      </c>
      <c r="G1724" t="s">
        <v>5635</v>
      </c>
      <c r="H1724">
        <v>10467</v>
      </c>
      <c r="I1724" t="s">
        <v>5695</v>
      </c>
      <c r="J1724" t="s">
        <v>5696</v>
      </c>
      <c r="K1724" t="s">
        <v>6615</v>
      </c>
      <c r="L1724" t="s">
        <v>6714</v>
      </c>
      <c r="O1724" t="s">
        <v>6763</v>
      </c>
      <c r="P1724" t="s">
        <v>5697</v>
      </c>
      <c r="R1724" t="s">
        <v>6793</v>
      </c>
      <c r="U1724">
        <v>1200</v>
      </c>
      <c r="V1724" t="s">
        <v>6833</v>
      </c>
      <c r="Y1724" t="s">
        <v>8459</v>
      </c>
      <c r="Z1724" t="s">
        <v>9073</v>
      </c>
      <c r="AA1724" t="s">
        <v>10496</v>
      </c>
      <c r="AB1724">
        <v>0</v>
      </c>
      <c r="AC1724" t="s">
        <v>10929</v>
      </c>
      <c r="AE1724">
        <v>2</v>
      </c>
      <c r="AF1724">
        <v>2</v>
      </c>
      <c r="AG1724">
        <v>0</v>
      </c>
      <c r="AH1724">
        <v>0</v>
      </c>
      <c r="AK1724" t="s">
        <v>10966</v>
      </c>
      <c r="AL1724">
        <v>0</v>
      </c>
      <c r="AR1724">
        <v>1</v>
      </c>
      <c r="AS1724" t="s">
        <v>11131</v>
      </c>
      <c r="AT1724" t="s">
        <v>288</v>
      </c>
      <c r="AU1724" t="s">
        <v>11229</v>
      </c>
      <c r="AV1724" t="s">
        <v>11231</v>
      </c>
      <c r="AW1724" t="s">
        <v>11117</v>
      </c>
    </row>
    <row r="1725" spans="1:49">
      <c r="A1725" s="1">
        <f>HYPERLINK("https://lsnyc.legalserver.org/matter/dynamic-profile/view/1905072","19-1905072")</f>
        <v>0</v>
      </c>
      <c r="B1725" t="s">
        <v>278</v>
      </c>
      <c r="C1725" t="s">
        <v>1391</v>
      </c>
      <c r="D1725" t="s">
        <v>2773</v>
      </c>
      <c r="E1725" t="s">
        <v>4627</v>
      </c>
      <c r="F1725" t="s">
        <v>5154</v>
      </c>
      <c r="G1725" t="s">
        <v>5637</v>
      </c>
      <c r="H1725">
        <v>11226</v>
      </c>
      <c r="I1725" t="s">
        <v>5696</v>
      </c>
      <c r="J1725" t="s">
        <v>5696</v>
      </c>
      <c r="L1725" t="s">
        <v>6714</v>
      </c>
      <c r="O1725" t="s">
        <v>6745</v>
      </c>
      <c r="P1725" t="s">
        <v>5697</v>
      </c>
      <c r="R1725" t="s">
        <v>6793</v>
      </c>
      <c r="U1725">
        <v>762</v>
      </c>
      <c r="V1725" t="s">
        <v>6835</v>
      </c>
      <c r="W1725" t="s">
        <v>6842</v>
      </c>
      <c r="Y1725" t="s">
        <v>8460</v>
      </c>
      <c r="AA1725" t="s">
        <v>10497</v>
      </c>
      <c r="AB1725">
        <v>42</v>
      </c>
      <c r="AD1725" t="s">
        <v>5741</v>
      </c>
      <c r="AE1725">
        <v>21</v>
      </c>
      <c r="AF1725">
        <v>1</v>
      </c>
      <c r="AG1725">
        <v>0</v>
      </c>
      <c r="AH1725">
        <v>312.25</v>
      </c>
      <c r="AK1725" t="s">
        <v>10966</v>
      </c>
      <c r="AL1725">
        <v>39000</v>
      </c>
      <c r="AR1725">
        <v>0.5</v>
      </c>
      <c r="AS1725" t="s">
        <v>6814</v>
      </c>
      <c r="AT1725" t="s">
        <v>11189</v>
      </c>
      <c r="AV1725" t="s">
        <v>11231</v>
      </c>
      <c r="AW1725" t="s">
        <v>6814</v>
      </c>
    </row>
    <row r="1726" spans="1:49">
      <c r="A1726" s="1">
        <f>HYPERLINK("https://lsnyc.legalserver.org/matter/dynamic-profile/view/1898980","19-1898980")</f>
        <v>0</v>
      </c>
      <c r="B1726" t="s">
        <v>89</v>
      </c>
      <c r="C1726" t="s">
        <v>469</v>
      </c>
      <c r="D1726" t="s">
        <v>2774</v>
      </c>
      <c r="E1726" t="s">
        <v>4628</v>
      </c>
      <c r="F1726">
        <v>302</v>
      </c>
      <c r="G1726" t="s">
        <v>5636</v>
      </c>
      <c r="H1726">
        <v>10305</v>
      </c>
      <c r="I1726" t="s">
        <v>5696</v>
      </c>
      <c r="J1726" t="s">
        <v>5696</v>
      </c>
      <c r="K1726" t="s">
        <v>6616</v>
      </c>
      <c r="L1726" t="s">
        <v>6714</v>
      </c>
      <c r="O1726" t="s">
        <v>6751</v>
      </c>
      <c r="P1726" t="s">
        <v>5697</v>
      </c>
      <c r="R1726" t="s">
        <v>6793</v>
      </c>
      <c r="S1726" t="s">
        <v>6801</v>
      </c>
      <c r="U1726">
        <v>1068.98</v>
      </c>
      <c r="V1726" t="s">
        <v>6834</v>
      </c>
      <c r="W1726" t="s">
        <v>6839</v>
      </c>
      <c r="Y1726" t="s">
        <v>8461</v>
      </c>
      <c r="AA1726" t="s">
        <v>10498</v>
      </c>
      <c r="AB1726">
        <v>85</v>
      </c>
      <c r="AD1726" t="s">
        <v>10950</v>
      </c>
      <c r="AE1726">
        <v>1</v>
      </c>
      <c r="AF1726">
        <v>1</v>
      </c>
      <c r="AG1726">
        <v>0</v>
      </c>
      <c r="AH1726">
        <v>144.12</v>
      </c>
      <c r="AK1726" t="s">
        <v>10966</v>
      </c>
      <c r="AL1726">
        <v>18000</v>
      </c>
      <c r="AR1726">
        <v>5.5</v>
      </c>
      <c r="AS1726" t="s">
        <v>11163</v>
      </c>
      <c r="AT1726" t="s">
        <v>11177</v>
      </c>
      <c r="AV1726" t="s">
        <v>11231</v>
      </c>
      <c r="AW1726" t="s">
        <v>6809</v>
      </c>
    </row>
    <row r="1727" spans="1:49">
      <c r="A1727" s="1">
        <f>HYPERLINK("https://lsnyc.legalserver.org/matter/dynamic-profile/view/1906324","19-1906324")</f>
        <v>0</v>
      </c>
      <c r="B1727" t="s">
        <v>249</v>
      </c>
      <c r="C1727" t="s">
        <v>972</v>
      </c>
      <c r="D1727" t="s">
        <v>2775</v>
      </c>
      <c r="E1727" t="s">
        <v>4629</v>
      </c>
      <c r="F1727" t="s">
        <v>5137</v>
      </c>
      <c r="G1727" t="s">
        <v>5638</v>
      </c>
      <c r="H1727">
        <v>10027</v>
      </c>
      <c r="I1727" t="s">
        <v>5696</v>
      </c>
      <c r="J1727" t="s">
        <v>5696</v>
      </c>
      <c r="K1727" t="s">
        <v>6617</v>
      </c>
      <c r="L1727" t="s">
        <v>6714</v>
      </c>
      <c r="O1727" t="s">
        <v>6759</v>
      </c>
      <c r="R1727" t="s">
        <v>6794</v>
      </c>
      <c r="U1727">
        <v>0</v>
      </c>
      <c r="V1727" t="s">
        <v>6836</v>
      </c>
      <c r="Y1727" t="s">
        <v>8462</v>
      </c>
      <c r="AA1727" t="s">
        <v>10499</v>
      </c>
      <c r="AB1727">
        <v>0</v>
      </c>
      <c r="AE1727">
        <v>0</v>
      </c>
      <c r="AF1727">
        <v>1</v>
      </c>
      <c r="AG1727">
        <v>2</v>
      </c>
      <c r="AH1727">
        <v>84.39</v>
      </c>
      <c r="AK1727" t="s">
        <v>10966</v>
      </c>
      <c r="AL1727">
        <v>18000</v>
      </c>
      <c r="AR1727">
        <v>1</v>
      </c>
      <c r="AS1727" t="s">
        <v>6827</v>
      </c>
      <c r="AT1727" t="s">
        <v>11194</v>
      </c>
      <c r="AV1727" t="s">
        <v>11231</v>
      </c>
      <c r="AW1727" t="s">
        <v>6827</v>
      </c>
    </row>
    <row r="1728" spans="1:49">
      <c r="A1728" s="1">
        <f>HYPERLINK("https://lsnyc.legalserver.org/matter/dynamic-profile/view/1905432","19-1905432")</f>
        <v>0</v>
      </c>
      <c r="B1728" t="s">
        <v>237</v>
      </c>
      <c r="C1728" t="s">
        <v>759</v>
      </c>
      <c r="D1728" t="s">
        <v>2288</v>
      </c>
      <c r="E1728" t="s">
        <v>3931</v>
      </c>
      <c r="F1728" t="s">
        <v>5248</v>
      </c>
      <c r="G1728" t="s">
        <v>5662</v>
      </c>
      <c r="H1728">
        <v>11368</v>
      </c>
      <c r="I1728" t="s">
        <v>5695</v>
      </c>
      <c r="J1728" t="s">
        <v>5696</v>
      </c>
      <c r="K1728" t="s">
        <v>6618</v>
      </c>
      <c r="L1728" t="s">
        <v>6714</v>
      </c>
      <c r="O1728" t="s">
        <v>6748</v>
      </c>
      <c r="R1728" t="s">
        <v>6793</v>
      </c>
      <c r="U1728">
        <v>839.9299999999999</v>
      </c>
      <c r="V1728" t="s">
        <v>6837</v>
      </c>
      <c r="W1728" t="s">
        <v>6852</v>
      </c>
      <c r="Y1728" t="s">
        <v>7727</v>
      </c>
      <c r="Z1728">
        <v>88281319859</v>
      </c>
      <c r="AA1728" t="s">
        <v>9784</v>
      </c>
      <c r="AB1728">
        <v>15</v>
      </c>
      <c r="AE1728">
        <v>30</v>
      </c>
      <c r="AF1728">
        <v>1</v>
      </c>
      <c r="AG1728">
        <v>0</v>
      </c>
      <c r="AH1728">
        <v>38.14</v>
      </c>
      <c r="AK1728" t="s">
        <v>10966</v>
      </c>
      <c r="AL1728">
        <v>4764</v>
      </c>
      <c r="AR1728">
        <v>5.5</v>
      </c>
      <c r="AS1728" t="s">
        <v>6826</v>
      </c>
      <c r="AT1728" t="s">
        <v>237</v>
      </c>
      <c r="AV1728" t="s">
        <v>11231</v>
      </c>
      <c r="AW1728" t="s">
        <v>6822</v>
      </c>
    </row>
    <row r="1729" spans="1:49">
      <c r="A1729" s="1">
        <f>HYPERLINK("https://lsnyc.legalserver.org/matter/dynamic-profile/view/1905279","19-1905279")</f>
        <v>0</v>
      </c>
      <c r="B1729" t="s">
        <v>199</v>
      </c>
      <c r="C1729" t="s">
        <v>1392</v>
      </c>
      <c r="D1729" t="s">
        <v>1943</v>
      </c>
      <c r="E1729" t="s">
        <v>3231</v>
      </c>
      <c r="F1729" t="s">
        <v>5187</v>
      </c>
      <c r="G1729" t="s">
        <v>5635</v>
      </c>
      <c r="H1729">
        <v>10467</v>
      </c>
      <c r="I1729" t="s">
        <v>5695</v>
      </c>
      <c r="J1729" t="s">
        <v>5696</v>
      </c>
      <c r="K1729" t="s">
        <v>6619</v>
      </c>
      <c r="L1729" t="s">
        <v>6714</v>
      </c>
      <c r="O1729" t="s">
        <v>6763</v>
      </c>
      <c r="P1729" t="s">
        <v>5697</v>
      </c>
      <c r="R1729" t="s">
        <v>6793</v>
      </c>
      <c r="U1729">
        <v>712</v>
      </c>
      <c r="V1729" t="s">
        <v>6833</v>
      </c>
      <c r="W1729" t="s">
        <v>6840</v>
      </c>
      <c r="Y1729" t="s">
        <v>8463</v>
      </c>
      <c r="AA1729" t="s">
        <v>10500</v>
      </c>
      <c r="AB1729">
        <v>0</v>
      </c>
      <c r="AC1729" t="s">
        <v>10931</v>
      </c>
      <c r="AD1729" t="s">
        <v>5741</v>
      </c>
      <c r="AE1729">
        <v>1</v>
      </c>
      <c r="AF1729">
        <v>1</v>
      </c>
      <c r="AG1729">
        <v>1</v>
      </c>
      <c r="AH1729">
        <v>161.44</v>
      </c>
      <c r="AK1729" t="s">
        <v>10967</v>
      </c>
      <c r="AL1729">
        <v>27300</v>
      </c>
      <c r="AR1729">
        <v>7</v>
      </c>
      <c r="AS1729" t="s">
        <v>6827</v>
      </c>
      <c r="AT1729" t="s">
        <v>11179</v>
      </c>
      <c r="AU1729" t="s">
        <v>11228</v>
      </c>
      <c r="AV1729" t="s">
        <v>11231</v>
      </c>
      <c r="AW1729" t="s">
        <v>6808</v>
      </c>
    </row>
    <row r="1730" spans="1:49">
      <c r="A1730" s="1">
        <f>HYPERLINK("https://lsnyc.legalserver.org/matter/dynamic-profile/view/1903959","19-1903959")</f>
        <v>0</v>
      </c>
      <c r="B1730" t="s">
        <v>278</v>
      </c>
      <c r="C1730" t="s">
        <v>1393</v>
      </c>
      <c r="D1730" t="s">
        <v>1635</v>
      </c>
      <c r="E1730" t="s">
        <v>4630</v>
      </c>
      <c r="F1730" t="s">
        <v>5233</v>
      </c>
      <c r="G1730" t="s">
        <v>5637</v>
      </c>
      <c r="H1730">
        <v>11220</v>
      </c>
      <c r="I1730" t="s">
        <v>5696</v>
      </c>
      <c r="J1730" t="s">
        <v>5696</v>
      </c>
      <c r="K1730" t="s">
        <v>6620</v>
      </c>
      <c r="L1730" t="s">
        <v>6714</v>
      </c>
      <c r="O1730" t="s">
        <v>6748</v>
      </c>
      <c r="R1730" t="s">
        <v>6793</v>
      </c>
      <c r="U1730">
        <v>1710</v>
      </c>
      <c r="V1730" t="s">
        <v>6835</v>
      </c>
      <c r="W1730" t="s">
        <v>6853</v>
      </c>
      <c r="Y1730" t="s">
        <v>8464</v>
      </c>
      <c r="AA1730" t="s">
        <v>10501</v>
      </c>
      <c r="AB1730">
        <v>6</v>
      </c>
      <c r="AC1730" t="s">
        <v>10929</v>
      </c>
      <c r="AD1730" t="s">
        <v>5741</v>
      </c>
      <c r="AE1730">
        <v>6</v>
      </c>
      <c r="AF1730">
        <v>2</v>
      </c>
      <c r="AG1730">
        <v>0</v>
      </c>
      <c r="AH1730">
        <v>61.01</v>
      </c>
      <c r="AK1730" t="s">
        <v>10966</v>
      </c>
      <c r="AL1730">
        <v>10316.4</v>
      </c>
      <c r="AR1730">
        <v>1.6</v>
      </c>
      <c r="AS1730" t="s">
        <v>6808</v>
      </c>
      <c r="AT1730" t="s">
        <v>11188</v>
      </c>
      <c r="AV1730" t="s">
        <v>11231</v>
      </c>
      <c r="AW1730" t="s">
        <v>6825</v>
      </c>
    </row>
    <row r="1731" spans="1:49">
      <c r="A1731" s="1">
        <f>HYPERLINK("https://lsnyc.legalserver.org/matter/dynamic-profile/view/1898993","19-1898993")</f>
        <v>0</v>
      </c>
      <c r="B1731" t="s">
        <v>72</v>
      </c>
      <c r="C1731" t="s">
        <v>666</v>
      </c>
      <c r="D1731" t="s">
        <v>1376</v>
      </c>
      <c r="E1731" t="s">
        <v>4631</v>
      </c>
      <c r="F1731" t="s">
        <v>5160</v>
      </c>
      <c r="G1731" t="s">
        <v>5637</v>
      </c>
      <c r="H1731">
        <v>11206</v>
      </c>
      <c r="I1731" t="s">
        <v>5696</v>
      </c>
      <c r="J1731" t="s">
        <v>5696</v>
      </c>
      <c r="K1731" t="s">
        <v>6621</v>
      </c>
      <c r="L1731" t="s">
        <v>6714</v>
      </c>
      <c r="O1731" t="s">
        <v>6773</v>
      </c>
      <c r="R1731" t="s">
        <v>6794</v>
      </c>
      <c r="U1731">
        <v>912</v>
      </c>
      <c r="V1731" t="s">
        <v>6835</v>
      </c>
      <c r="Y1731" t="s">
        <v>8465</v>
      </c>
      <c r="AA1731" t="s">
        <v>10502</v>
      </c>
      <c r="AB1731">
        <v>0</v>
      </c>
      <c r="AC1731" t="s">
        <v>10931</v>
      </c>
      <c r="AE1731">
        <v>27</v>
      </c>
      <c r="AF1731">
        <v>1</v>
      </c>
      <c r="AG1731">
        <v>0</v>
      </c>
      <c r="AH1731">
        <v>43.23</v>
      </c>
      <c r="AK1731" t="s">
        <v>10966</v>
      </c>
      <c r="AL1731">
        <v>5400</v>
      </c>
      <c r="AR1731">
        <v>9.5</v>
      </c>
      <c r="AS1731" t="s">
        <v>6826</v>
      </c>
      <c r="AT1731" t="s">
        <v>11186</v>
      </c>
      <c r="AV1731" t="s">
        <v>11231</v>
      </c>
      <c r="AW1731" t="s">
        <v>11156</v>
      </c>
    </row>
    <row r="1732" spans="1:49">
      <c r="A1732" s="1">
        <f>HYPERLINK("https://lsnyc.legalserver.org/matter/dynamic-profile/view/1903129","19-1903129")</f>
        <v>0</v>
      </c>
      <c r="B1732" t="s">
        <v>257</v>
      </c>
      <c r="C1732" t="s">
        <v>1394</v>
      </c>
      <c r="D1732" t="s">
        <v>1934</v>
      </c>
      <c r="E1732" t="s">
        <v>4632</v>
      </c>
      <c r="F1732">
        <v>20</v>
      </c>
      <c r="G1732" t="s">
        <v>5638</v>
      </c>
      <c r="H1732">
        <v>10031</v>
      </c>
      <c r="I1732" t="s">
        <v>5696</v>
      </c>
      <c r="J1732" t="s">
        <v>5696</v>
      </c>
      <c r="L1732" t="s">
        <v>6714</v>
      </c>
      <c r="O1732" t="s">
        <v>6749</v>
      </c>
      <c r="P1732" t="s">
        <v>5697</v>
      </c>
      <c r="R1732" t="s">
        <v>6793</v>
      </c>
      <c r="U1732">
        <v>481.82</v>
      </c>
      <c r="V1732" t="s">
        <v>6836</v>
      </c>
      <c r="Y1732" t="s">
        <v>8466</v>
      </c>
      <c r="AA1732" t="s">
        <v>10503</v>
      </c>
      <c r="AB1732">
        <v>0</v>
      </c>
      <c r="AE1732">
        <v>33</v>
      </c>
      <c r="AF1732">
        <v>3</v>
      </c>
      <c r="AG1732">
        <v>0</v>
      </c>
      <c r="AH1732">
        <v>15.81</v>
      </c>
      <c r="AK1732" t="s">
        <v>10967</v>
      </c>
      <c r="AL1732">
        <v>3372</v>
      </c>
      <c r="AR1732">
        <v>6.25</v>
      </c>
      <c r="AS1732" t="s">
        <v>6826</v>
      </c>
      <c r="AT1732" t="s">
        <v>11199</v>
      </c>
      <c r="AV1732" t="s">
        <v>11231</v>
      </c>
      <c r="AW1732" t="s">
        <v>10953</v>
      </c>
    </row>
    <row r="1733" spans="1:49">
      <c r="A1733" s="1">
        <f>HYPERLINK("https://lsnyc.legalserver.org/matter/dynamic-profile/view/1904104","19-1904104")</f>
        <v>0</v>
      </c>
      <c r="B1733" t="s">
        <v>199</v>
      </c>
      <c r="C1733" t="s">
        <v>595</v>
      </c>
      <c r="D1733" t="s">
        <v>2358</v>
      </c>
      <c r="E1733" t="s">
        <v>4325</v>
      </c>
      <c r="F1733" t="s">
        <v>5436</v>
      </c>
      <c r="G1733" t="s">
        <v>5635</v>
      </c>
      <c r="H1733">
        <v>10467</v>
      </c>
      <c r="I1733" t="s">
        <v>5695</v>
      </c>
      <c r="J1733" t="s">
        <v>5696</v>
      </c>
      <c r="K1733" t="s">
        <v>6367</v>
      </c>
      <c r="L1733" t="s">
        <v>6714</v>
      </c>
      <c r="O1733" t="s">
        <v>6763</v>
      </c>
      <c r="P1733" t="s">
        <v>5697</v>
      </c>
      <c r="R1733" t="s">
        <v>6793</v>
      </c>
      <c r="U1733">
        <v>1500</v>
      </c>
      <c r="V1733" t="s">
        <v>6833</v>
      </c>
      <c r="Y1733" t="s">
        <v>8467</v>
      </c>
      <c r="AA1733" t="s">
        <v>10504</v>
      </c>
      <c r="AB1733">
        <v>0</v>
      </c>
      <c r="AC1733" t="s">
        <v>10929</v>
      </c>
      <c r="AE1733">
        <v>1</v>
      </c>
      <c r="AF1733">
        <v>1</v>
      </c>
      <c r="AG1733">
        <v>0</v>
      </c>
      <c r="AH1733">
        <v>0</v>
      </c>
      <c r="AK1733" t="s">
        <v>10966</v>
      </c>
      <c r="AL1733">
        <v>0</v>
      </c>
      <c r="AR1733">
        <v>0</v>
      </c>
      <c r="AT1733" t="s">
        <v>288</v>
      </c>
      <c r="AU1733" t="s">
        <v>11228</v>
      </c>
      <c r="AV1733" t="s">
        <v>11231</v>
      </c>
      <c r="AW1733" t="s">
        <v>6817</v>
      </c>
    </row>
    <row r="1734" spans="1:49">
      <c r="A1734" s="1">
        <f>HYPERLINK("https://lsnyc.legalserver.org/matter/dynamic-profile/view/1904797","19-1904797")</f>
        <v>0</v>
      </c>
      <c r="B1734" t="s">
        <v>105</v>
      </c>
      <c r="C1734" t="s">
        <v>469</v>
      </c>
      <c r="D1734" t="s">
        <v>2510</v>
      </c>
      <c r="E1734" t="s">
        <v>4431</v>
      </c>
      <c r="F1734">
        <v>55</v>
      </c>
      <c r="G1734" t="s">
        <v>5635</v>
      </c>
      <c r="H1734">
        <v>10457</v>
      </c>
      <c r="I1734" t="s">
        <v>5695</v>
      </c>
      <c r="J1734" t="s">
        <v>5696</v>
      </c>
      <c r="K1734" t="s">
        <v>6622</v>
      </c>
      <c r="L1734" t="s">
        <v>6714</v>
      </c>
      <c r="O1734" t="s">
        <v>6747</v>
      </c>
      <c r="P1734" t="s">
        <v>5697</v>
      </c>
      <c r="R1734" t="s">
        <v>6793</v>
      </c>
      <c r="U1734">
        <v>1300.5</v>
      </c>
      <c r="V1734" t="s">
        <v>6833</v>
      </c>
      <c r="W1734" t="s">
        <v>6841</v>
      </c>
      <c r="Y1734" t="s">
        <v>8468</v>
      </c>
      <c r="AA1734" t="s">
        <v>10505</v>
      </c>
      <c r="AB1734">
        <v>27</v>
      </c>
      <c r="AC1734" t="s">
        <v>10929</v>
      </c>
      <c r="AD1734" t="s">
        <v>10946</v>
      </c>
      <c r="AE1734">
        <v>3</v>
      </c>
      <c r="AF1734">
        <v>1</v>
      </c>
      <c r="AG1734">
        <v>3</v>
      </c>
      <c r="AH1734">
        <v>206.07</v>
      </c>
      <c r="AK1734" t="s">
        <v>10966</v>
      </c>
      <c r="AL1734">
        <v>53064</v>
      </c>
      <c r="AR1734">
        <v>0</v>
      </c>
      <c r="AT1734" t="s">
        <v>11187</v>
      </c>
      <c r="AU1734" t="s">
        <v>11228</v>
      </c>
      <c r="AV1734" t="s">
        <v>11231</v>
      </c>
      <c r="AW1734" t="s">
        <v>6816</v>
      </c>
    </row>
    <row r="1735" spans="1:49">
      <c r="A1735" s="1">
        <f>HYPERLINK("https://lsnyc.legalserver.org/matter/dynamic-profile/view/1904994","19-1904994")</f>
        <v>0</v>
      </c>
      <c r="B1735" t="s">
        <v>209</v>
      </c>
      <c r="C1735" t="s">
        <v>747</v>
      </c>
      <c r="D1735" t="s">
        <v>2315</v>
      </c>
      <c r="E1735" t="s">
        <v>4633</v>
      </c>
      <c r="F1735" t="s">
        <v>5190</v>
      </c>
      <c r="G1735" t="s">
        <v>5635</v>
      </c>
      <c r="H1735">
        <v>10460</v>
      </c>
      <c r="I1735" t="s">
        <v>5696</v>
      </c>
      <c r="J1735" t="s">
        <v>5696</v>
      </c>
      <c r="L1735" t="s">
        <v>6714</v>
      </c>
      <c r="O1735" t="s">
        <v>6748</v>
      </c>
      <c r="P1735" t="s">
        <v>5697</v>
      </c>
      <c r="R1735" t="s">
        <v>6794</v>
      </c>
      <c r="U1735">
        <v>1488</v>
      </c>
      <c r="V1735" t="s">
        <v>6833</v>
      </c>
      <c r="W1735" t="s">
        <v>6848</v>
      </c>
      <c r="Y1735" t="s">
        <v>8469</v>
      </c>
      <c r="AA1735" t="s">
        <v>10506</v>
      </c>
      <c r="AB1735">
        <v>48</v>
      </c>
      <c r="AC1735" t="s">
        <v>10930</v>
      </c>
      <c r="AD1735" t="s">
        <v>5741</v>
      </c>
      <c r="AE1735">
        <v>15</v>
      </c>
      <c r="AF1735">
        <v>1</v>
      </c>
      <c r="AG1735">
        <v>1</v>
      </c>
      <c r="AH1735">
        <v>184.51</v>
      </c>
      <c r="AK1735" t="s">
        <v>10966</v>
      </c>
      <c r="AL1735">
        <v>31200</v>
      </c>
      <c r="AR1735">
        <v>1.15</v>
      </c>
      <c r="AS1735" t="s">
        <v>6821</v>
      </c>
      <c r="AT1735" t="s">
        <v>11189</v>
      </c>
      <c r="AV1735" t="s">
        <v>11231</v>
      </c>
      <c r="AW1735" t="s">
        <v>6812</v>
      </c>
    </row>
    <row r="1736" spans="1:49">
      <c r="A1736" s="1">
        <f>HYPERLINK("https://lsnyc.legalserver.org/matter/dynamic-profile/view/1904908","19-1904908")</f>
        <v>0</v>
      </c>
      <c r="B1736" t="s">
        <v>55</v>
      </c>
      <c r="C1736" t="s">
        <v>1130</v>
      </c>
      <c r="D1736" t="s">
        <v>2463</v>
      </c>
      <c r="E1736" t="s">
        <v>4634</v>
      </c>
      <c r="F1736" t="s">
        <v>5216</v>
      </c>
      <c r="G1736" t="s">
        <v>5638</v>
      </c>
      <c r="H1736">
        <v>10027</v>
      </c>
      <c r="I1736" t="s">
        <v>5695</v>
      </c>
      <c r="J1736" t="s">
        <v>5696</v>
      </c>
      <c r="L1736" t="s">
        <v>6714</v>
      </c>
      <c r="O1736" t="s">
        <v>6749</v>
      </c>
      <c r="P1736" t="s">
        <v>5697</v>
      </c>
      <c r="R1736" t="s">
        <v>6794</v>
      </c>
      <c r="U1736">
        <v>986</v>
      </c>
      <c r="V1736" t="s">
        <v>6836</v>
      </c>
      <c r="W1736" t="s">
        <v>6839</v>
      </c>
      <c r="Y1736" t="s">
        <v>8470</v>
      </c>
      <c r="AA1736" t="s">
        <v>10507</v>
      </c>
      <c r="AB1736">
        <v>0</v>
      </c>
      <c r="AC1736" t="s">
        <v>10931</v>
      </c>
      <c r="AE1736">
        <v>11</v>
      </c>
      <c r="AF1736">
        <v>4</v>
      </c>
      <c r="AG1736">
        <v>0</v>
      </c>
      <c r="AH1736">
        <v>54.37</v>
      </c>
      <c r="AL1736">
        <v>14000</v>
      </c>
      <c r="AR1736">
        <v>2</v>
      </c>
      <c r="AS1736" t="s">
        <v>6812</v>
      </c>
      <c r="AT1736" t="s">
        <v>229</v>
      </c>
      <c r="AU1736" t="s">
        <v>11228</v>
      </c>
      <c r="AV1736" t="s">
        <v>11231</v>
      </c>
      <c r="AW1736" t="s">
        <v>6812</v>
      </c>
    </row>
    <row r="1737" spans="1:49">
      <c r="A1737" s="1">
        <f>HYPERLINK("https://lsnyc.legalserver.org/matter/dynamic-profile/view/1903865","19-1903865")</f>
        <v>0</v>
      </c>
      <c r="B1737" t="s">
        <v>130</v>
      </c>
      <c r="C1737" t="s">
        <v>863</v>
      </c>
      <c r="D1737" t="s">
        <v>1697</v>
      </c>
      <c r="E1737" t="s">
        <v>4635</v>
      </c>
      <c r="F1737" t="s">
        <v>5154</v>
      </c>
      <c r="G1737" t="s">
        <v>5637</v>
      </c>
      <c r="H1737">
        <v>11233</v>
      </c>
      <c r="I1737" t="s">
        <v>5695</v>
      </c>
      <c r="J1737" t="s">
        <v>5696</v>
      </c>
      <c r="K1737" t="s">
        <v>6623</v>
      </c>
      <c r="L1737" t="s">
        <v>6714</v>
      </c>
      <c r="O1737" t="s">
        <v>6745</v>
      </c>
      <c r="P1737" t="s">
        <v>5697</v>
      </c>
      <c r="R1737" t="s">
        <v>6793</v>
      </c>
      <c r="S1737" t="s">
        <v>6804</v>
      </c>
      <c r="T1737" t="s">
        <v>6807</v>
      </c>
      <c r="U1737">
        <v>1050</v>
      </c>
      <c r="V1737" t="s">
        <v>6835</v>
      </c>
      <c r="W1737" t="s">
        <v>6842</v>
      </c>
      <c r="Y1737" t="s">
        <v>8471</v>
      </c>
      <c r="Z1737" t="s">
        <v>9074</v>
      </c>
      <c r="AA1737" t="s">
        <v>10508</v>
      </c>
      <c r="AB1737">
        <v>8</v>
      </c>
      <c r="AC1737" t="s">
        <v>10929</v>
      </c>
      <c r="AD1737" t="s">
        <v>5741</v>
      </c>
      <c r="AE1737">
        <v>17</v>
      </c>
      <c r="AF1737">
        <v>2</v>
      </c>
      <c r="AG1737">
        <v>2</v>
      </c>
      <c r="AH1737">
        <v>19.69</v>
      </c>
      <c r="AK1737" t="s">
        <v>10966</v>
      </c>
      <c r="AL1737">
        <v>5070</v>
      </c>
      <c r="AR1737">
        <v>3</v>
      </c>
      <c r="AS1737" t="s">
        <v>6821</v>
      </c>
      <c r="AT1737" t="s">
        <v>69</v>
      </c>
      <c r="AU1737" t="s">
        <v>11228</v>
      </c>
      <c r="AV1737" t="s">
        <v>11231</v>
      </c>
      <c r="AW1737" t="s">
        <v>6807</v>
      </c>
    </row>
    <row r="1738" spans="1:49">
      <c r="A1738" s="1">
        <f>HYPERLINK("https://lsnyc.legalserver.org/matter/dynamic-profile/view/1905624","19-1905624")</f>
        <v>0</v>
      </c>
      <c r="B1738" t="s">
        <v>100</v>
      </c>
      <c r="C1738" t="s">
        <v>541</v>
      </c>
      <c r="D1738" t="s">
        <v>2776</v>
      </c>
      <c r="E1738" t="s">
        <v>4636</v>
      </c>
      <c r="F1738" t="s">
        <v>5093</v>
      </c>
      <c r="G1738" t="s">
        <v>5635</v>
      </c>
      <c r="H1738">
        <v>10455</v>
      </c>
      <c r="I1738" t="s">
        <v>5695</v>
      </c>
      <c r="J1738" t="s">
        <v>5696</v>
      </c>
      <c r="K1738" t="s">
        <v>6624</v>
      </c>
      <c r="L1738" t="s">
        <v>6714</v>
      </c>
      <c r="O1738" t="s">
        <v>6763</v>
      </c>
      <c r="P1738" t="s">
        <v>5697</v>
      </c>
      <c r="R1738" t="s">
        <v>6793</v>
      </c>
      <c r="U1738">
        <v>1468</v>
      </c>
      <c r="V1738" t="s">
        <v>6833</v>
      </c>
      <c r="Y1738" t="s">
        <v>8472</v>
      </c>
      <c r="AA1738" t="s">
        <v>10509</v>
      </c>
      <c r="AB1738">
        <v>0</v>
      </c>
      <c r="AE1738">
        <v>13</v>
      </c>
      <c r="AF1738">
        <v>2</v>
      </c>
      <c r="AG1738">
        <v>0</v>
      </c>
      <c r="AH1738">
        <v>236.55</v>
      </c>
      <c r="AK1738" t="s">
        <v>10967</v>
      </c>
      <c r="AL1738">
        <v>40000</v>
      </c>
      <c r="AR1738">
        <v>0</v>
      </c>
      <c r="AT1738" t="s">
        <v>288</v>
      </c>
      <c r="AU1738" t="s">
        <v>11228</v>
      </c>
      <c r="AV1738" t="s">
        <v>11231</v>
      </c>
      <c r="AW1738" t="s">
        <v>6819</v>
      </c>
    </row>
    <row r="1739" spans="1:49">
      <c r="A1739" s="1">
        <f>HYPERLINK("https://lsnyc.legalserver.org/matter/dynamic-profile/view/1897952","19-1897952")</f>
        <v>0</v>
      </c>
      <c r="B1739" t="s">
        <v>197</v>
      </c>
      <c r="C1739" t="s">
        <v>490</v>
      </c>
      <c r="D1739" t="s">
        <v>2777</v>
      </c>
      <c r="E1739" t="s">
        <v>4637</v>
      </c>
      <c r="F1739">
        <v>932</v>
      </c>
      <c r="G1739" t="s">
        <v>5638</v>
      </c>
      <c r="H1739">
        <v>10016</v>
      </c>
      <c r="I1739" t="s">
        <v>5696</v>
      </c>
      <c r="J1739" t="s">
        <v>5696</v>
      </c>
      <c r="K1739" t="s">
        <v>6625</v>
      </c>
      <c r="L1739" t="s">
        <v>6714</v>
      </c>
      <c r="O1739" t="s">
        <v>6753</v>
      </c>
      <c r="R1739" t="s">
        <v>6793</v>
      </c>
      <c r="U1739">
        <v>883</v>
      </c>
      <c r="V1739" t="s">
        <v>6836</v>
      </c>
      <c r="W1739" t="s">
        <v>6841</v>
      </c>
      <c r="Y1739" t="s">
        <v>7537</v>
      </c>
      <c r="AA1739" t="s">
        <v>10510</v>
      </c>
      <c r="AB1739">
        <v>409</v>
      </c>
      <c r="AD1739" t="s">
        <v>10944</v>
      </c>
      <c r="AE1739">
        <v>11</v>
      </c>
      <c r="AF1739">
        <v>1</v>
      </c>
      <c r="AG1739">
        <v>0</v>
      </c>
      <c r="AH1739">
        <v>290.63</v>
      </c>
      <c r="AK1739" t="s">
        <v>10966</v>
      </c>
      <c r="AL1739">
        <v>36300</v>
      </c>
      <c r="AR1739">
        <v>0.6</v>
      </c>
      <c r="AS1739" t="s">
        <v>11142</v>
      </c>
      <c r="AT1739" t="s">
        <v>11188</v>
      </c>
      <c r="AV1739" t="s">
        <v>11231</v>
      </c>
      <c r="AW1739" t="s">
        <v>11142</v>
      </c>
    </row>
    <row r="1740" spans="1:49">
      <c r="A1740" s="1">
        <f>HYPERLINK("https://lsnyc.legalserver.org/matter/dynamic-profile/view/1901062","19-1901062")</f>
        <v>0</v>
      </c>
      <c r="B1740" t="s">
        <v>269</v>
      </c>
      <c r="C1740" t="s">
        <v>1395</v>
      </c>
      <c r="D1740" t="s">
        <v>1867</v>
      </c>
      <c r="E1740" t="s">
        <v>4638</v>
      </c>
      <c r="F1740" t="s">
        <v>5568</v>
      </c>
      <c r="G1740" t="s">
        <v>5636</v>
      </c>
      <c r="H1740">
        <v>10301</v>
      </c>
      <c r="I1740" t="s">
        <v>5696</v>
      </c>
      <c r="J1740" t="s">
        <v>5696</v>
      </c>
      <c r="K1740" t="s">
        <v>6626</v>
      </c>
      <c r="L1740" t="s">
        <v>6714</v>
      </c>
      <c r="O1740" t="s">
        <v>6745</v>
      </c>
      <c r="P1740" t="s">
        <v>5697</v>
      </c>
      <c r="R1740" t="s">
        <v>6793</v>
      </c>
      <c r="S1740" t="s">
        <v>6801</v>
      </c>
      <c r="U1740">
        <v>2197</v>
      </c>
      <c r="V1740" t="s">
        <v>6834</v>
      </c>
      <c r="W1740" t="s">
        <v>6855</v>
      </c>
      <c r="Y1740" t="s">
        <v>8281</v>
      </c>
      <c r="AA1740" t="s">
        <v>10511</v>
      </c>
      <c r="AB1740">
        <v>1</v>
      </c>
      <c r="AD1740" t="s">
        <v>10949</v>
      </c>
      <c r="AE1740">
        <v>1</v>
      </c>
      <c r="AF1740">
        <v>1</v>
      </c>
      <c r="AG1740">
        <v>6</v>
      </c>
      <c r="AH1740">
        <v>56.05</v>
      </c>
      <c r="AK1740" t="s">
        <v>10966</v>
      </c>
      <c r="AL1740">
        <v>21864</v>
      </c>
      <c r="AR1740">
        <v>18.5</v>
      </c>
      <c r="AS1740" t="s">
        <v>6820</v>
      </c>
      <c r="AT1740" t="s">
        <v>11177</v>
      </c>
      <c r="AV1740" t="s">
        <v>11231</v>
      </c>
      <c r="AW1740" t="s">
        <v>11140</v>
      </c>
    </row>
    <row r="1741" spans="1:49">
      <c r="A1741" s="1">
        <f>HYPERLINK("https://lsnyc.legalserver.org/matter/dynamic-profile/view/1903875","19-1903875")</f>
        <v>0</v>
      </c>
      <c r="B1741" t="s">
        <v>105</v>
      </c>
      <c r="C1741" t="s">
        <v>1396</v>
      </c>
      <c r="D1741" t="s">
        <v>2778</v>
      </c>
      <c r="E1741" t="s">
        <v>4639</v>
      </c>
      <c r="F1741" t="s">
        <v>5099</v>
      </c>
      <c r="G1741" t="s">
        <v>5635</v>
      </c>
      <c r="H1741">
        <v>10467</v>
      </c>
      <c r="I1741" t="s">
        <v>5695</v>
      </c>
      <c r="J1741" t="s">
        <v>5696</v>
      </c>
      <c r="K1741" t="s">
        <v>6627</v>
      </c>
      <c r="L1741" t="s">
        <v>6714</v>
      </c>
      <c r="O1741" t="s">
        <v>6763</v>
      </c>
      <c r="P1741" t="s">
        <v>5697</v>
      </c>
      <c r="R1741" t="s">
        <v>6793</v>
      </c>
      <c r="U1741">
        <v>1235</v>
      </c>
      <c r="V1741" t="s">
        <v>6833</v>
      </c>
      <c r="Y1741" t="s">
        <v>8473</v>
      </c>
      <c r="Z1741" t="s">
        <v>9075</v>
      </c>
      <c r="AA1741" t="s">
        <v>10512</v>
      </c>
      <c r="AB1741">
        <v>48</v>
      </c>
      <c r="AE1741">
        <v>3</v>
      </c>
      <c r="AF1741">
        <v>1</v>
      </c>
      <c r="AG1741">
        <v>0</v>
      </c>
      <c r="AH1741">
        <v>45.86</v>
      </c>
      <c r="AL1741">
        <v>5728</v>
      </c>
      <c r="AR1741">
        <v>1</v>
      </c>
      <c r="AS1741" t="s">
        <v>6813</v>
      </c>
      <c r="AT1741" t="s">
        <v>288</v>
      </c>
      <c r="AU1741" t="s">
        <v>11229</v>
      </c>
      <c r="AV1741" t="s">
        <v>11231</v>
      </c>
      <c r="AW1741" t="s">
        <v>6807</v>
      </c>
    </row>
    <row r="1742" spans="1:49">
      <c r="A1742" s="1">
        <f>HYPERLINK("https://lsnyc.legalserver.org/matter/dynamic-profile/view/1905309","19-1905309")</f>
        <v>0</v>
      </c>
      <c r="B1742" t="s">
        <v>187</v>
      </c>
      <c r="C1742" t="s">
        <v>1267</v>
      </c>
      <c r="D1742" t="s">
        <v>2779</v>
      </c>
      <c r="E1742" t="s">
        <v>4640</v>
      </c>
      <c r="F1742" t="s">
        <v>5187</v>
      </c>
      <c r="G1742" t="s">
        <v>5635</v>
      </c>
      <c r="H1742">
        <v>10457</v>
      </c>
      <c r="I1742" t="s">
        <v>5695</v>
      </c>
      <c r="J1742" t="s">
        <v>5696</v>
      </c>
      <c r="K1742" t="s">
        <v>6628</v>
      </c>
      <c r="L1742" t="s">
        <v>6714</v>
      </c>
      <c r="O1742" t="s">
        <v>6763</v>
      </c>
      <c r="P1742" t="s">
        <v>5697</v>
      </c>
      <c r="R1742" t="s">
        <v>6793</v>
      </c>
      <c r="U1742">
        <v>1250</v>
      </c>
      <c r="V1742" t="s">
        <v>6833</v>
      </c>
      <c r="Y1742" t="s">
        <v>8474</v>
      </c>
      <c r="AA1742" t="s">
        <v>10513</v>
      </c>
      <c r="AB1742">
        <v>21</v>
      </c>
      <c r="AE1742">
        <v>0</v>
      </c>
      <c r="AF1742">
        <v>3</v>
      </c>
      <c r="AG1742">
        <v>3</v>
      </c>
      <c r="AH1742">
        <v>184.39</v>
      </c>
      <c r="AL1742">
        <v>63780</v>
      </c>
      <c r="AR1742">
        <v>1.7</v>
      </c>
      <c r="AS1742" t="s">
        <v>6827</v>
      </c>
      <c r="AT1742" t="s">
        <v>288</v>
      </c>
      <c r="AU1742" t="s">
        <v>11228</v>
      </c>
      <c r="AV1742" t="s">
        <v>11231</v>
      </c>
      <c r="AW1742" t="s">
        <v>6808</v>
      </c>
    </row>
    <row r="1743" spans="1:49">
      <c r="A1743" s="1">
        <f>HYPERLINK("https://lsnyc.legalserver.org/matter/dynamic-profile/view/1903641","19-1903641")</f>
        <v>0</v>
      </c>
      <c r="B1743" t="s">
        <v>101</v>
      </c>
      <c r="C1743" t="s">
        <v>1397</v>
      </c>
      <c r="D1743" t="s">
        <v>2324</v>
      </c>
      <c r="E1743" t="s">
        <v>4641</v>
      </c>
      <c r="F1743">
        <v>2</v>
      </c>
      <c r="G1743" t="s">
        <v>5636</v>
      </c>
      <c r="H1743">
        <v>10309</v>
      </c>
      <c r="I1743" t="s">
        <v>5696</v>
      </c>
      <c r="J1743" t="s">
        <v>5696</v>
      </c>
      <c r="K1743" t="s">
        <v>6629</v>
      </c>
      <c r="L1743" t="s">
        <v>6714</v>
      </c>
      <c r="O1743" t="s">
        <v>6751</v>
      </c>
      <c r="P1743" t="s">
        <v>5697</v>
      </c>
      <c r="R1743" t="s">
        <v>6793</v>
      </c>
      <c r="S1743" t="s">
        <v>6801</v>
      </c>
      <c r="U1743">
        <v>1450</v>
      </c>
      <c r="V1743" t="s">
        <v>6834</v>
      </c>
      <c r="W1743" t="s">
        <v>6843</v>
      </c>
      <c r="Y1743" t="s">
        <v>8475</v>
      </c>
      <c r="AA1743" t="s">
        <v>10514</v>
      </c>
      <c r="AB1743">
        <v>2</v>
      </c>
      <c r="AC1743" t="s">
        <v>10930</v>
      </c>
      <c r="AD1743" t="s">
        <v>5741</v>
      </c>
      <c r="AE1743">
        <v>2</v>
      </c>
      <c r="AF1743">
        <v>2</v>
      </c>
      <c r="AG1743">
        <v>2</v>
      </c>
      <c r="AH1743">
        <v>111.07</v>
      </c>
      <c r="AK1743" t="s">
        <v>10966</v>
      </c>
      <c r="AL1743">
        <v>28600</v>
      </c>
      <c r="AR1743">
        <v>1.8</v>
      </c>
      <c r="AS1743" t="s">
        <v>6810</v>
      </c>
      <c r="AT1743" t="s">
        <v>11177</v>
      </c>
      <c r="AV1743" t="s">
        <v>11231</v>
      </c>
      <c r="AW1743" t="s">
        <v>6828</v>
      </c>
    </row>
    <row r="1744" spans="1:49">
      <c r="A1744" s="1">
        <f>HYPERLINK("https://lsnyc.legalserver.org/matter/dynamic-profile/view/1898018","19-1898018")</f>
        <v>0</v>
      </c>
      <c r="B1744" t="s">
        <v>202</v>
      </c>
      <c r="C1744" t="s">
        <v>562</v>
      </c>
      <c r="D1744" t="s">
        <v>2265</v>
      </c>
      <c r="E1744" t="s">
        <v>4642</v>
      </c>
      <c r="F1744" t="s">
        <v>5187</v>
      </c>
      <c r="G1744" t="s">
        <v>5635</v>
      </c>
      <c r="H1744">
        <v>10467</v>
      </c>
      <c r="I1744" t="s">
        <v>5695</v>
      </c>
      <c r="J1744" t="s">
        <v>5695</v>
      </c>
      <c r="K1744" t="s">
        <v>6630</v>
      </c>
      <c r="L1744" t="s">
        <v>6714</v>
      </c>
      <c r="O1744" t="s">
        <v>6763</v>
      </c>
      <c r="P1744" t="s">
        <v>5697</v>
      </c>
      <c r="R1744" t="s">
        <v>6793</v>
      </c>
      <c r="U1744">
        <v>1681</v>
      </c>
      <c r="V1744" t="s">
        <v>6833</v>
      </c>
      <c r="W1744" t="s">
        <v>6840</v>
      </c>
      <c r="Y1744" t="s">
        <v>8476</v>
      </c>
      <c r="Z1744" t="s">
        <v>9076</v>
      </c>
      <c r="AA1744" t="s">
        <v>10515</v>
      </c>
      <c r="AB1744">
        <v>50</v>
      </c>
      <c r="AD1744" t="s">
        <v>5741</v>
      </c>
      <c r="AE1744">
        <v>3</v>
      </c>
      <c r="AF1744">
        <v>1</v>
      </c>
      <c r="AG1744">
        <v>1</v>
      </c>
      <c r="AH1744">
        <v>153.76</v>
      </c>
      <c r="AK1744" t="s">
        <v>10966</v>
      </c>
      <c r="AL1744">
        <v>26000</v>
      </c>
      <c r="AR1744">
        <v>9.5</v>
      </c>
      <c r="AS1744" t="s">
        <v>11124</v>
      </c>
      <c r="AT1744" t="s">
        <v>219</v>
      </c>
      <c r="AU1744" t="s">
        <v>11228</v>
      </c>
      <c r="AV1744" t="s">
        <v>11231</v>
      </c>
      <c r="AW1744" t="s">
        <v>11125</v>
      </c>
    </row>
    <row r="1745" spans="1:49">
      <c r="A1745" s="1">
        <f>HYPERLINK("https://lsnyc.legalserver.org/matter/dynamic-profile/view/1901768","19-1901768")</f>
        <v>0</v>
      </c>
      <c r="B1745" t="s">
        <v>218</v>
      </c>
      <c r="C1745" t="s">
        <v>1322</v>
      </c>
      <c r="D1745" t="s">
        <v>2780</v>
      </c>
      <c r="E1745" t="s">
        <v>4643</v>
      </c>
      <c r="F1745" t="s">
        <v>5248</v>
      </c>
      <c r="G1745" t="s">
        <v>5635</v>
      </c>
      <c r="H1745">
        <v>10457</v>
      </c>
      <c r="I1745" t="s">
        <v>5695</v>
      </c>
      <c r="J1745" t="s">
        <v>5696</v>
      </c>
      <c r="K1745" t="s">
        <v>6631</v>
      </c>
      <c r="L1745" t="s">
        <v>6714</v>
      </c>
      <c r="O1745" t="s">
        <v>6763</v>
      </c>
      <c r="P1745" t="s">
        <v>5697</v>
      </c>
      <c r="R1745" t="s">
        <v>6793</v>
      </c>
      <c r="U1745">
        <v>912.1799999999999</v>
      </c>
      <c r="V1745" t="s">
        <v>6833</v>
      </c>
      <c r="Y1745" t="s">
        <v>8477</v>
      </c>
      <c r="AA1745" t="s">
        <v>10516</v>
      </c>
      <c r="AB1745">
        <v>0</v>
      </c>
      <c r="AE1745">
        <v>0</v>
      </c>
      <c r="AF1745">
        <v>3</v>
      </c>
      <c r="AG1745">
        <v>5</v>
      </c>
      <c r="AH1745">
        <v>0</v>
      </c>
      <c r="AK1745" t="s">
        <v>10967</v>
      </c>
      <c r="AL1745">
        <v>0</v>
      </c>
      <c r="AR1745">
        <v>1</v>
      </c>
      <c r="AS1745" t="s">
        <v>6814</v>
      </c>
      <c r="AT1745" t="s">
        <v>288</v>
      </c>
      <c r="AU1745" t="s">
        <v>11228</v>
      </c>
      <c r="AV1745" t="s">
        <v>11231</v>
      </c>
      <c r="AW1745" t="s">
        <v>11149</v>
      </c>
    </row>
    <row r="1746" spans="1:49">
      <c r="A1746" s="1">
        <f>HYPERLINK("https://lsnyc.legalserver.org/matter/dynamic-profile/view/1906164","19-1906164")</f>
        <v>0</v>
      </c>
      <c r="B1746" t="s">
        <v>101</v>
      </c>
      <c r="C1746" t="s">
        <v>353</v>
      </c>
      <c r="D1746" t="s">
        <v>2781</v>
      </c>
      <c r="E1746" t="s">
        <v>4644</v>
      </c>
      <c r="F1746" t="s">
        <v>5101</v>
      </c>
      <c r="G1746" t="s">
        <v>5636</v>
      </c>
      <c r="H1746">
        <v>10314</v>
      </c>
      <c r="I1746" t="s">
        <v>5695</v>
      </c>
      <c r="J1746" t="s">
        <v>5696</v>
      </c>
      <c r="K1746" t="s">
        <v>6632</v>
      </c>
      <c r="L1746" t="s">
        <v>6714</v>
      </c>
      <c r="O1746" t="s">
        <v>6762</v>
      </c>
      <c r="P1746" t="s">
        <v>5697</v>
      </c>
      <c r="R1746" t="s">
        <v>6794</v>
      </c>
      <c r="S1746" t="s">
        <v>6801</v>
      </c>
      <c r="T1746" t="s">
        <v>6821</v>
      </c>
      <c r="U1746">
        <v>650</v>
      </c>
      <c r="V1746" t="s">
        <v>6834</v>
      </c>
      <c r="W1746" t="s">
        <v>6839</v>
      </c>
      <c r="Y1746" t="s">
        <v>8478</v>
      </c>
      <c r="AA1746" t="s">
        <v>10517</v>
      </c>
      <c r="AB1746">
        <v>0</v>
      </c>
      <c r="AC1746" t="s">
        <v>10934</v>
      </c>
      <c r="AD1746" t="s">
        <v>5741</v>
      </c>
      <c r="AE1746">
        <v>7</v>
      </c>
      <c r="AF1746">
        <v>1</v>
      </c>
      <c r="AG1746">
        <v>1</v>
      </c>
      <c r="AH1746">
        <v>182.97</v>
      </c>
      <c r="AK1746" t="s">
        <v>10966</v>
      </c>
      <c r="AL1746">
        <v>30939.96</v>
      </c>
      <c r="AR1746">
        <v>0</v>
      </c>
      <c r="AT1746" t="s">
        <v>11177</v>
      </c>
      <c r="AU1746" t="s">
        <v>11228</v>
      </c>
      <c r="AV1746" t="s">
        <v>11231</v>
      </c>
      <c r="AW1746" t="s">
        <v>6821</v>
      </c>
    </row>
    <row r="1747" spans="1:49">
      <c r="A1747" s="1">
        <f>HYPERLINK("https://lsnyc.legalserver.org/matter/dynamic-profile/view/1901603","19-1901603")</f>
        <v>0</v>
      </c>
      <c r="B1747" t="s">
        <v>204</v>
      </c>
      <c r="C1747" t="s">
        <v>1398</v>
      </c>
      <c r="D1747" t="s">
        <v>2782</v>
      </c>
      <c r="E1747" t="s">
        <v>4645</v>
      </c>
      <c r="F1747" t="s">
        <v>5569</v>
      </c>
      <c r="G1747" t="s">
        <v>5646</v>
      </c>
      <c r="H1747">
        <v>11367</v>
      </c>
      <c r="I1747" t="s">
        <v>5695</v>
      </c>
      <c r="J1747" t="s">
        <v>5696</v>
      </c>
      <c r="K1747" t="s">
        <v>6633</v>
      </c>
      <c r="L1747" t="s">
        <v>6714</v>
      </c>
      <c r="O1747" t="s">
        <v>6750</v>
      </c>
      <c r="P1747" t="s">
        <v>5695</v>
      </c>
      <c r="R1747" t="s">
        <v>6794</v>
      </c>
      <c r="U1747">
        <v>293</v>
      </c>
      <c r="V1747" t="s">
        <v>6837</v>
      </c>
      <c r="W1747" t="s">
        <v>6840</v>
      </c>
      <c r="Y1747" t="s">
        <v>8479</v>
      </c>
      <c r="Z1747" t="s">
        <v>9077</v>
      </c>
      <c r="AA1747" t="s">
        <v>10518</v>
      </c>
      <c r="AB1747">
        <v>28</v>
      </c>
      <c r="AC1747" t="s">
        <v>10931</v>
      </c>
      <c r="AD1747" t="s">
        <v>5741</v>
      </c>
      <c r="AE1747">
        <v>4</v>
      </c>
      <c r="AF1747">
        <v>1</v>
      </c>
      <c r="AG1747">
        <v>1</v>
      </c>
      <c r="AH1747">
        <v>10.16</v>
      </c>
      <c r="AL1747">
        <v>1718.4</v>
      </c>
      <c r="AR1747">
        <v>0.92</v>
      </c>
      <c r="AS1747" t="s">
        <v>11124</v>
      </c>
      <c r="AT1747" t="s">
        <v>11184</v>
      </c>
      <c r="AU1747" t="s">
        <v>11228</v>
      </c>
      <c r="AV1747" t="s">
        <v>11231</v>
      </c>
      <c r="AW1747" t="s">
        <v>11124</v>
      </c>
    </row>
    <row r="1748" spans="1:49">
      <c r="A1748" s="1">
        <f>HYPERLINK("https://lsnyc.legalserver.org/matter/dynamic-profile/view/1903827","19-1903827")</f>
        <v>0</v>
      </c>
      <c r="B1748" t="s">
        <v>281</v>
      </c>
      <c r="C1748" t="s">
        <v>1399</v>
      </c>
      <c r="D1748" t="s">
        <v>2783</v>
      </c>
      <c r="E1748" t="s">
        <v>4646</v>
      </c>
      <c r="F1748" t="s">
        <v>5302</v>
      </c>
      <c r="G1748" t="s">
        <v>5636</v>
      </c>
      <c r="H1748">
        <v>10301</v>
      </c>
      <c r="I1748" t="s">
        <v>5695</v>
      </c>
      <c r="J1748" t="s">
        <v>5696</v>
      </c>
      <c r="K1748" t="s">
        <v>6634</v>
      </c>
      <c r="L1748" t="s">
        <v>6714</v>
      </c>
      <c r="O1748" t="s">
        <v>6745</v>
      </c>
      <c r="P1748" t="s">
        <v>5697</v>
      </c>
      <c r="R1748" t="s">
        <v>6793</v>
      </c>
      <c r="S1748" t="s">
        <v>6801</v>
      </c>
      <c r="T1748" t="s">
        <v>6807</v>
      </c>
      <c r="U1748">
        <v>1250</v>
      </c>
      <c r="V1748" t="s">
        <v>6834</v>
      </c>
      <c r="W1748" t="s">
        <v>6840</v>
      </c>
      <c r="Y1748" t="s">
        <v>8480</v>
      </c>
      <c r="AA1748" t="s">
        <v>10519</v>
      </c>
      <c r="AB1748">
        <v>48</v>
      </c>
      <c r="AC1748" t="s">
        <v>10930</v>
      </c>
      <c r="AD1748" t="s">
        <v>5741</v>
      </c>
      <c r="AE1748">
        <v>4</v>
      </c>
      <c r="AF1748">
        <v>2</v>
      </c>
      <c r="AG1748">
        <v>2</v>
      </c>
      <c r="AH1748">
        <v>81.79000000000001</v>
      </c>
      <c r="AK1748" t="s">
        <v>10966</v>
      </c>
      <c r="AL1748">
        <v>21060</v>
      </c>
      <c r="AR1748">
        <v>14</v>
      </c>
      <c r="AS1748" t="s">
        <v>6820</v>
      </c>
      <c r="AT1748" t="s">
        <v>11177</v>
      </c>
      <c r="AU1748" t="s">
        <v>11228</v>
      </c>
      <c r="AV1748" t="s">
        <v>11231</v>
      </c>
      <c r="AW1748" t="s">
        <v>6807</v>
      </c>
    </row>
    <row r="1749" spans="1:49">
      <c r="A1749" s="1">
        <f>HYPERLINK("https://lsnyc.legalserver.org/matter/dynamic-profile/view/1906332","19-1906332")</f>
        <v>0</v>
      </c>
      <c r="B1749" t="s">
        <v>105</v>
      </c>
      <c r="C1749" t="s">
        <v>343</v>
      </c>
      <c r="D1749" t="s">
        <v>2465</v>
      </c>
      <c r="E1749" t="s">
        <v>4647</v>
      </c>
      <c r="F1749" t="s">
        <v>5570</v>
      </c>
      <c r="G1749" t="s">
        <v>5635</v>
      </c>
      <c r="H1749">
        <v>10457</v>
      </c>
      <c r="I1749" t="s">
        <v>5695</v>
      </c>
      <c r="J1749" t="s">
        <v>5696</v>
      </c>
      <c r="K1749" t="s">
        <v>6635</v>
      </c>
      <c r="L1749" t="s">
        <v>6714</v>
      </c>
      <c r="O1749" t="s">
        <v>6763</v>
      </c>
      <c r="R1749" t="s">
        <v>6793</v>
      </c>
      <c r="U1749">
        <v>543</v>
      </c>
      <c r="V1749" t="s">
        <v>6833</v>
      </c>
      <c r="Y1749" t="s">
        <v>8481</v>
      </c>
      <c r="AA1749" t="s">
        <v>10520</v>
      </c>
      <c r="AB1749">
        <v>49</v>
      </c>
      <c r="AD1749" t="s">
        <v>10945</v>
      </c>
      <c r="AE1749">
        <v>43</v>
      </c>
      <c r="AF1749">
        <v>2</v>
      </c>
      <c r="AG1749">
        <v>0</v>
      </c>
      <c r="AH1749">
        <v>138.73</v>
      </c>
      <c r="AL1749">
        <v>23460</v>
      </c>
      <c r="AR1749">
        <v>0</v>
      </c>
      <c r="AT1749" t="s">
        <v>288</v>
      </c>
      <c r="AU1749" t="s">
        <v>11228</v>
      </c>
      <c r="AV1749" t="s">
        <v>11231</v>
      </c>
      <c r="AW1749" t="s">
        <v>6827</v>
      </c>
    </row>
    <row r="1750" spans="1:49">
      <c r="A1750" s="1">
        <f>HYPERLINK("https://lsnyc.legalserver.org/matter/dynamic-profile/view/1903575","19-1903575")</f>
        <v>0</v>
      </c>
      <c r="B1750" t="s">
        <v>105</v>
      </c>
      <c r="C1750" t="s">
        <v>980</v>
      </c>
      <c r="D1750" t="s">
        <v>2080</v>
      </c>
      <c r="E1750" t="s">
        <v>4648</v>
      </c>
      <c r="F1750" t="s">
        <v>5347</v>
      </c>
      <c r="G1750" t="s">
        <v>5635</v>
      </c>
      <c r="H1750">
        <v>10468</v>
      </c>
      <c r="I1750" t="s">
        <v>5695</v>
      </c>
      <c r="J1750" t="s">
        <v>5696</v>
      </c>
      <c r="K1750" t="s">
        <v>6636</v>
      </c>
      <c r="L1750" t="s">
        <v>6714</v>
      </c>
      <c r="O1750" t="s">
        <v>6763</v>
      </c>
      <c r="P1750" t="s">
        <v>5697</v>
      </c>
      <c r="R1750" t="s">
        <v>6793</v>
      </c>
      <c r="U1750">
        <v>800</v>
      </c>
      <c r="V1750" t="s">
        <v>6833</v>
      </c>
      <c r="Y1750" t="s">
        <v>8482</v>
      </c>
      <c r="AA1750" t="s">
        <v>10521</v>
      </c>
      <c r="AB1750">
        <v>120</v>
      </c>
      <c r="AE1750">
        <v>4</v>
      </c>
      <c r="AF1750">
        <v>1</v>
      </c>
      <c r="AG1750">
        <v>2</v>
      </c>
      <c r="AH1750">
        <v>90.01000000000001</v>
      </c>
      <c r="AL1750">
        <v>19200</v>
      </c>
      <c r="AR1750">
        <v>1</v>
      </c>
      <c r="AS1750" t="s">
        <v>6824</v>
      </c>
      <c r="AT1750" t="s">
        <v>288</v>
      </c>
      <c r="AU1750" t="s">
        <v>11228</v>
      </c>
      <c r="AV1750" t="s">
        <v>11231</v>
      </c>
      <c r="AW1750" t="s">
        <v>11147</v>
      </c>
    </row>
    <row r="1751" spans="1:49">
      <c r="A1751" s="1">
        <f>HYPERLINK("https://lsnyc.legalserver.org/matter/dynamic-profile/view/1896206","19-1896206")</f>
        <v>0</v>
      </c>
      <c r="B1751" t="s">
        <v>55</v>
      </c>
      <c r="C1751" t="s">
        <v>697</v>
      </c>
      <c r="D1751" t="s">
        <v>2784</v>
      </c>
      <c r="E1751" t="s">
        <v>4649</v>
      </c>
      <c r="F1751" t="s">
        <v>5099</v>
      </c>
      <c r="G1751" t="s">
        <v>5638</v>
      </c>
      <c r="H1751">
        <v>10031</v>
      </c>
      <c r="I1751" t="s">
        <v>5695</v>
      </c>
      <c r="J1751" t="s">
        <v>5695</v>
      </c>
      <c r="L1751" t="s">
        <v>6714</v>
      </c>
      <c r="O1751" t="s">
        <v>6749</v>
      </c>
      <c r="P1751" t="s">
        <v>5697</v>
      </c>
      <c r="R1751" t="s">
        <v>6793</v>
      </c>
      <c r="U1751">
        <v>1108</v>
      </c>
      <c r="V1751" t="s">
        <v>6836</v>
      </c>
      <c r="W1751" t="s">
        <v>6841</v>
      </c>
      <c r="Y1751" t="s">
        <v>8483</v>
      </c>
      <c r="AA1751" t="s">
        <v>10522</v>
      </c>
      <c r="AB1751">
        <v>0</v>
      </c>
      <c r="AC1751" t="s">
        <v>10929</v>
      </c>
      <c r="AE1751">
        <v>14</v>
      </c>
      <c r="AF1751">
        <v>2</v>
      </c>
      <c r="AG1751">
        <v>0</v>
      </c>
      <c r="AH1751">
        <v>107.63</v>
      </c>
      <c r="AL1751">
        <v>18200</v>
      </c>
      <c r="AR1751">
        <v>5</v>
      </c>
      <c r="AS1751" t="s">
        <v>11155</v>
      </c>
      <c r="AT1751" t="s">
        <v>229</v>
      </c>
      <c r="AV1751" t="s">
        <v>11231</v>
      </c>
      <c r="AW1751" t="s">
        <v>11167</v>
      </c>
    </row>
    <row r="1752" spans="1:49">
      <c r="A1752" s="1">
        <f>HYPERLINK("https://lsnyc.legalserver.org/matter/dynamic-profile/view/1904005","19-1904005")</f>
        <v>0</v>
      </c>
      <c r="B1752" t="s">
        <v>141</v>
      </c>
      <c r="C1752" t="s">
        <v>1311</v>
      </c>
      <c r="D1752" t="s">
        <v>2266</v>
      </c>
      <c r="E1752" t="s">
        <v>4650</v>
      </c>
      <c r="F1752" t="s">
        <v>5375</v>
      </c>
      <c r="G1752" t="s">
        <v>5637</v>
      </c>
      <c r="H1752">
        <v>11208</v>
      </c>
      <c r="I1752" t="s">
        <v>5696</v>
      </c>
      <c r="J1752" t="s">
        <v>5696</v>
      </c>
      <c r="L1752" t="s">
        <v>6714</v>
      </c>
      <c r="O1752" t="s">
        <v>6748</v>
      </c>
      <c r="R1752" t="s">
        <v>6793</v>
      </c>
      <c r="U1752">
        <v>1500</v>
      </c>
      <c r="V1752" t="s">
        <v>6835</v>
      </c>
      <c r="W1752" t="s">
        <v>6843</v>
      </c>
      <c r="Y1752" t="s">
        <v>8484</v>
      </c>
      <c r="AA1752" t="s">
        <v>10523</v>
      </c>
      <c r="AB1752">
        <v>3</v>
      </c>
      <c r="AC1752" t="s">
        <v>8953</v>
      </c>
      <c r="AE1752">
        <v>9</v>
      </c>
      <c r="AF1752">
        <v>1</v>
      </c>
      <c r="AG1752">
        <v>0</v>
      </c>
      <c r="AH1752">
        <v>122.5</v>
      </c>
      <c r="AK1752" t="s">
        <v>10966</v>
      </c>
      <c r="AL1752">
        <v>15300</v>
      </c>
      <c r="AR1752">
        <v>1.75</v>
      </c>
      <c r="AS1752" t="s">
        <v>6820</v>
      </c>
      <c r="AT1752" t="s">
        <v>11180</v>
      </c>
      <c r="AV1752" t="s">
        <v>11231</v>
      </c>
      <c r="AW1752" t="s">
        <v>6825</v>
      </c>
    </row>
    <row r="1753" spans="1:49">
      <c r="A1753" s="1">
        <f>HYPERLINK("https://lsnyc.legalserver.org/matter/dynamic-profile/view/1906345","19-1906345")</f>
        <v>0</v>
      </c>
      <c r="B1753" t="s">
        <v>53</v>
      </c>
      <c r="C1753" t="s">
        <v>1400</v>
      </c>
      <c r="D1753" t="s">
        <v>2785</v>
      </c>
      <c r="E1753" t="s">
        <v>4651</v>
      </c>
      <c r="F1753">
        <v>2</v>
      </c>
      <c r="G1753" t="s">
        <v>5635</v>
      </c>
      <c r="H1753">
        <v>10469</v>
      </c>
      <c r="I1753" t="s">
        <v>5695</v>
      </c>
      <c r="J1753" t="s">
        <v>5696</v>
      </c>
      <c r="K1753" t="s">
        <v>6637</v>
      </c>
      <c r="L1753" t="s">
        <v>6714</v>
      </c>
      <c r="O1753" t="s">
        <v>6747</v>
      </c>
      <c r="P1753" t="s">
        <v>5697</v>
      </c>
      <c r="R1753" t="s">
        <v>6793</v>
      </c>
      <c r="U1753">
        <v>2250</v>
      </c>
      <c r="V1753" t="s">
        <v>6833</v>
      </c>
      <c r="Y1753" t="s">
        <v>8485</v>
      </c>
      <c r="Z1753" t="s">
        <v>9078</v>
      </c>
      <c r="AA1753" t="s">
        <v>10524</v>
      </c>
      <c r="AB1753">
        <v>0</v>
      </c>
      <c r="AD1753" t="s">
        <v>10948</v>
      </c>
      <c r="AE1753">
        <v>1</v>
      </c>
      <c r="AF1753">
        <v>2</v>
      </c>
      <c r="AG1753">
        <v>2</v>
      </c>
      <c r="AH1753">
        <v>161.94</v>
      </c>
      <c r="AK1753" t="s">
        <v>10966</v>
      </c>
      <c r="AL1753">
        <v>41700</v>
      </c>
      <c r="AR1753">
        <v>0</v>
      </c>
      <c r="AT1753" t="s">
        <v>288</v>
      </c>
      <c r="AU1753" t="s">
        <v>11228</v>
      </c>
      <c r="AV1753" t="s">
        <v>11231</v>
      </c>
      <c r="AW1753" t="s">
        <v>6827</v>
      </c>
    </row>
    <row r="1754" spans="1:49">
      <c r="A1754" s="1">
        <f>HYPERLINK("https://lsnyc.legalserver.org/matter/dynamic-profile/view/1903351","19-1903351")</f>
        <v>0</v>
      </c>
      <c r="B1754" t="s">
        <v>196</v>
      </c>
      <c r="C1754" t="s">
        <v>983</v>
      </c>
      <c r="D1754" t="s">
        <v>2786</v>
      </c>
      <c r="E1754" t="s">
        <v>4652</v>
      </c>
      <c r="F1754" t="s">
        <v>5571</v>
      </c>
      <c r="G1754" t="s">
        <v>5635</v>
      </c>
      <c r="H1754">
        <v>10457</v>
      </c>
      <c r="I1754" t="s">
        <v>5695</v>
      </c>
      <c r="J1754" t="s">
        <v>5696</v>
      </c>
      <c r="K1754" t="s">
        <v>6638</v>
      </c>
      <c r="L1754" t="s">
        <v>6714</v>
      </c>
      <c r="O1754" t="s">
        <v>6763</v>
      </c>
      <c r="P1754" t="s">
        <v>5697</v>
      </c>
      <c r="R1754" t="s">
        <v>6793</v>
      </c>
      <c r="U1754">
        <v>2100</v>
      </c>
      <c r="V1754" t="s">
        <v>6833</v>
      </c>
      <c r="Y1754" t="s">
        <v>7355</v>
      </c>
      <c r="Z1754" t="s">
        <v>9079</v>
      </c>
      <c r="AA1754" t="s">
        <v>10525</v>
      </c>
      <c r="AB1754">
        <v>21</v>
      </c>
      <c r="AD1754" t="s">
        <v>6841</v>
      </c>
      <c r="AE1754">
        <v>1</v>
      </c>
      <c r="AF1754">
        <v>1</v>
      </c>
      <c r="AG1754">
        <v>1</v>
      </c>
      <c r="AH1754">
        <v>75.84999999999999</v>
      </c>
      <c r="AK1754" t="s">
        <v>10966</v>
      </c>
      <c r="AL1754">
        <v>12826</v>
      </c>
      <c r="AR1754">
        <v>0</v>
      </c>
      <c r="AT1754" t="s">
        <v>288</v>
      </c>
      <c r="AU1754" t="s">
        <v>11229</v>
      </c>
      <c r="AV1754" t="s">
        <v>11231</v>
      </c>
      <c r="AW1754" t="s">
        <v>11136</v>
      </c>
    </row>
    <row r="1755" spans="1:49">
      <c r="A1755" s="1">
        <f>HYPERLINK("https://lsnyc.legalserver.org/matter/dynamic-profile/view/1899768","19-1899768")</f>
        <v>0</v>
      </c>
      <c r="B1755" t="s">
        <v>132</v>
      </c>
      <c r="C1755" t="s">
        <v>1401</v>
      </c>
      <c r="D1755" t="s">
        <v>1549</v>
      </c>
      <c r="E1755" t="s">
        <v>4653</v>
      </c>
      <c r="F1755">
        <v>1414</v>
      </c>
      <c r="G1755" t="s">
        <v>5637</v>
      </c>
      <c r="H1755">
        <v>11201</v>
      </c>
      <c r="I1755" t="s">
        <v>5696</v>
      </c>
      <c r="J1755" t="s">
        <v>5696</v>
      </c>
      <c r="L1755" t="s">
        <v>6714</v>
      </c>
      <c r="O1755" t="s">
        <v>6773</v>
      </c>
      <c r="P1755" t="s">
        <v>5697</v>
      </c>
      <c r="R1755" t="s">
        <v>6793</v>
      </c>
      <c r="U1755">
        <v>977.4400000000001</v>
      </c>
      <c r="V1755" t="s">
        <v>6835</v>
      </c>
      <c r="W1755" t="s">
        <v>6838</v>
      </c>
      <c r="Y1755" t="s">
        <v>8486</v>
      </c>
      <c r="AA1755" t="s">
        <v>10526</v>
      </c>
      <c r="AB1755">
        <v>250</v>
      </c>
      <c r="AC1755" t="s">
        <v>10929</v>
      </c>
      <c r="AD1755" t="s">
        <v>10944</v>
      </c>
      <c r="AE1755">
        <v>1</v>
      </c>
      <c r="AF1755">
        <v>1</v>
      </c>
      <c r="AG1755">
        <v>0</v>
      </c>
      <c r="AH1755">
        <v>17.29</v>
      </c>
      <c r="AL1755">
        <v>2160</v>
      </c>
      <c r="AR1755">
        <v>28.8</v>
      </c>
      <c r="AS1755" t="s">
        <v>6827</v>
      </c>
      <c r="AT1755" t="s">
        <v>141</v>
      </c>
      <c r="AV1755" t="s">
        <v>11231</v>
      </c>
      <c r="AW1755" t="s">
        <v>11146</v>
      </c>
    </row>
    <row r="1756" spans="1:49">
      <c r="A1756" s="1">
        <f>HYPERLINK("https://lsnyc.legalserver.org/matter/dynamic-profile/view/1899502","19-1899502")</f>
        <v>0</v>
      </c>
      <c r="B1756" t="s">
        <v>101</v>
      </c>
      <c r="C1756" t="s">
        <v>335</v>
      </c>
      <c r="D1756" t="s">
        <v>2034</v>
      </c>
      <c r="E1756" t="s">
        <v>4654</v>
      </c>
      <c r="F1756" t="s">
        <v>5161</v>
      </c>
      <c r="G1756" t="s">
        <v>5636</v>
      </c>
      <c r="H1756">
        <v>10305</v>
      </c>
      <c r="I1756" t="s">
        <v>5695</v>
      </c>
      <c r="J1756" t="s">
        <v>5696</v>
      </c>
      <c r="K1756" t="s">
        <v>6639</v>
      </c>
      <c r="L1756" t="s">
        <v>6714</v>
      </c>
      <c r="O1756" t="s">
        <v>6751</v>
      </c>
      <c r="P1756" t="s">
        <v>5697</v>
      </c>
      <c r="R1756" t="s">
        <v>6794</v>
      </c>
      <c r="S1756" t="s">
        <v>6801</v>
      </c>
      <c r="U1756">
        <v>256</v>
      </c>
      <c r="V1756" t="s">
        <v>6834</v>
      </c>
      <c r="W1756" t="s">
        <v>6850</v>
      </c>
      <c r="Y1756" t="s">
        <v>8487</v>
      </c>
      <c r="AA1756" t="s">
        <v>10527</v>
      </c>
      <c r="AB1756">
        <v>0</v>
      </c>
      <c r="AC1756" t="s">
        <v>10934</v>
      </c>
      <c r="AD1756" t="s">
        <v>5741</v>
      </c>
      <c r="AE1756">
        <v>26</v>
      </c>
      <c r="AF1756">
        <v>1</v>
      </c>
      <c r="AG1756">
        <v>0</v>
      </c>
      <c r="AH1756">
        <v>74.08</v>
      </c>
      <c r="AK1756" t="s">
        <v>10966</v>
      </c>
      <c r="AL1756">
        <v>9252</v>
      </c>
      <c r="AR1756">
        <v>2.45</v>
      </c>
      <c r="AS1756" t="s">
        <v>6809</v>
      </c>
      <c r="AT1756" t="s">
        <v>11177</v>
      </c>
      <c r="AU1756" t="s">
        <v>11228</v>
      </c>
      <c r="AV1756" t="s">
        <v>11231</v>
      </c>
      <c r="AW1756" t="s">
        <v>11161</v>
      </c>
    </row>
    <row r="1757" spans="1:49">
      <c r="A1757" s="1">
        <f>HYPERLINK("https://lsnyc.legalserver.org/matter/dynamic-profile/view/1904033","19-1904033")</f>
        <v>0</v>
      </c>
      <c r="B1757" t="s">
        <v>119</v>
      </c>
      <c r="C1757" t="s">
        <v>411</v>
      </c>
      <c r="D1757" t="s">
        <v>2360</v>
      </c>
      <c r="E1757" t="s">
        <v>4655</v>
      </c>
      <c r="F1757" t="s">
        <v>5248</v>
      </c>
      <c r="G1757" t="s">
        <v>5637</v>
      </c>
      <c r="H1757">
        <v>11233</v>
      </c>
      <c r="I1757" t="s">
        <v>5695</v>
      </c>
      <c r="J1757" t="s">
        <v>5696</v>
      </c>
      <c r="K1757" t="s">
        <v>6640</v>
      </c>
      <c r="L1757" t="s">
        <v>6714</v>
      </c>
      <c r="O1757" t="s">
        <v>6745</v>
      </c>
      <c r="P1757" t="s">
        <v>5697</v>
      </c>
      <c r="R1757" t="s">
        <v>6793</v>
      </c>
      <c r="S1757" t="s">
        <v>6801</v>
      </c>
      <c r="T1757" t="s">
        <v>6819</v>
      </c>
      <c r="U1757">
        <v>900</v>
      </c>
      <c r="V1757" t="s">
        <v>6835</v>
      </c>
      <c r="W1757" t="s">
        <v>6839</v>
      </c>
      <c r="Y1757" t="s">
        <v>8488</v>
      </c>
      <c r="Z1757" t="s">
        <v>5773</v>
      </c>
      <c r="AA1757" t="s">
        <v>10528</v>
      </c>
      <c r="AB1757">
        <v>97</v>
      </c>
      <c r="AC1757" t="s">
        <v>10934</v>
      </c>
      <c r="AD1757" t="s">
        <v>10943</v>
      </c>
      <c r="AE1757">
        <v>7</v>
      </c>
      <c r="AF1757">
        <v>3</v>
      </c>
      <c r="AG1757">
        <v>0</v>
      </c>
      <c r="AH1757">
        <v>182.33</v>
      </c>
      <c r="AK1757" t="s">
        <v>10966</v>
      </c>
      <c r="AL1757">
        <v>38892</v>
      </c>
      <c r="AR1757">
        <v>1.5</v>
      </c>
      <c r="AS1757" t="s">
        <v>6808</v>
      </c>
      <c r="AT1757" t="s">
        <v>69</v>
      </c>
      <c r="AU1757" t="s">
        <v>11228</v>
      </c>
      <c r="AV1757" t="s">
        <v>11231</v>
      </c>
      <c r="AW1757" t="s">
        <v>6817</v>
      </c>
    </row>
    <row r="1758" spans="1:49">
      <c r="A1758" s="1">
        <f>HYPERLINK("https://lsnyc.legalserver.org/matter/dynamic-profile/view/1901426","19-1901426")</f>
        <v>0</v>
      </c>
      <c r="B1758" t="s">
        <v>158</v>
      </c>
      <c r="C1758" t="s">
        <v>871</v>
      </c>
      <c r="D1758" t="s">
        <v>1657</v>
      </c>
      <c r="E1758" t="s">
        <v>4656</v>
      </c>
      <c r="F1758" t="s">
        <v>5204</v>
      </c>
      <c r="G1758" t="s">
        <v>5637</v>
      </c>
      <c r="H1758">
        <v>11226</v>
      </c>
      <c r="I1758" t="s">
        <v>5696</v>
      </c>
      <c r="J1758" t="s">
        <v>5696</v>
      </c>
      <c r="K1758" t="s">
        <v>6641</v>
      </c>
      <c r="L1758" t="s">
        <v>6714</v>
      </c>
      <c r="O1758" t="s">
        <v>6755</v>
      </c>
      <c r="R1758" t="s">
        <v>6793</v>
      </c>
      <c r="U1758">
        <v>1294</v>
      </c>
      <c r="V1758" t="s">
        <v>6835</v>
      </c>
      <c r="W1758" t="s">
        <v>6838</v>
      </c>
      <c r="Y1758" t="s">
        <v>7985</v>
      </c>
      <c r="AA1758" t="s">
        <v>10529</v>
      </c>
      <c r="AB1758">
        <v>30</v>
      </c>
      <c r="AD1758" t="s">
        <v>10948</v>
      </c>
      <c r="AE1758">
        <v>10</v>
      </c>
      <c r="AF1758">
        <v>1</v>
      </c>
      <c r="AG1758">
        <v>0</v>
      </c>
      <c r="AH1758">
        <v>81.67</v>
      </c>
      <c r="AK1758" t="s">
        <v>10966</v>
      </c>
      <c r="AL1758">
        <v>10200</v>
      </c>
      <c r="AR1758">
        <v>4.05</v>
      </c>
      <c r="AS1758" t="s">
        <v>6820</v>
      </c>
      <c r="AT1758" t="s">
        <v>11192</v>
      </c>
      <c r="AV1758" t="s">
        <v>11231</v>
      </c>
      <c r="AW1758" t="s">
        <v>11135</v>
      </c>
    </row>
    <row r="1759" spans="1:49">
      <c r="A1759" s="1">
        <f>HYPERLINK("https://lsnyc.legalserver.org/matter/dynamic-profile/view/1903415","19-1903415")</f>
        <v>0</v>
      </c>
      <c r="B1759" t="s">
        <v>118</v>
      </c>
      <c r="C1759" t="s">
        <v>1321</v>
      </c>
      <c r="D1759" t="s">
        <v>2488</v>
      </c>
      <c r="E1759" t="s">
        <v>4657</v>
      </c>
      <c r="F1759" t="s">
        <v>5142</v>
      </c>
      <c r="G1759" t="s">
        <v>5637</v>
      </c>
      <c r="H1759">
        <v>11207</v>
      </c>
      <c r="I1759" t="s">
        <v>5696</v>
      </c>
      <c r="J1759" t="s">
        <v>5696</v>
      </c>
      <c r="L1759" t="s">
        <v>6714</v>
      </c>
      <c r="O1759" t="s">
        <v>6753</v>
      </c>
      <c r="P1759" t="s">
        <v>5697</v>
      </c>
      <c r="R1759" t="s">
        <v>6794</v>
      </c>
      <c r="U1759">
        <v>950</v>
      </c>
      <c r="V1759" t="s">
        <v>6835</v>
      </c>
      <c r="W1759" t="s">
        <v>6838</v>
      </c>
      <c r="Y1759" t="s">
        <v>8489</v>
      </c>
      <c r="AA1759" t="s">
        <v>10530</v>
      </c>
      <c r="AB1759">
        <v>98</v>
      </c>
      <c r="AC1759" t="s">
        <v>10931</v>
      </c>
      <c r="AD1759" t="s">
        <v>10944</v>
      </c>
      <c r="AE1759">
        <v>7</v>
      </c>
      <c r="AF1759">
        <v>1</v>
      </c>
      <c r="AG1759">
        <v>0</v>
      </c>
      <c r="AH1759">
        <v>272.22</v>
      </c>
      <c r="AK1759" t="s">
        <v>10966</v>
      </c>
      <c r="AL1759">
        <v>34000</v>
      </c>
      <c r="AR1759">
        <v>2.2</v>
      </c>
      <c r="AS1759" t="s">
        <v>11147</v>
      </c>
      <c r="AT1759" t="s">
        <v>11180</v>
      </c>
      <c r="AV1759" t="s">
        <v>11231</v>
      </c>
      <c r="AW1759" t="s">
        <v>11136</v>
      </c>
    </row>
    <row r="1760" spans="1:49">
      <c r="A1760" s="1">
        <f>HYPERLINK("https://lsnyc.legalserver.org/matter/dynamic-profile/view/1894440","19-1894440")</f>
        <v>0</v>
      </c>
      <c r="B1760" t="s">
        <v>51</v>
      </c>
      <c r="C1760" t="s">
        <v>1402</v>
      </c>
      <c r="D1760" t="s">
        <v>2787</v>
      </c>
      <c r="E1760" t="s">
        <v>3326</v>
      </c>
      <c r="F1760">
        <v>216</v>
      </c>
      <c r="G1760" t="s">
        <v>5636</v>
      </c>
      <c r="H1760">
        <v>10304</v>
      </c>
      <c r="I1760" t="s">
        <v>5695</v>
      </c>
      <c r="J1760" t="s">
        <v>5696</v>
      </c>
      <c r="K1760" t="s">
        <v>6642</v>
      </c>
      <c r="L1760" t="s">
        <v>6714</v>
      </c>
      <c r="O1760" t="s">
        <v>6745</v>
      </c>
      <c r="P1760" t="s">
        <v>5697</v>
      </c>
      <c r="R1760" t="s">
        <v>6793</v>
      </c>
      <c r="U1760">
        <v>1268</v>
      </c>
      <c r="V1760" t="s">
        <v>6834</v>
      </c>
      <c r="W1760" t="s">
        <v>6839</v>
      </c>
      <c r="Y1760" t="s">
        <v>8490</v>
      </c>
      <c r="AA1760" t="s">
        <v>10531</v>
      </c>
      <c r="AB1760">
        <v>0</v>
      </c>
      <c r="AC1760" t="s">
        <v>10929</v>
      </c>
      <c r="AE1760">
        <v>1</v>
      </c>
      <c r="AF1760">
        <v>1</v>
      </c>
      <c r="AG1760">
        <v>1</v>
      </c>
      <c r="AH1760">
        <v>0</v>
      </c>
      <c r="AK1760" t="s">
        <v>10966</v>
      </c>
      <c r="AL1760">
        <v>0</v>
      </c>
      <c r="AR1760">
        <v>21.55</v>
      </c>
      <c r="AS1760" t="s">
        <v>6820</v>
      </c>
      <c r="AT1760" t="s">
        <v>11177</v>
      </c>
      <c r="AU1760" t="s">
        <v>11228</v>
      </c>
      <c r="AV1760" t="s">
        <v>11231</v>
      </c>
      <c r="AW1760" t="s">
        <v>11154</v>
      </c>
    </row>
    <row r="1761" spans="1:49">
      <c r="A1761" s="1">
        <f>HYPERLINK("https://lsnyc.legalserver.org/matter/dynamic-profile/view/1899757","19-1899757")</f>
        <v>0</v>
      </c>
      <c r="B1761" t="s">
        <v>289</v>
      </c>
      <c r="C1761" t="s">
        <v>615</v>
      </c>
      <c r="D1761" t="s">
        <v>2788</v>
      </c>
      <c r="E1761" t="s">
        <v>4658</v>
      </c>
      <c r="F1761" t="s">
        <v>5116</v>
      </c>
      <c r="G1761" t="s">
        <v>5653</v>
      </c>
      <c r="H1761">
        <v>11374</v>
      </c>
      <c r="I1761" t="s">
        <v>5696</v>
      </c>
      <c r="J1761" t="s">
        <v>5696</v>
      </c>
      <c r="L1761" t="s">
        <v>6714</v>
      </c>
      <c r="O1761" t="s">
        <v>6750</v>
      </c>
      <c r="R1761" t="s">
        <v>6793</v>
      </c>
      <c r="U1761">
        <v>1313.8</v>
      </c>
      <c r="V1761" t="s">
        <v>6837</v>
      </c>
      <c r="Y1761" t="s">
        <v>8491</v>
      </c>
      <c r="AA1761" t="s">
        <v>10532</v>
      </c>
      <c r="AB1761">
        <v>0</v>
      </c>
      <c r="AD1761" t="s">
        <v>10945</v>
      </c>
      <c r="AE1761">
        <v>0</v>
      </c>
      <c r="AF1761">
        <v>2</v>
      </c>
      <c r="AG1761">
        <v>0</v>
      </c>
      <c r="AH1761">
        <v>140.08</v>
      </c>
      <c r="AK1761" t="s">
        <v>10967</v>
      </c>
      <c r="AL1761">
        <v>23688</v>
      </c>
      <c r="AR1761">
        <v>6.85</v>
      </c>
      <c r="AS1761" t="s">
        <v>6820</v>
      </c>
      <c r="AT1761" t="s">
        <v>11184</v>
      </c>
      <c r="AV1761" t="s">
        <v>11231</v>
      </c>
      <c r="AW1761" t="s">
        <v>11146</v>
      </c>
    </row>
    <row r="1762" spans="1:49">
      <c r="A1762" s="1">
        <f>HYPERLINK("https://lsnyc.legalserver.org/matter/dynamic-profile/view/1903980","19-1903980")</f>
        <v>0</v>
      </c>
      <c r="B1762" t="s">
        <v>244</v>
      </c>
      <c r="C1762" t="s">
        <v>561</v>
      </c>
      <c r="D1762" t="s">
        <v>2789</v>
      </c>
      <c r="E1762" t="s">
        <v>4659</v>
      </c>
      <c r="F1762" t="s">
        <v>5572</v>
      </c>
      <c r="G1762" t="s">
        <v>5638</v>
      </c>
      <c r="H1762">
        <v>10027</v>
      </c>
      <c r="I1762" t="s">
        <v>5696</v>
      </c>
      <c r="J1762" t="s">
        <v>5696</v>
      </c>
      <c r="K1762" t="s">
        <v>6643</v>
      </c>
      <c r="L1762" t="s">
        <v>6714</v>
      </c>
      <c r="O1762" t="s">
        <v>6759</v>
      </c>
      <c r="R1762" t="s">
        <v>6793</v>
      </c>
      <c r="U1762">
        <v>742</v>
      </c>
      <c r="V1762" t="s">
        <v>6836</v>
      </c>
      <c r="Y1762" t="s">
        <v>8492</v>
      </c>
      <c r="AA1762" t="s">
        <v>10533</v>
      </c>
      <c r="AB1762">
        <v>0</v>
      </c>
      <c r="AE1762">
        <v>10</v>
      </c>
      <c r="AF1762">
        <v>1</v>
      </c>
      <c r="AG1762">
        <v>1</v>
      </c>
      <c r="AH1762">
        <v>154.99</v>
      </c>
      <c r="AK1762" t="s">
        <v>10966</v>
      </c>
      <c r="AL1762">
        <v>26208</v>
      </c>
      <c r="AR1762">
        <v>0.1</v>
      </c>
      <c r="AS1762" t="s">
        <v>6825</v>
      </c>
      <c r="AT1762" t="s">
        <v>11194</v>
      </c>
      <c r="AV1762" t="s">
        <v>11231</v>
      </c>
      <c r="AW1762" t="s">
        <v>6825</v>
      </c>
    </row>
    <row r="1763" spans="1:49">
      <c r="A1763" s="1">
        <f>HYPERLINK("https://lsnyc.legalserver.org/matter/dynamic-profile/view/1904168","19-1904168")</f>
        <v>0</v>
      </c>
      <c r="B1763" t="s">
        <v>249</v>
      </c>
      <c r="C1763" t="s">
        <v>1403</v>
      </c>
      <c r="D1763" t="s">
        <v>1741</v>
      </c>
      <c r="E1763" t="s">
        <v>4660</v>
      </c>
      <c r="F1763" t="s">
        <v>5143</v>
      </c>
      <c r="G1763" t="s">
        <v>5638</v>
      </c>
      <c r="H1763">
        <v>10031</v>
      </c>
      <c r="I1763" t="s">
        <v>5696</v>
      </c>
      <c r="J1763" t="s">
        <v>5696</v>
      </c>
      <c r="L1763" t="s">
        <v>6714</v>
      </c>
      <c r="O1763" t="s">
        <v>6749</v>
      </c>
      <c r="P1763" t="s">
        <v>5697</v>
      </c>
      <c r="R1763" t="s">
        <v>6793</v>
      </c>
      <c r="S1763" t="s">
        <v>6801</v>
      </c>
      <c r="U1763">
        <v>500</v>
      </c>
      <c r="V1763" t="s">
        <v>6836</v>
      </c>
      <c r="Y1763" t="s">
        <v>8493</v>
      </c>
      <c r="AA1763" t="s">
        <v>10534</v>
      </c>
      <c r="AB1763">
        <v>0</v>
      </c>
      <c r="AE1763">
        <v>1</v>
      </c>
      <c r="AF1763">
        <v>2</v>
      </c>
      <c r="AG1763">
        <v>1</v>
      </c>
      <c r="AH1763">
        <v>170.65</v>
      </c>
      <c r="AK1763" t="s">
        <v>10966</v>
      </c>
      <c r="AL1763">
        <v>36400</v>
      </c>
      <c r="AR1763">
        <v>1</v>
      </c>
      <c r="AS1763" t="s">
        <v>6818</v>
      </c>
      <c r="AT1763" t="s">
        <v>11199</v>
      </c>
      <c r="AV1763" t="s">
        <v>11231</v>
      </c>
      <c r="AW1763" t="s">
        <v>6818</v>
      </c>
    </row>
    <row r="1764" spans="1:49">
      <c r="A1764" s="1">
        <f>HYPERLINK("https://lsnyc.legalserver.org/matter/dynamic-profile/view/1902999","19-1902999")</f>
        <v>0</v>
      </c>
      <c r="B1764" t="s">
        <v>198</v>
      </c>
      <c r="C1764" t="s">
        <v>392</v>
      </c>
      <c r="D1764" t="s">
        <v>2162</v>
      </c>
      <c r="E1764" t="s">
        <v>4661</v>
      </c>
      <c r="F1764" t="s">
        <v>5573</v>
      </c>
      <c r="G1764" t="s">
        <v>5635</v>
      </c>
      <c r="H1764">
        <v>10462</v>
      </c>
      <c r="I1764" t="s">
        <v>5695</v>
      </c>
      <c r="J1764" t="s">
        <v>5696</v>
      </c>
      <c r="K1764" t="s">
        <v>6644</v>
      </c>
      <c r="L1764" t="s">
        <v>6714</v>
      </c>
      <c r="O1764" t="s">
        <v>6763</v>
      </c>
      <c r="P1764" t="s">
        <v>5697</v>
      </c>
      <c r="R1764" t="s">
        <v>6793</v>
      </c>
      <c r="U1764">
        <v>959</v>
      </c>
      <c r="V1764" t="s">
        <v>6833</v>
      </c>
      <c r="Y1764" t="s">
        <v>8494</v>
      </c>
      <c r="AA1764" t="s">
        <v>10535</v>
      </c>
      <c r="AB1764">
        <v>85</v>
      </c>
      <c r="AE1764">
        <v>30</v>
      </c>
      <c r="AF1764">
        <v>2</v>
      </c>
      <c r="AG1764">
        <v>0</v>
      </c>
      <c r="AH1764">
        <v>74.87</v>
      </c>
      <c r="AK1764" t="s">
        <v>10966</v>
      </c>
      <c r="AL1764">
        <v>12660</v>
      </c>
      <c r="AR1764">
        <v>3</v>
      </c>
      <c r="AS1764" t="s">
        <v>6814</v>
      </c>
      <c r="AT1764" t="s">
        <v>288</v>
      </c>
      <c r="AU1764" t="s">
        <v>11228</v>
      </c>
      <c r="AV1764" t="s">
        <v>11231</v>
      </c>
      <c r="AW1764" t="s">
        <v>11138</v>
      </c>
    </row>
    <row r="1765" spans="1:49">
      <c r="A1765" s="1">
        <f>HYPERLINK("https://lsnyc.legalserver.org/matter/dynamic-profile/view/1905118","19-1905118")</f>
        <v>0</v>
      </c>
      <c r="B1765" t="s">
        <v>155</v>
      </c>
      <c r="C1765" t="s">
        <v>631</v>
      </c>
      <c r="D1765" t="s">
        <v>662</v>
      </c>
      <c r="E1765" t="s">
        <v>4662</v>
      </c>
      <c r="F1765" t="s">
        <v>5273</v>
      </c>
      <c r="G1765" t="s">
        <v>5637</v>
      </c>
      <c r="H1765">
        <v>11233</v>
      </c>
      <c r="I1765" t="s">
        <v>5697</v>
      </c>
      <c r="J1765" t="s">
        <v>5696</v>
      </c>
      <c r="K1765" t="s">
        <v>6645</v>
      </c>
      <c r="L1765" t="s">
        <v>6714</v>
      </c>
      <c r="O1765" t="s">
        <v>6745</v>
      </c>
      <c r="P1765" t="s">
        <v>5697</v>
      </c>
      <c r="R1765" t="s">
        <v>6793</v>
      </c>
      <c r="S1765" t="s">
        <v>6801</v>
      </c>
      <c r="U1765">
        <v>826</v>
      </c>
      <c r="V1765" t="s">
        <v>6835</v>
      </c>
      <c r="W1765" t="s">
        <v>6843</v>
      </c>
      <c r="Y1765" t="s">
        <v>8495</v>
      </c>
      <c r="Z1765" t="s">
        <v>9080</v>
      </c>
      <c r="AA1765" t="s">
        <v>10536</v>
      </c>
      <c r="AB1765">
        <v>42</v>
      </c>
      <c r="AC1765" t="s">
        <v>10929</v>
      </c>
      <c r="AD1765" t="s">
        <v>10949</v>
      </c>
      <c r="AE1765">
        <v>14</v>
      </c>
      <c r="AF1765">
        <v>1</v>
      </c>
      <c r="AG1765">
        <v>0</v>
      </c>
      <c r="AH1765">
        <v>68.69</v>
      </c>
      <c r="AK1765" t="s">
        <v>10966</v>
      </c>
      <c r="AL1765">
        <v>8580</v>
      </c>
      <c r="AR1765">
        <v>0</v>
      </c>
      <c r="AT1765" t="s">
        <v>69</v>
      </c>
      <c r="AU1765" t="s">
        <v>5741</v>
      </c>
      <c r="AV1765" t="s">
        <v>11231</v>
      </c>
      <c r="AW1765" t="s">
        <v>6814</v>
      </c>
    </row>
    <row r="1766" spans="1:49">
      <c r="A1766" s="1">
        <f>HYPERLINK("https://lsnyc.legalserver.org/matter/dynamic-profile/view/1901255","19-1901255")</f>
        <v>0</v>
      </c>
      <c r="B1766" t="s">
        <v>202</v>
      </c>
      <c r="C1766" t="s">
        <v>1404</v>
      </c>
      <c r="D1766" t="s">
        <v>2790</v>
      </c>
      <c r="E1766" t="s">
        <v>4663</v>
      </c>
      <c r="F1766" t="s">
        <v>5463</v>
      </c>
      <c r="G1766" t="s">
        <v>5635</v>
      </c>
      <c r="H1766">
        <v>10462</v>
      </c>
      <c r="I1766" t="s">
        <v>5695</v>
      </c>
      <c r="J1766" t="s">
        <v>5696</v>
      </c>
      <c r="K1766" t="s">
        <v>6646</v>
      </c>
      <c r="L1766" t="s">
        <v>6714</v>
      </c>
      <c r="O1766" t="s">
        <v>6763</v>
      </c>
      <c r="P1766" t="s">
        <v>5697</v>
      </c>
      <c r="R1766" t="s">
        <v>6793</v>
      </c>
      <c r="U1766">
        <v>1336.1</v>
      </c>
      <c r="V1766" t="s">
        <v>6833</v>
      </c>
      <c r="Y1766" t="s">
        <v>8496</v>
      </c>
      <c r="AA1766" t="s">
        <v>10537</v>
      </c>
      <c r="AB1766">
        <v>0</v>
      </c>
      <c r="AC1766" t="s">
        <v>10929</v>
      </c>
      <c r="AE1766">
        <v>0</v>
      </c>
      <c r="AF1766">
        <v>1</v>
      </c>
      <c r="AG1766">
        <v>0</v>
      </c>
      <c r="AH1766">
        <v>232.11</v>
      </c>
      <c r="AK1766" t="s">
        <v>10966</v>
      </c>
      <c r="AL1766">
        <v>28990</v>
      </c>
      <c r="AM1766" t="s">
        <v>11078</v>
      </c>
      <c r="AR1766">
        <v>2</v>
      </c>
      <c r="AS1766" t="s">
        <v>6814</v>
      </c>
      <c r="AT1766" t="s">
        <v>288</v>
      </c>
      <c r="AU1766" t="s">
        <v>11228</v>
      </c>
      <c r="AV1766" t="s">
        <v>11231</v>
      </c>
      <c r="AW1766" t="s">
        <v>11162</v>
      </c>
    </row>
    <row r="1767" spans="1:49">
      <c r="A1767" s="1">
        <f>HYPERLINK("https://lsnyc.legalserver.org/matter/dynamic-profile/view/1898041","19-1898041")</f>
        <v>0</v>
      </c>
      <c r="B1767" t="s">
        <v>202</v>
      </c>
      <c r="C1767" t="s">
        <v>1405</v>
      </c>
      <c r="D1767" t="s">
        <v>866</v>
      </c>
      <c r="E1767" t="s">
        <v>3265</v>
      </c>
      <c r="F1767">
        <v>524</v>
      </c>
      <c r="G1767" t="s">
        <v>5635</v>
      </c>
      <c r="H1767">
        <v>10453</v>
      </c>
      <c r="I1767" t="s">
        <v>5695</v>
      </c>
      <c r="J1767" t="s">
        <v>5695</v>
      </c>
      <c r="K1767" t="s">
        <v>6647</v>
      </c>
      <c r="L1767" t="s">
        <v>6714</v>
      </c>
      <c r="O1767" t="s">
        <v>6747</v>
      </c>
      <c r="P1767" t="s">
        <v>5697</v>
      </c>
      <c r="R1767" t="s">
        <v>6793</v>
      </c>
      <c r="U1767">
        <v>1196.5</v>
      </c>
      <c r="V1767" t="s">
        <v>6833</v>
      </c>
      <c r="W1767" t="s">
        <v>6840</v>
      </c>
      <c r="Y1767" t="s">
        <v>8497</v>
      </c>
      <c r="Z1767" t="s">
        <v>9081</v>
      </c>
      <c r="AA1767" t="s">
        <v>10538</v>
      </c>
      <c r="AB1767">
        <v>146</v>
      </c>
      <c r="AC1767" t="s">
        <v>10929</v>
      </c>
      <c r="AD1767" t="s">
        <v>5741</v>
      </c>
      <c r="AE1767">
        <v>33</v>
      </c>
      <c r="AF1767">
        <v>1</v>
      </c>
      <c r="AG1767">
        <v>0</v>
      </c>
      <c r="AH1767">
        <v>82.72</v>
      </c>
      <c r="AK1767" t="s">
        <v>10966</v>
      </c>
      <c r="AL1767">
        <v>10332</v>
      </c>
      <c r="AR1767">
        <v>20.5</v>
      </c>
      <c r="AS1767" t="s">
        <v>6809</v>
      </c>
      <c r="AT1767" t="s">
        <v>219</v>
      </c>
      <c r="AU1767" t="s">
        <v>11229</v>
      </c>
      <c r="AV1767" t="s">
        <v>11231</v>
      </c>
      <c r="AW1767" t="s">
        <v>11125</v>
      </c>
    </row>
    <row r="1768" spans="1:49">
      <c r="A1768" s="1">
        <f>HYPERLINK("https://lsnyc.legalserver.org/matter/dynamic-profile/view/1902236","19-1902236")</f>
        <v>0</v>
      </c>
      <c r="B1768" t="s">
        <v>72</v>
      </c>
      <c r="C1768" t="s">
        <v>476</v>
      </c>
      <c r="D1768" t="s">
        <v>2791</v>
      </c>
      <c r="E1768" t="s">
        <v>4664</v>
      </c>
      <c r="F1768" t="s">
        <v>5187</v>
      </c>
      <c r="G1768" t="s">
        <v>5637</v>
      </c>
      <c r="H1768">
        <v>11238</v>
      </c>
      <c r="I1768" t="s">
        <v>5696</v>
      </c>
      <c r="J1768" t="s">
        <v>5696</v>
      </c>
      <c r="K1768" t="s">
        <v>6648</v>
      </c>
      <c r="L1768" t="s">
        <v>6714</v>
      </c>
      <c r="O1768" t="s">
        <v>6771</v>
      </c>
      <c r="R1768" t="s">
        <v>6793</v>
      </c>
      <c r="U1768">
        <v>787</v>
      </c>
      <c r="V1768" t="s">
        <v>6835</v>
      </c>
      <c r="W1768" t="s">
        <v>6848</v>
      </c>
      <c r="Y1768" t="s">
        <v>8498</v>
      </c>
      <c r="AA1768" t="s">
        <v>10539</v>
      </c>
      <c r="AB1768">
        <v>20</v>
      </c>
      <c r="AD1768" t="s">
        <v>5741</v>
      </c>
      <c r="AE1768">
        <v>8</v>
      </c>
      <c r="AF1768">
        <v>1</v>
      </c>
      <c r="AG1768">
        <v>0</v>
      </c>
      <c r="AH1768">
        <v>193.39</v>
      </c>
      <c r="AK1768" t="s">
        <v>10966</v>
      </c>
      <c r="AL1768">
        <v>24154</v>
      </c>
      <c r="AR1768">
        <v>3</v>
      </c>
      <c r="AS1768" t="s">
        <v>6827</v>
      </c>
      <c r="AT1768" t="s">
        <v>11203</v>
      </c>
      <c r="AV1768" t="s">
        <v>11231</v>
      </c>
      <c r="AW1768" t="s">
        <v>11163</v>
      </c>
    </row>
    <row r="1769" spans="1:49">
      <c r="A1769" s="1">
        <f>HYPERLINK("https://lsnyc.legalserver.org/matter/dynamic-profile/view/1905378","19-1905378")</f>
        <v>0</v>
      </c>
      <c r="B1769" t="s">
        <v>59</v>
      </c>
      <c r="C1769" t="s">
        <v>1406</v>
      </c>
      <c r="D1769" t="s">
        <v>2792</v>
      </c>
      <c r="E1769" t="s">
        <v>4665</v>
      </c>
      <c r="F1769" t="s">
        <v>5158</v>
      </c>
      <c r="G1769" t="s">
        <v>5665</v>
      </c>
      <c r="H1769">
        <v>11377</v>
      </c>
      <c r="I1769" t="s">
        <v>5696</v>
      </c>
      <c r="J1769" t="s">
        <v>5696</v>
      </c>
      <c r="K1769" t="s">
        <v>6649</v>
      </c>
      <c r="L1769" t="s">
        <v>6714</v>
      </c>
      <c r="O1769" t="s">
        <v>6750</v>
      </c>
      <c r="P1769" t="s">
        <v>5697</v>
      </c>
      <c r="R1769" t="s">
        <v>6793</v>
      </c>
      <c r="U1769">
        <v>2500</v>
      </c>
      <c r="V1769" t="s">
        <v>6837</v>
      </c>
      <c r="W1769" t="s">
        <v>6840</v>
      </c>
      <c r="Y1769" t="s">
        <v>8499</v>
      </c>
      <c r="AA1769" t="s">
        <v>10540</v>
      </c>
      <c r="AB1769">
        <v>2</v>
      </c>
      <c r="AC1769" t="s">
        <v>10930</v>
      </c>
      <c r="AD1769" t="s">
        <v>10950</v>
      </c>
      <c r="AE1769">
        <v>3</v>
      </c>
      <c r="AF1769">
        <v>3</v>
      </c>
      <c r="AG1769">
        <v>2</v>
      </c>
      <c r="AH1769">
        <v>207.58</v>
      </c>
      <c r="AL1769">
        <v>62626.56</v>
      </c>
      <c r="AR1769">
        <v>1.5</v>
      </c>
      <c r="AS1769" t="s">
        <v>6819</v>
      </c>
      <c r="AT1769" t="s">
        <v>237</v>
      </c>
      <c r="AV1769" t="s">
        <v>11231</v>
      </c>
      <c r="AW1769" t="s">
        <v>6828</v>
      </c>
    </row>
    <row r="1770" spans="1:49">
      <c r="A1770" s="1">
        <f>HYPERLINK("https://lsnyc.legalserver.org/matter/dynamic-profile/view/1905761","19-1905761")</f>
        <v>0</v>
      </c>
      <c r="B1770" t="s">
        <v>103</v>
      </c>
      <c r="C1770" t="s">
        <v>1407</v>
      </c>
      <c r="D1770" t="s">
        <v>2793</v>
      </c>
      <c r="E1770" t="s">
        <v>4666</v>
      </c>
      <c r="F1770">
        <v>2</v>
      </c>
      <c r="G1770" t="s">
        <v>5635</v>
      </c>
      <c r="H1770">
        <v>10462</v>
      </c>
      <c r="I1770" t="s">
        <v>5695</v>
      </c>
      <c r="J1770" t="s">
        <v>5696</v>
      </c>
      <c r="K1770" t="s">
        <v>6650</v>
      </c>
      <c r="L1770" t="s">
        <v>6714</v>
      </c>
      <c r="O1770" t="s">
        <v>6763</v>
      </c>
      <c r="R1770" t="s">
        <v>6793</v>
      </c>
      <c r="U1770">
        <v>1900</v>
      </c>
      <c r="V1770" t="s">
        <v>6833</v>
      </c>
      <c r="Y1770" t="s">
        <v>8500</v>
      </c>
      <c r="AA1770" t="s">
        <v>10541</v>
      </c>
      <c r="AB1770">
        <v>2</v>
      </c>
      <c r="AE1770">
        <v>1</v>
      </c>
      <c r="AF1770">
        <v>1</v>
      </c>
      <c r="AG1770">
        <v>3</v>
      </c>
      <c r="AH1770">
        <v>170.64</v>
      </c>
      <c r="AL1770">
        <v>43940</v>
      </c>
      <c r="AR1770">
        <v>0</v>
      </c>
      <c r="AT1770" t="s">
        <v>288</v>
      </c>
      <c r="AU1770" t="s">
        <v>11228</v>
      </c>
      <c r="AV1770" t="s">
        <v>11231</v>
      </c>
      <c r="AW1770" t="s">
        <v>6823</v>
      </c>
    </row>
    <row r="1771" spans="1:49">
      <c r="A1771" s="1">
        <f>HYPERLINK("https://lsnyc.legalserver.org/matter/dynamic-profile/view/1898129","19-1898129")</f>
        <v>0</v>
      </c>
      <c r="B1771" t="s">
        <v>95</v>
      </c>
      <c r="C1771" t="s">
        <v>501</v>
      </c>
      <c r="D1771" t="s">
        <v>1819</v>
      </c>
      <c r="E1771" t="s">
        <v>3285</v>
      </c>
      <c r="F1771" t="s">
        <v>5209</v>
      </c>
      <c r="G1771" t="s">
        <v>5637</v>
      </c>
      <c r="H1771">
        <v>11206</v>
      </c>
      <c r="I1771" t="s">
        <v>5697</v>
      </c>
      <c r="J1771" t="s">
        <v>5695</v>
      </c>
      <c r="K1771" t="s">
        <v>6651</v>
      </c>
      <c r="L1771" t="s">
        <v>6714</v>
      </c>
      <c r="O1771" t="s">
        <v>6746</v>
      </c>
      <c r="R1771" t="s">
        <v>6793</v>
      </c>
      <c r="U1771">
        <v>954</v>
      </c>
      <c r="V1771" t="s">
        <v>6835</v>
      </c>
      <c r="W1771" t="s">
        <v>6840</v>
      </c>
      <c r="Y1771" t="s">
        <v>7081</v>
      </c>
      <c r="AA1771" t="s">
        <v>9243</v>
      </c>
      <c r="AB1771">
        <v>0</v>
      </c>
      <c r="AE1771">
        <v>0</v>
      </c>
      <c r="AF1771">
        <v>1</v>
      </c>
      <c r="AG1771">
        <v>0</v>
      </c>
      <c r="AH1771">
        <v>159.58</v>
      </c>
      <c r="AK1771" t="s">
        <v>10966</v>
      </c>
      <c r="AL1771">
        <v>19932</v>
      </c>
      <c r="AR1771">
        <v>6.8</v>
      </c>
      <c r="AS1771" t="s">
        <v>6821</v>
      </c>
      <c r="AT1771" t="s">
        <v>11190</v>
      </c>
      <c r="AV1771" t="s">
        <v>11231</v>
      </c>
      <c r="AW1771" t="s">
        <v>10961</v>
      </c>
    </row>
    <row r="1772" spans="1:49">
      <c r="A1772" s="1">
        <f>HYPERLINK("https://lsnyc.legalserver.org/matter/dynamic-profile/view/1903968","19-1903968")</f>
        <v>0</v>
      </c>
      <c r="B1772" t="s">
        <v>282</v>
      </c>
      <c r="C1772" t="s">
        <v>1408</v>
      </c>
      <c r="D1772" t="s">
        <v>2794</v>
      </c>
      <c r="E1772" t="s">
        <v>4667</v>
      </c>
      <c r="F1772">
        <v>6</v>
      </c>
      <c r="G1772" t="s">
        <v>5637</v>
      </c>
      <c r="H1772">
        <v>11207</v>
      </c>
      <c r="I1772" t="s">
        <v>5697</v>
      </c>
      <c r="J1772" t="s">
        <v>5696</v>
      </c>
      <c r="K1772" t="s">
        <v>6652</v>
      </c>
      <c r="L1772" t="s">
        <v>6714</v>
      </c>
      <c r="O1772" t="s">
        <v>6745</v>
      </c>
      <c r="P1772" t="s">
        <v>5697</v>
      </c>
      <c r="R1772" t="s">
        <v>6793</v>
      </c>
      <c r="S1772" t="s">
        <v>6801</v>
      </c>
      <c r="U1772">
        <v>1130</v>
      </c>
      <c r="V1772" t="s">
        <v>6835</v>
      </c>
      <c r="W1772" t="s">
        <v>6843</v>
      </c>
      <c r="Y1772" t="s">
        <v>8501</v>
      </c>
      <c r="Z1772" t="s">
        <v>5741</v>
      </c>
      <c r="AA1772" t="s">
        <v>10542</v>
      </c>
      <c r="AB1772">
        <v>12</v>
      </c>
      <c r="AC1772" t="s">
        <v>10929</v>
      </c>
      <c r="AD1772" t="s">
        <v>5741</v>
      </c>
      <c r="AE1772">
        <v>2</v>
      </c>
      <c r="AF1772">
        <v>1</v>
      </c>
      <c r="AG1772">
        <v>0</v>
      </c>
      <c r="AH1772">
        <v>0</v>
      </c>
      <c r="AK1772" t="s">
        <v>10966</v>
      </c>
      <c r="AL1772">
        <v>0</v>
      </c>
      <c r="AR1772">
        <v>1.1</v>
      </c>
      <c r="AS1772" t="s">
        <v>6810</v>
      </c>
      <c r="AT1772" t="s">
        <v>11188</v>
      </c>
      <c r="AU1772" t="s">
        <v>5741</v>
      </c>
      <c r="AV1772" t="s">
        <v>11231</v>
      </c>
      <c r="AW1772" t="s">
        <v>6825</v>
      </c>
    </row>
    <row r="1773" spans="1:49">
      <c r="A1773" s="1">
        <f>HYPERLINK("https://lsnyc.legalserver.org/matter/dynamic-profile/view/1896786","19-1896786")</f>
        <v>0</v>
      </c>
      <c r="B1773" t="s">
        <v>89</v>
      </c>
      <c r="C1773" t="s">
        <v>1409</v>
      </c>
      <c r="D1773" t="s">
        <v>2795</v>
      </c>
      <c r="E1773" t="s">
        <v>3494</v>
      </c>
      <c r="F1773" t="s">
        <v>5541</v>
      </c>
      <c r="G1773" t="s">
        <v>5636</v>
      </c>
      <c r="H1773">
        <v>10304</v>
      </c>
      <c r="I1773" t="s">
        <v>5696</v>
      </c>
      <c r="J1773" t="s">
        <v>5696</v>
      </c>
      <c r="K1773" t="s">
        <v>6653</v>
      </c>
      <c r="L1773" t="s">
        <v>6714</v>
      </c>
      <c r="O1773" t="s">
        <v>6745</v>
      </c>
      <c r="P1773" t="s">
        <v>5697</v>
      </c>
      <c r="R1773" t="s">
        <v>6793</v>
      </c>
      <c r="S1773" t="s">
        <v>6801</v>
      </c>
      <c r="U1773">
        <v>1570</v>
      </c>
      <c r="V1773" t="s">
        <v>6834</v>
      </c>
      <c r="W1773" t="s">
        <v>6839</v>
      </c>
      <c r="Y1773" t="s">
        <v>8502</v>
      </c>
      <c r="AA1773" t="s">
        <v>10543</v>
      </c>
      <c r="AB1773">
        <v>0</v>
      </c>
      <c r="AC1773" t="s">
        <v>10934</v>
      </c>
      <c r="AD1773" t="s">
        <v>5741</v>
      </c>
      <c r="AE1773">
        <v>16</v>
      </c>
      <c r="AF1773">
        <v>1</v>
      </c>
      <c r="AG1773">
        <v>1</v>
      </c>
      <c r="AH1773">
        <v>276.76</v>
      </c>
      <c r="AJ1773" t="s">
        <v>10963</v>
      </c>
      <c r="AK1773" t="s">
        <v>6841</v>
      </c>
      <c r="AL1773">
        <v>46800</v>
      </c>
      <c r="AR1773">
        <v>4.35</v>
      </c>
      <c r="AS1773" t="s">
        <v>6812</v>
      </c>
      <c r="AT1773" t="s">
        <v>11177</v>
      </c>
      <c r="AV1773" t="s">
        <v>11231</v>
      </c>
      <c r="AW1773" t="s">
        <v>11125</v>
      </c>
    </row>
    <row r="1774" spans="1:49">
      <c r="A1774" s="1">
        <f>HYPERLINK("https://lsnyc.legalserver.org/matter/dynamic-profile/view/1899382","19-1899382")</f>
        <v>0</v>
      </c>
      <c r="B1774" t="s">
        <v>101</v>
      </c>
      <c r="C1774" t="s">
        <v>1410</v>
      </c>
      <c r="D1774" t="s">
        <v>2796</v>
      </c>
      <c r="E1774" t="s">
        <v>3505</v>
      </c>
      <c r="F1774" t="s">
        <v>5316</v>
      </c>
      <c r="G1774" t="s">
        <v>5636</v>
      </c>
      <c r="H1774">
        <v>10304</v>
      </c>
      <c r="I1774" t="s">
        <v>5695</v>
      </c>
      <c r="J1774" t="s">
        <v>5696</v>
      </c>
      <c r="K1774" t="s">
        <v>6654</v>
      </c>
      <c r="L1774" t="s">
        <v>6714</v>
      </c>
      <c r="O1774" t="s">
        <v>6745</v>
      </c>
      <c r="P1774" t="s">
        <v>5697</v>
      </c>
      <c r="R1774" t="s">
        <v>6793</v>
      </c>
      <c r="S1774" t="s">
        <v>6801</v>
      </c>
      <c r="U1774">
        <v>1600</v>
      </c>
      <c r="V1774" t="s">
        <v>6834</v>
      </c>
      <c r="W1774" t="s">
        <v>6839</v>
      </c>
      <c r="Y1774" t="s">
        <v>8503</v>
      </c>
      <c r="AA1774" t="s">
        <v>10544</v>
      </c>
      <c r="AB1774">
        <v>0</v>
      </c>
      <c r="AC1774" t="s">
        <v>10929</v>
      </c>
      <c r="AD1774" t="s">
        <v>10943</v>
      </c>
      <c r="AE1774">
        <v>5</v>
      </c>
      <c r="AF1774">
        <v>1</v>
      </c>
      <c r="AG1774">
        <v>2</v>
      </c>
      <c r="AH1774">
        <v>150.02</v>
      </c>
      <c r="AL1774">
        <v>32000</v>
      </c>
      <c r="AR1774">
        <v>5.25</v>
      </c>
      <c r="AS1774" t="s">
        <v>6819</v>
      </c>
      <c r="AT1774" t="s">
        <v>11177</v>
      </c>
      <c r="AU1774" t="s">
        <v>11228</v>
      </c>
      <c r="AV1774" t="s">
        <v>11231</v>
      </c>
      <c r="AW1774" t="s">
        <v>11132</v>
      </c>
    </row>
    <row r="1775" spans="1:49">
      <c r="A1775" s="1">
        <f>HYPERLINK("https://lsnyc.legalserver.org/matter/dynamic-profile/view/1904164","19-1904164")</f>
        <v>0</v>
      </c>
      <c r="B1775" t="s">
        <v>101</v>
      </c>
      <c r="C1775" t="s">
        <v>1411</v>
      </c>
      <c r="D1775" t="s">
        <v>1657</v>
      </c>
      <c r="E1775" t="s">
        <v>4113</v>
      </c>
      <c r="F1775" t="s">
        <v>5574</v>
      </c>
      <c r="G1775" t="s">
        <v>5636</v>
      </c>
      <c r="H1775">
        <v>10301</v>
      </c>
      <c r="I1775" t="s">
        <v>5695</v>
      </c>
      <c r="J1775" t="s">
        <v>5696</v>
      </c>
      <c r="K1775" t="s">
        <v>6655</v>
      </c>
      <c r="L1775" t="s">
        <v>6714</v>
      </c>
      <c r="O1775" t="s">
        <v>6745</v>
      </c>
      <c r="P1775" t="s">
        <v>5697</v>
      </c>
      <c r="R1775" t="s">
        <v>6796</v>
      </c>
      <c r="S1775" t="s">
        <v>6801</v>
      </c>
      <c r="U1775">
        <v>867</v>
      </c>
      <c r="V1775" t="s">
        <v>6834</v>
      </c>
      <c r="W1775" t="s">
        <v>6839</v>
      </c>
      <c r="Y1775" t="s">
        <v>8504</v>
      </c>
      <c r="AA1775" t="s">
        <v>10545</v>
      </c>
      <c r="AB1775">
        <v>0</v>
      </c>
      <c r="AC1775" t="s">
        <v>10934</v>
      </c>
      <c r="AD1775" t="s">
        <v>10944</v>
      </c>
      <c r="AE1775">
        <v>25</v>
      </c>
      <c r="AF1775">
        <v>2</v>
      </c>
      <c r="AG1775">
        <v>1</v>
      </c>
      <c r="AH1775">
        <v>213.31</v>
      </c>
      <c r="AK1775" t="s">
        <v>10966</v>
      </c>
      <c r="AL1775">
        <v>45500.04</v>
      </c>
      <c r="AR1775">
        <v>2.7</v>
      </c>
      <c r="AS1775" t="s">
        <v>6808</v>
      </c>
      <c r="AT1775" t="s">
        <v>11177</v>
      </c>
      <c r="AU1775" t="s">
        <v>11228</v>
      </c>
      <c r="AV1775" t="s">
        <v>11231</v>
      </c>
      <c r="AW1775" t="s">
        <v>6828</v>
      </c>
    </row>
    <row r="1776" spans="1:49">
      <c r="A1776" s="1">
        <f>HYPERLINK("https://lsnyc.legalserver.org/matter/dynamic-profile/view/1904677","19-1904677")</f>
        <v>0</v>
      </c>
      <c r="B1776" t="s">
        <v>201</v>
      </c>
      <c r="C1776" t="s">
        <v>731</v>
      </c>
      <c r="D1776" t="s">
        <v>1676</v>
      </c>
      <c r="E1776" t="s">
        <v>4668</v>
      </c>
      <c r="F1776">
        <v>802</v>
      </c>
      <c r="G1776" t="s">
        <v>5635</v>
      </c>
      <c r="H1776">
        <v>10468</v>
      </c>
      <c r="I1776" t="s">
        <v>5695</v>
      </c>
      <c r="J1776" t="s">
        <v>5696</v>
      </c>
      <c r="K1776" t="s">
        <v>6656</v>
      </c>
      <c r="L1776" t="s">
        <v>6714</v>
      </c>
      <c r="O1776" t="s">
        <v>6763</v>
      </c>
      <c r="P1776" t="s">
        <v>5697</v>
      </c>
      <c r="R1776" t="s">
        <v>6793</v>
      </c>
      <c r="U1776">
        <v>0</v>
      </c>
      <c r="V1776" t="s">
        <v>6833</v>
      </c>
      <c r="W1776" t="s">
        <v>6839</v>
      </c>
      <c r="Y1776" t="s">
        <v>8505</v>
      </c>
      <c r="AA1776" t="s">
        <v>10546</v>
      </c>
      <c r="AB1776">
        <v>0</v>
      </c>
      <c r="AC1776" t="s">
        <v>8953</v>
      </c>
      <c r="AD1776" t="s">
        <v>10944</v>
      </c>
      <c r="AE1776">
        <v>3</v>
      </c>
      <c r="AF1776">
        <v>1</v>
      </c>
      <c r="AG1776">
        <v>0</v>
      </c>
      <c r="AH1776">
        <v>80.42</v>
      </c>
      <c r="AK1776" t="s">
        <v>10966</v>
      </c>
      <c r="AL1776">
        <v>10044</v>
      </c>
      <c r="AR1776">
        <v>0</v>
      </c>
      <c r="AT1776" t="s">
        <v>11196</v>
      </c>
      <c r="AU1776" t="s">
        <v>11228</v>
      </c>
      <c r="AV1776" t="s">
        <v>11231</v>
      </c>
      <c r="AW1776" t="s">
        <v>6809</v>
      </c>
    </row>
    <row r="1777" spans="1:49">
      <c r="A1777" s="1">
        <f>HYPERLINK("https://lsnyc.legalserver.org/matter/dynamic-profile/view/1898167","19-1898167")</f>
        <v>0</v>
      </c>
      <c r="B1777" t="s">
        <v>51</v>
      </c>
      <c r="C1777" t="s">
        <v>355</v>
      </c>
      <c r="D1777" t="s">
        <v>2797</v>
      </c>
      <c r="E1777" t="s">
        <v>4669</v>
      </c>
      <c r="G1777" t="s">
        <v>5636</v>
      </c>
      <c r="H1777">
        <v>10303</v>
      </c>
      <c r="I1777" t="s">
        <v>5696</v>
      </c>
      <c r="J1777" t="s">
        <v>5696</v>
      </c>
      <c r="K1777" t="s">
        <v>6657</v>
      </c>
      <c r="L1777" t="s">
        <v>6714</v>
      </c>
      <c r="O1777" t="s">
        <v>6762</v>
      </c>
      <c r="P1777" t="s">
        <v>5697</v>
      </c>
      <c r="R1777" t="s">
        <v>6793</v>
      </c>
      <c r="S1777" t="s">
        <v>6801</v>
      </c>
      <c r="U1777">
        <v>775</v>
      </c>
      <c r="V1777" t="s">
        <v>6834</v>
      </c>
      <c r="W1777" t="s">
        <v>6843</v>
      </c>
      <c r="Y1777" t="s">
        <v>8506</v>
      </c>
      <c r="AA1777" t="s">
        <v>10547</v>
      </c>
      <c r="AB1777">
        <v>0</v>
      </c>
      <c r="AC1777" t="s">
        <v>10929</v>
      </c>
      <c r="AD1777" t="s">
        <v>5741</v>
      </c>
      <c r="AE1777">
        <v>7</v>
      </c>
      <c r="AF1777">
        <v>1</v>
      </c>
      <c r="AG1777">
        <v>0</v>
      </c>
      <c r="AH1777">
        <v>115.29</v>
      </c>
      <c r="AK1777" t="s">
        <v>10966</v>
      </c>
      <c r="AL1777">
        <v>14400</v>
      </c>
      <c r="AR1777">
        <v>14.5</v>
      </c>
      <c r="AS1777" t="s">
        <v>6818</v>
      </c>
      <c r="AT1777" t="s">
        <v>11177</v>
      </c>
      <c r="AV1777" t="s">
        <v>11231</v>
      </c>
      <c r="AW1777" t="s">
        <v>10961</v>
      </c>
    </row>
    <row r="1778" spans="1:49">
      <c r="A1778" s="1">
        <f>HYPERLINK("https://lsnyc.legalserver.org/matter/dynamic-profile/view/1903722","19-1903722")</f>
        <v>0</v>
      </c>
      <c r="B1778" t="s">
        <v>195</v>
      </c>
      <c r="C1778" t="s">
        <v>1412</v>
      </c>
      <c r="D1778" t="s">
        <v>2798</v>
      </c>
      <c r="E1778" t="s">
        <v>4670</v>
      </c>
      <c r="F1778" t="s">
        <v>5100</v>
      </c>
      <c r="G1778" t="s">
        <v>5635</v>
      </c>
      <c r="H1778">
        <v>10463</v>
      </c>
      <c r="I1778" t="s">
        <v>5695</v>
      </c>
      <c r="J1778" t="s">
        <v>5696</v>
      </c>
      <c r="K1778" t="s">
        <v>6658</v>
      </c>
      <c r="L1778" t="s">
        <v>6714</v>
      </c>
      <c r="O1778" t="s">
        <v>6747</v>
      </c>
      <c r="P1778" t="s">
        <v>5697</v>
      </c>
      <c r="R1778" t="s">
        <v>6793</v>
      </c>
      <c r="U1778">
        <v>1685.42</v>
      </c>
      <c r="V1778" t="s">
        <v>6833</v>
      </c>
      <c r="Y1778" t="s">
        <v>8507</v>
      </c>
      <c r="AA1778" t="s">
        <v>10548</v>
      </c>
      <c r="AB1778">
        <v>0</v>
      </c>
      <c r="AC1778" t="s">
        <v>8953</v>
      </c>
      <c r="AD1778" t="s">
        <v>5741</v>
      </c>
      <c r="AE1778">
        <v>25</v>
      </c>
      <c r="AF1778">
        <v>3</v>
      </c>
      <c r="AG1778">
        <v>0</v>
      </c>
      <c r="AH1778">
        <v>121.89</v>
      </c>
      <c r="AK1778" t="s">
        <v>10967</v>
      </c>
      <c r="AL1778">
        <v>26000</v>
      </c>
      <c r="AR1778">
        <v>6.7</v>
      </c>
      <c r="AS1778" t="s">
        <v>6828</v>
      </c>
      <c r="AT1778" t="s">
        <v>11196</v>
      </c>
      <c r="AV1778" t="s">
        <v>11231</v>
      </c>
      <c r="AW1778" t="s">
        <v>6811</v>
      </c>
    </row>
    <row r="1779" spans="1:49">
      <c r="A1779" s="1">
        <f>HYPERLINK("https://lsnyc.legalserver.org/matter/dynamic-profile/view/1896416","19-1896416")</f>
        <v>0</v>
      </c>
      <c r="B1779" t="s">
        <v>82</v>
      </c>
      <c r="C1779" t="s">
        <v>1265</v>
      </c>
      <c r="D1779" t="s">
        <v>2799</v>
      </c>
      <c r="E1779" t="s">
        <v>4671</v>
      </c>
      <c r="F1779" t="s">
        <v>5135</v>
      </c>
      <c r="G1779" t="s">
        <v>5637</v>
      </c>
      <c r="H1779">
        <v>11213</v>
      </c>
      <c r="I1779" t="s">
        <v>5695</v>
      </c>
      <c r="J1779" t="s">
        <v>5695</v>
      </c>
      <c r="K1779" t="s">
        <v>6659</v>
      </c>
      <c r="L1779" t="s">
        <v>6714</v>
      </c>
      <c r="O1779" t="s">
        <v>6756</v>
      </c>
      <c r="R1779" t="s">
        <v>6793</v>
      </c>
      <c r="U1779">
        <v>605.78</v>
      </c>
      <c r="V1779" t="s">
        <v>6835</v>
      </c>
      <c r="W1779" t="s">
        <v>6838</v>
      </c>
      <c r="Y1779" t="s">
        <v>8508</v>
      </c>
      <c r="AA1779" t="s">
        <v>10549</v>
      </c>
      <c r="AB1779">
        <v>47</v>
      </c>
      <c r="AD1779" t="s">
        <v>10945</v>
      </c>
      <c r="AE1779">
        <v>50</v>
      </c>
      <c r="AF1779">
        <v>2</v>
      </c>
      <c r="AG1779">
        <v>0</v>
      </c>
      <c r="AH1779">
        <v>197.89</v>
      </c>
      <c r="AK1779" t="s">
        <v>10966</v>
      </c>
      <c r="AL1779">
        <v>33464</v>
      </c>
      <c r="AR1779">
        <v>4.6</v>
      </c>
      <c r="AS1779" t="s">
        <v>11139</v>
      </c>
      <c r="AT1779" t="s">
        <v>11190</v>
      </c>
      <c r="AV1779" t="s">
        <v>11231</v>
      </c>
      <c r="AW1779" t="s">
        <v>11164</v>
      </c>
    </row>
    <row r="1780" spans="1:49">
      <c r="A1780" s="1">
        <f>HYPERLINK("https://lsnyc.legalserver.org/matter/dynamic-profile/view/1904147","19-1904147")</f>
        <v>0</v>
      </c>
      <c r="B1780" t="s">
        <v>249</v>
      </c>
      <c r="C1780" t="s">
        <v>330</v>
      </c>
      <c r="D1780" t="s">
        <v>2800</v>
      </c>
      <c r="E1780" t="s">
        <v>4672</v>
      </c>
      <c r="F1780" t="s">
        <v>5161</v>
      </c>
      <c r="G1780" t="s">
        <v>5638</v>
      </c>
      <c r="H1780">
        <v>10026</v>
      </c>
      <c r="I1780" t="s">
        <v>5696</v>
      </c>
      <c r="J1780" t="s">
        <v>5696</v>
      </c>
      <c r="L1780" t="s">
        <v>6714</v>
      </c>
      <c r="O1780" t="s">
        <v>6749</v>
      </c>
      <c r="P1780" t="s">
        <v>5697</v>
      </c>
      <c r="R1780" t="s">
        <v>6793</v>
      </c>
      <c r="U1780">
        <v>247</v>
      </c>
      <c r="V1780" t="s">
        <v>6836</v>
      </c>
      <c r="Y1780" t="s">
        <v>8509</v>
      </c>
      <c r="AA1780" t="s">
        <v>10550</v>
      </c>
      <c r="AB1780">
        <v>0</v>
      </c>
      <c r="AE1780">
        <v>4</v>
      </c>
      <c r="AF1780">
        <v>1</v>
      </c>
      <c r="AG1780">
        <v>0</v>
      </c>
      <c r="AH1780">
        <v>78.01000000000001</v>
      </c>
      <c r="AK1780" t="s">
        <v>10966</v>
      </c>
      <c r="AL1780">
        <v>9744</v>
      </c>
      <c r="AR1780">
        <v>1.25</v>
      </c>
      <c r="AS1780" t="s">
        <v>6818</v>
      </c>
      <c r="AT1780" t="s">
        <v>11199</v>
      </c>
      <c r="AV1780" t="s">
        <v>11231</v>
      </c>
      <c r="AW1780" t="s">
        <v>6818</v>
      </c>
    </row>
    <row r="1781" spans="1:49">
      <c r="A1781" s="1">
        <f>HYPERLINK("https://lsnyc.legalserver.org/matter/dynamic-profile/view/1903102","19-1903102")</f>
        <v>0</v>
      </c>
      <c r="B1781" t="s">
        <v>51</v>
      </c>
      <c r="C1781" t="s">
        <v>859</v>
      </c>
      <c r="D1781" t="s">
        <v>2801</v>
      </c>
      <c r="E1781" t="s">
        <v>4113</v>
      </c>
      <c r="F1781" t="s">
        <v>5575</v>
      </c>
      <c r="G1781" t="s">
        <v>5636</v>
      </c>
      <c r="H1781">
        <v>10301</v>
      </c>
      <c r="I1781" t="s">
        <v>5696</v>
      </c>
      <c r="J1781" t="s">
        <v>5696</v>
      </c>
      <c r="K1781" t="s">
        <v>6660</v>
      </c>
      <c r="L1781" t="s">
        <v>6714</v>
      </c>
      <c r="O1781" t="s">
        <v>6745</v>
      </c>
      <c r="P1781" t="s">
        <v>5697</v>
      </c>
      <c r="R1781" t="s">
        <v>6793</v>
      </c>
      <c r="S1781" t="s">
        <v>6801</v>
      </c>
      <c r="U1781">
        <v>961</v>
      </c>
      <c r="V1781" t="s">
        <v>6834</v>
      </c>
      <c r="W1781" t="s">
        <v>6839</v>
      </c>
      <c r="Y1781" t="s">
        <v>8510</v>
      </c>
      <c r="AA1781" t="s">
        <v>10551</v>
      </c>
      <c r="AB1781">
        <v>0</v>
      </c>
      <c r="AC1781" t="s">
        <v>10934</v>
      </c>
      <c r="AD1781" t="s">
        <v>10944</v>
      </c>
      <c r="AE1781">
        <v>20</v>
      </c>
      <c r="AF1781">
        <v>1</v>
      </c>
      <c r="AG1781">
        <v>1</v>
      </c>
      <c r="AH1781">
        <v>184.51</v>
      </c>
      <c r="AK1781" t="s">
        <v>10966</v>
      </c>
      <c r="AL1781">
        <v>31200</v>
      </c>
      <c r="AR1781">
        <v>15.95</v>
      </c>
      <c r="AS1781" t="s">
        <v>6821</v>
      </c>
      <c r="AT1781" t="s">
        <v>11177</v>
      </c>
      <c r="AV1781" t="s">
        <v>11231</v>
      </c>
      <c r="AW1781" t="s">
        <v>6818</v>
      </c>
    </row>
    <row r="1782" spans="1:49">
      <c r="A1782" s="1">
        <f>HYPERLINK("https://lsnyc.legalserver.org/matter/dynamic-profile/view/1905970","19-1905970")</f>
        <v>0</v>
      </c>
      <c r="B1782" t="s">
        <v>195</v>
      </c>
      <c r="C1782" t="s">
        <v>1413</v>
      </c>
      <c r="D1782" t="s">
        <v>2802</v>
      </c>
      <c r="E1782" t="s">
        <v>4673</v>
      </c>
      <c r="F1782">
        <v>3</v>
      </c>
      <c r="G1782" t="s">
        <v>5635</v>
      </c>
      <c r="H1782">
        <v>10457</v>
      </c>
      <c r="I1782" t="s">
        <v>5695</v>
      </c>
      <c r="J1782" t="s">
        <v>5696</v>
      </c>
      <c r="K1782" t="s">
        <v>6661</v>
      </c>
      <c r="L1782" t="s">
        <v>6714</v>
      </c>
      <c r="O1782" t="s">
        <v>6763</v>
      </c>
      <c r="P1782" t="s">
        <v>5697</v>
      </c>
      <c r="R1782" t="s">
        <v>6793</v>
      </c>
      <c r="U1782">
        <v>2200</v>
      </c>
      <c r="V1782" t="s">
        <v>6833</v>
      </c>
      <c r="W1782" t="s">
        <v>6839</v>
      </c>
      <c r="Y1782" t="s">
        <v>8511</v>
      </c>
      <c r="Z1782">
        <v>5816238</v>
      </c>
      <c r="AA1782" t="s">
        <v>10552</v>
      </c>
      <c r="AB1782">
        <v>3</v>
      </c>
      <c r="AC1782" t="s">
        <v>10930</v>
      </c>
      <c r="AD1782" t="s">
        <v>5741</v>
      </c>
      <c r="AE1782">
        <v>2</v>
      </c>
      <c r="AF1782">
        <v>2</v>
      </c>
      <c r="AG1782">
        <v>5</v>
      </c>
      <c r="AH1782">
        <v>42.73</v>
      </c>
      <c r="AK1782" t="s">
        <v>10966</v>
      </c>
      <c r="AL1782">
        <v>16668</v>
      </c>
      <c r="AR1782">
        <v>1.25</v>
      </c>
      <c r="AS1782" t="s">
        <v>6820</v>
      </c>
      <c r="AT1782" t="s">
        <v>11196</v>
      </c>
      <c r="AV1782" t="s">
        <v>11231</v>
      </c>
      <c r="AW1782" t="s">
        <v>6826</v>
      </c>
    </row>
    <row r="1783" spans="1:49">
      <c r="A1783" s="1">
        <f>HYPERLINK("https://lsnyc.legalserver.org/matter/dynamic-profile/view/1898443","19-1898443")</f>
        <v>0</v>
      </c>
      <c r="B1783" t="s">
        <v>202</v>
      </c>
      <c r="C1783" t="s">
        <v>416</v>
      </c>
      <c r="D1783" t="s">
        <v>2803</v>
      </c>
      <c r="E1783" t="s">
        <v>4674</v>
      </c>
      <c r="F1783" t="s">
        <v>5576</v>
      </c>
      <c r="G1783" t="s">
        <v>5635</v>
      </c>
      <c r="H1783">
        <v>10467</v>
      </c>
      <c r="I1783" t="s">
        <v>5696</v>
      </c>
      <c r="J1783" t="s">
        <v>5696</v>
      </c>
      <c r="K1783" t="s">
        <v>6662</v>
      </c>
      <c r="L1783" t="s">
        <v>6714</v>
      </c>
      <c r="O1783" t="s">
        <v>6748</v>
      </c>
      <c r="R1783" t="s">
        <v>6793</v>
      </c>
      <c r="U1783">
        <v>1275</v>
      </c>
      <c r="V1783" t="s">
        <v>6833</v>
      </c>
      <c r="W1783" t="s">
        <v>6844</v>
      </c>
      <c r="Y1783" t="s">
        <v>8512</v>
      </c>
      <c r="AA1783" t="s">
        <v>10553</v>
      </c>
      <c r="AB1783">
        <v>27</v>
      </c>
      <c r="AE1783">
        <v>8</v>
      </c>
      <c r="AF1783">
        <v>1</v>
      </c>
      <c r="AG1783">
        <v>0</v>
      </c>
      <c r="AH1783">
        <v>67.25</v>
      </c>
      <c r="AK1783" t="s">
        <v>10966</v>
      </c>
      <c r="AL1783">
        <v>8400</v>
      </c>
      <c r="AR1783">
        <v>4</v>
      </c>
      <c r="AS1783" t="s">
        <v>11147</v>
      </c>
      <c r="AT1783" t="s">
        <v>11181</v>
      </c>
      <c r="AV1783" t="s">
        <v>11231</v>
      </c>
      <c r="AW1783" t="s">
        <v>11141</v>
      </c>
    </row>
    <row r="1784" spans="1:49">
      <c r="A1784" s="1">
        <f>HYPERLINK("https://lsnyc.legalserver.org/matter/dynamic-profile/view/1896528","19-1896528")</f>
        <v>0</v>
      </c>
      <c r="B1784" t="s">
        <v>101</v>
      </c>
      <c r="C1784" t="s">
        <v>316</v>
      </c>
      <c r="D1784" t="s">
        <v>2804</v>
      </c>
      <c r="E1784" t="s">
        <v>4675</v>
      </c>
      <c r="F1784" t="s">
        <v>5441</v>
      </c>
      <c r="G1784" t="s">
        <v>5636</v>
      </c>
      <c r="H1784">
        <v>10305</v>
      </c>
      <c r="I1784" t="s">
        <v>5696</v>
      </c>
      <c r="J1784" t="s">
        <v>5696</v>
      </c>
      <c r="K1784" t="s">
        <v>6663</v>
      </c>
      <c r="L1784" t="s">
        <v>6714</v>
      </c>
      <c r="O1784" t="s">
        <v>6751</v>
      </c>
      <c r="P1784" t="s">
        <v>5697</v>
      </c>
      <c r="R1784" t="s">
        <v>6793</v>
      </c>
      <c r="S1784" t="s">
        <v>6801</v>
      </c>
      <c r="U1784">
        <v>1250</v>
      </c>
      <c r="V1784" t="s">
        <v>6834</v>
      </c>
      <c r="W1784" t="s">
        <v>6839</v>
      </c>
      <c r="Y1784" t="s">
        <v>8513</v>
      </c>
      <c r="AA1784" t="s">
        <v>10554</v>
      </c>
      <c r="AB1784">
        <v>6</v>
      </c>
      <c r="AD1784" t="s">
        <v>5741</v>
      </c>
      <c r="AE1784">
        <v>1</v>
      </c>
      <c r="AF1784">
        <v>1</v>
      </c>
      <c r="AG1784">
        <v>1</v>
      </c>
      <c r="AH1784">
        <v>137</v>
      </c>
      <c r="AK1784" t="s">
        <v>10966</v>
      </c>
      <c r="AL1784">
        <v>23166</v>
      </c>
      <c r="AR1784">
        <v>12.5</v>
      </c>
      <c r="AS1784" t="s">
        <v>6819</v>
      </c>
      <c r="AT1784" t="s">
        <v>11177</v>
      </c>
      <c r="AV1784" t="s">
        <v>11231</v>
      </c>
      <c r="AW1784" t="s">
        <v>10961</v>
      </c>
    </row>
    <row r="1785" spans="1:49">
      <c r="A1785" s="1">
        <f>HYPERLINK("https://lsnyc.legalserver.org/matter/dynamic-profile/view/1896154","19-1896154")</f>
        <v>0</v>
      </c>
      <c r="B1785" t="s">
        <v>55</v>
      </c>
      <c r="C1785" t="s">
        <v>1414</v>
      </c>
      <c r="D1785" t="s">
        <v>2805</v>
      </c>
      <c r="E1785" t="s">
        <v>3353</v>
      </c>
      <c r="F1785">
        <v>43</v>
      </c>
      <c r="G1785" t="s">
        <v>5638</v>
      </c>
      <c r="H1785">
        <v>10031</v>
      </c>
      <c r="I1785" t="s">
        <v>5695</v>
      </c>
      <c r="J1785" t="s">
        <v>5695</v>
      </c>
      <c r="L1785" t="s">
        <v>6714</v>
      </c>
      <c r="O1785" t="s">
        <v>6749</v>
      </c>
      <c r="P1785" t="s">
        <v>5697</v>
      </c>
      <c r="R1785" t="s">
        <v>6793</v>
      </c>
      <c r="U1785">
        <v>816.91</v>
      </c>
      <c r="V1785" t="s">
        <v>6836</v>
      </c>
      <c r="W1785" t="s">
        <v>6841</v>
      </c>
      <c r="Y1785" t="s">
        <v>8514</v>
      </c>
      <c r="AA1785" t="s">
        <v>10555</v>
      </c>
      <c r="AB1785">
        <v>0</v>
      </c>
      <c r="AE1785">
        <v>19</v>
      </c>
      <c r="AF1785">
        <v>2</v>
      </c>
      <c r="AG1785">
        <v>0</v>
      </c>
      <c r="AH1785">
        <v>56.77</v>
      </c>
      <c r="AL1785">
        <v>9600</v>
      </c>
      <c r="AR1785">
        <v>2.4</v>
      </c>
      <c r="AS1785" t="s">
        <v>11132</v>
      </c>
      <c r="AT1785" t="s">
        <v>229</v>
      </c>
      <c r="AV1785" t="s">
        <v>11231</v>
      </c>
      <c r="AW1785" t="s">
        <v>11167</v>
      </c>
    </row>
    <row r="1786" spans="1:49">
      <c r="A1786" s="1">
        <f>HYPERLINK("https://lsnyc.legalserver.org/matter/dynamic-profile/view/1898204","19-1898204")</f>
        <v>0</v>
      </c>
      <c r="B1786" t="s">
        <v>244</v>
      </c>
      <c r="C1786" t="s">
        <v>935</v>
      </c>
      <c r="D1786" t="s">
        <v>2806</v>
      </c>
      <c r="E1786" t="s">
        <v>4676</v>
      </c>
      <c r="F1786" t="s">
        <v>5577</v>
      </c>
      <c r="G1786" t="s">
        <v>5638</v>
      </c>
      <c r="H1786">
        <v>10025</v>
      </c>
      <c r="I1786" t="s">
        <v>5696</v>
      </c>
      <c r="J1786" t="s">
        <v>5696</v>
      </c>
      <c r="K1786">
        <v>57954</v>
      </c>
      <c r="L1786" t="s">
        <v>6714</v>
      </c>
      <c r="O1786" t="s">
        <v>6759</v>
      </c>
      <c r="P1786" t="s">
        <v>5697</v>
      </c>
      <c r="R1786" t="s">
        <v>6793</v>
      </c>
      <c r="U1786">
        <v>380</v>
      </c>
      <c r="V1786" t="s">
        <v>6836</v>
      </c>
      <c r="Y1786" t="s">
        <v>8515</v>
      </c>
      <c r="AA1786" t="s">
        <v>10556</v>
      </c>
      <c r="AB1786">
        <v>0</v>
      </c>
      <c r="AE1786">
        <v>20</v>
      </c>
      <c r="AF1786">
        <v>1</v>
      </c>
      <c r="AG1786">
        <v>0</v>
      </c>
      <c r="AH1786">
        <v>127.69</v>
      </c>
      <c r="AK1786" t="s">
        <v>10966</v>
      </c>
      <c r="AL1786">
        <v>15948</v>
      </c>
      <c r="AR1786">
        <v>8.83</v>
      </c>
      <c r="AS1786" t="s">
        <v>11147</v>
      </c>
      <c r="AT1786" t="s">
        <v>11194</v>
      </c>
      <c r="AV1786" t="s">
        <v>11231</v>
      </c>
      <c r="AW1786" t="s">
        <v>10956</v>
      </c>
    </row>
    <row r="1787" spans="1:49">
      <c r="A1787" s="1">
        <f>HYPERLINK("https://lsnyc.legalserver.org/matter/dynamic-profile/view/1904882","19-1904882")</f>
        <v>0</v>
      </c>
      <c r="B1787" t="s">
        <v>203</v>
      </c>
      <c r="C1787" t="s">
        <v>1415</v>
      </c>
      <c r="D1787" t="s">
        <v>2807</v>
      </c>
      <c r="E1787" t="s">
        <v>4601</v>
      </c>
      <c r="F1787" t="s">
        <v>5578</v>
      </c>
      <c r="G1787" t="s">
        <v>5635</v>
      </c>
      <c r="H1787">
        <v>10467</v>
      </c>
      <c r="I1787" t="s">
        <v>5695</v>
      </c>
      <c r="J1787" t="s">
        <v>5696</v>
      </c>
      <c r="K1787" t="s">
        <v>6664</v>
      </c>
      <c r="L1787" t="s">
        <v>6714</v>
      </c>
      <c r="O1787" t="s">
        <v>6763</v>
      </c>
      <c r="P1787" t="s">
        <v>5697</v>
      </c>
      <c r="R1787" t="s">
        <v>6793</v>
      </c>
      <c r="U1787">
        <v>550</v>
      </c>
      <c r="V1787" t="s">
        <v>6833</v>
      </c>
      <c r="W1787" t="s">
        <v>6843</v>
      </c>
      <c r="Y1787" t="s">
        <v>8516</v>
      </c>
      <c r="AA1787" t="s">
        <v>10557</v>
      </c>
      <c r="AB1787">
        <v>0</v>
      </c>
      <c r="AC1787" t="s">
        <v>10931</v>
      </c>
      <c r="AD1787" t="s">
        <v>10944</v>
      </c>
      <c r="AE1787">
        <v>13</v>
      </c>
      <c r="AF1787">
        <v>1</v>
      </c>
      <c r="AG1787">
        <v>0</v>
      </c>
      <c r="AH1787">
        <v>77.02</v>
      </c>
      <c r="AK1787" t="s">
        <v>10966</v>
      </c>
      <c r="AL1787">
        <v>9620</v>
      </c>
      <c r="AR1787">
        <v>0.5</v>
      </c>
      <c r="AS1787" t="s">
        <v>6816</v>
      </c>
      <c r="AT1787" t="s">
        <v>11179</v>
      </c>
      <c r="AU1787" t="s">
        <v>11228</v>
      </c>
      <c r="AV1787" t="s">
        <v>11231</v>
      </c>
      <c r="AW1787" t="s">
        <v>6816</v>
      </c>
    </row>
    <row r="1788" spans="1:49">
      <c r="A1788" s="1">
        <f>HYPERLINK("https://lsnyc.legalserver.org/matter/dynamic-profile/view/1905577","19-1905577")</f>
        <v>0</v>
      </c>
      <c r="B1788" t="s">
        <v>155</v>
      </c>
      <c r="C1788" t="s">
        <v>1416</v>
      </c>
      <c r="D1788" t="s">
        <v>2808</v>
      </c>
      <c r="E1788" t="s">
        <v>4677</v>
      </c>
      <c r="F1788" t="s">
        <v>5122</v>
      </c>
      <c r="G1788" t="s">
        <v>5637</v>
      </c>
      <c r="H1788">
        <v>11239</v>
      </c>
      <c r="I1788" t="s">
        <v>5697</v>
      </c>
      <c r="J1788" t="s">
        <v>5696</v>
      </c>
      <c r="K1788" t="s">
        <v>6665</v>
      </c>
      <c r="L1788" t="s">
        <v>6714</v>
      </c>
      <c r="O1788" t="s">
        <v>6745</v>
      </c>
      <c r="P1788" t="s">
        <v>5697</v>
      </c>
      <c r="R1788" t="s">
        <v>6793</v>
      </c>
      <c r="S1788" t="s">
        <v>6801</v>
      </c>
      <c r="U1788">
        <v>989</v>
      </c>
      <c r="V1788" t="s">
        <v>6835</v>
      </c>
      <c r="W1788" t="s">
        <v>6839</v>
      </c>
      <c r="Y1788" t="s">
        <v>8517</v>
      </c>
      <c r="Z1788" t="s">
        <v>5773</v>
      </c>
      <c r="AA1788" t="s">
        <v>10558</v>
      </c>
      <c r="AB1788">
        <v>55</v>
      </c>
      <c r="AC1788" t="s">
        <v>8953</v>
      </c>
      <c r="AD1788" t="s">
        <v>5741</v>
      </c>
      <c r="AE1788">
        <v>6</v>
      </c>
      <c r="AF1788">
        <v>1</v>
      </c>
      <c r="AG1788">
        <v>0</v>
      </c>
      <c r="AH1788">
        <v>166.53</v>
      </c>
      <c r="AK1788" t="s">
        <v>10966</v>
      </c>
      <c r="AL1788">
        <v>20800</v>
      </c>
      <c r="AR1788">
        <v>0.5</v>
      </c>
      <c r="AS1788" t="s">
        <v>6819</v>
      </c>
      <c r="AT1788" t="s">
        <v>11195</v>
      </c>
      <c r="AU1788" t="s">
        <v>5741</v>
      </c>
      <c r="AV1788" t="s">
        <v>11231</v>
      </c>
      <c r="AW1788" t="s">
        <v>6819</v>
      </c>
    </row>
    <row r="1789" spans="1:49">
      <c r="A1789" s="1">
        <f>HYPERLINK("https://lsnyc.legalserver.org/matter/dynamic-profile/view/1896339","19-1896339")</f>
        <v>0</v>
      </c>
      <c r="B1789" t="s">
        <v>51</v>
      </c>
      <c r="C1789" t="s">
        <v>1417</v>
      </c>
      <c r="D1789" t="s">
        <v>2809</v>
      </c>
      <c r="E1789" t="s">
        <v>4678</v>
      </c>
      <c r="F1789" t="s">
        <v>5101</v>
      </c>
      <c r="G1789" t="s">
        <v>5636</v>
      </c>
      <c r="H1789">
        <v>10305</v>
      </c>
      <c r="I1789" t="s">
        <v>5696</v>
      </c>
      <c r="J1789" t="s">
        <v>5696</v>
      </c>
      <c r="K1789" t="s">
        <v>6666</v>
      </c>
      <c r="L1789" t="s">
        <v>6714</v>
      </c>
      <c r="O1789" t="s">
        <v>6751</v>
      </c>
      <c r="P1789" t="s">
        <v>5697</v>
      </c>
      <c r="R1789" t="s">
        <v>6796</v>
      </c>
      <c r="S1789" t="s">
        <v>6801</v>
      </c>
      <c r="U1789">
        <v>215</v>
      </c>
      <c r="V1789" t="s">
        <v>6834</v>
      </c>
      <c r="W1789" t="s">
        <v>6839</v>
      </c>
      <c r="Y1789" t="s">
        <v>8518</v>
      </c>
      <c r="AA1789" t="s">
        <v>10559</v>
      </c>
      <c r="AB1789">
        <v>24</v>
      </c>
      <c r="AC1789" t="s">
        <v>10931</v>
      </c>
      <c r="AD1789" t="s">
        <v>10944</v>
      </c>
      <c r="AE1789">
        <v>6</v>
      </c>
      <c r="AF1789">
        <v>1</v>
      </c>
      <c r="AG1789">
        <v>1</v>
      </c>
      <c r="AH1789">
        <v>54.93</v>
      </c>
      <c r="AK1789" t="s">
        <v>10966</v>
      </c>
      <c r="AL1789">
        <v>9288</v>
      </c>
      <c r="AR1789">
        <v>4.5</v>
      </c>
      <c r="AS1789" t="s">
        <v>6812</v>
      </c>
      <c r="AT1789" t="s">
        <v>11177</v>
      </c>
      <c r="AV1789" t="s">
        <v>11231</v>
      </c>
      <c r="AW1789" t="s">
        <v>10961</v>
      </c>
    </row>
    <row r="1790" spans="1:49">
      <c r="A1790" s="1">
        <f>HYPERLINK("https://lsnyc.legalserver.org/matter/dynamic-profile/view/1902842","19-1902842")</f>
        <v>0</v>
      </c>
      <c r="B1790" t="s">
        <v>100</v>
      </c>
      <c r="C1790" t="s">
        <v>1418</v>
      </c>
      <c r="D1790" t="s">
        <v>349</v>
      </c>
      <c r="E1790" t="s">
        <v>4679</v>
      </c>
      <c r="F1790" t="s">
        <v>5579</v>
      </c>
      <c r="G1790" t="s">
        <v>5635</v>
      </c>
      <c r="H1790">
        <v>10467</v>
      </c>
      <c r="I1790" t="s">
        <v>5695</v>
      </c>
      <c r="J1790" t="s">
        <v>5696</v>
      </c>
      <c r="K1790" t="s">
        <v>6667</v>
      </c>
      <c r="L1790" t="s">
        <v>6714</v>
      </c>
      <c r="O1790" t="s">
        <v>6763</v>
      </c>
      <c r="P1790" t="s">
        <v>5697</v>
      </c>
      <c r="R1790" t="s">
        <v>6793</v>
      </c>
      <c r="S1790" t="s">
        <v>6801</v>
      </c>
      <c r="U1790">
        <v>1300</v>
      </c>
      <c r="V1790" t="s">
        <v>6833</v>
      </c>
      <c r="Y1790" t="s">
        <v>8519</v>
      </c>
      <c r="AA1790" t="s">
        <v>10560</v>
      </c>
      <c r="AB1790">
        <v>94</v>
      </c>
      <c r="AE1790">
        <v>1</v>
      </c>
      <c r="AF1790">
        <v>1</v>
      </c>
      <c r="AG1790">
        <v>1</v>
      </c>
      <c r="AH1790">
        <v>150.68</v>
      </c>
      <c r="AK1790" t="s">
        <v>10966</v>
      </c>
      <c r="AL1790">
        <v>25480</v>
      </c>
      <c r="AR1790">
        <v>5</v>
      </c>
      <c r="AS1790" t="s">
        <v>6808</v>
      </c>
      <c r="AT1790" t="s">
        <v>288</v>
      </c>
      <c r="AU1790" t="s">
        <v>11228</v>
      </c>
      <c r="AV1790" t="s">
        <v>11231</v>
      </c>
      <c r="AW1790" t="s">
        <v>11131</v>
      </c>
    </row>
    <row r="1791" spans="1:49">
      <c r="A1791" s="1">
        <f>HYPERLINK("https://lsnyc.legalserver.org/matter/dynamic-profile/view/1899548","19-1899548")</f>
        <v>0</v>
      </c>
      <c r="B1791" t="s">
        <v>89</v>
      </c>
      <c r="C1791" t="s">
        <v>1419</v>
      </c>
      <c r="D1791" t="s">
        <v>1832</v>
      </c>
      <c r="E1791" t="s">
        <v>4680</v>
      </c>
      <c r="F1791" t="s">
        <v>5204</v>
      </c>
      <c r="G1791" t="s">
        <v>5636</v>
      </c>
      <c r="H1791">
        <v>10304</v>
      </c>
      <c r="I1791" t="s">
        <v>5695</v>
      </c>
      <c r="J1791" t="s">
        <v>5696</v>
      </c>
      <c r="K1791" t="s">
        <v>6668</v>
      </c>
      <c r="L1791" t="s">
        <v>6714</v>
      </c>
      <c r="O1791" t="s">
        <v>6751</v>
      </c>
      <c r="P1791" t="s">
        <v>5697</v>
      </c>
      <c r="R1791" t="s">
        <v>6794</v>
      </c>
      <c r="S1791" t="s">
        <v>6801</v>
      </c>
      <c r="U1791">
        <v>657</v>
      </c>
      <c r="V1791" t="s">
        <v>6834</v>
      </c>
      <c r="W1791" t="s">
        <v>6850</v>
      </c>
      <c r="Y1791" t="s">
        <v>8520</v>
      </c>
      <c r="AA1791" t="s">
        <v>10561</v>
      </c>
      <c r="AB1791">
        <v>693</v>
      </c>
      <c r="AC1791" t="s">
        <v>10934</v>
      </c>
      <c r="AD1791" t="s">
        <v>5741</v>
      </c>
      <c r="AE1791">
        <v>4</v>
      </c>
      <c r="AF1791">
        <v>1</v>
      </c>
      <c r="AG1791">
        <v>2</v>
      </c>
      <c r="AH1791">
        <v>127.03</v>
      </c>
      <c r="AK1791" t="s">
        <v>10986</v>
      </c>
      <c r="AL1791">
        <v>27096</v>
      </c>
      <c r="AR1791">
        <v>3.6</v>
      </c>
      <c r="AS1791" t="s">
        <v>6814</v>
      </c>
      <c r="AT1791" t="s">
        <v>11177</v>
      </c>
      <c r="AU1791" t="s">
        <v>11228</v>
      </c>
      <c r="AV1791" t="s">
        <v>11231</v>
      </c>
      <c r="AW1791" t="s">
        <v>10957</v>
      </c>
    </row>
    <row r="1792" spans="1:49">
      <c r="A1792" s="1">
        <f>HYPERLINK("https://lsnyc.legalserver.org/matter/dynamic-profile/view/1906284","19-1906284")</f>
        <v>0</v>
      </c>
      <c r="B1792" t="s">
        <v>167</v>
      </c>
      <c r="C1792" t="s">
        <v>1420</v>
      </c>
      <c r="D1792" t="s">
        <v>2526</v>
      </c>
      <c r="E1792" t="s">
        <v>4681</v>
      </c>
      <c r="F1792" t="s">
        <v>5580</v>
      </c>
      <c r="G1792" t="s">
        <v>5635</v>
      </c>
      <c r="H1792">
        <v>10453</v>
      </c>
      <c r="I1792" t="s">
        <v>5695</v>
      </c>
      <c r="J1792" t="s">
        <v>5696</v>
      </c>
      <c r="K1792" t="s">
        <v>6669</v>
      </c>
      <c r="L1792" t="s">
        <v>6714</v>
      </c>
      <c r="O1792" t="s">
        <v>6747</v>
      </c>
      <c r="P1792" t="s">
        <v>5697</v>
      </c>
      <c r="R1792" t="s">
        <v>6793</v>
      </c>
      <c r="U1792">
        <v>570</v>
      </c>
      <c r="V1792" t="s">
        <v>6833</v>
      </c>
      <c r="Y1792" t="s">
        <v>8521</v>
      </c>
      <c r="AA1792" t="s">
        <v>10562</v>
      </c>
      <c r="AB1792">
        <v>0</v>
      </c>
      <c r="AE1792">
        <v>31</v>
      </c>
      <c r="AF1792">
        <v>1</v>
      </c>
      <c r="AG1792">
        <v>0</v>
      </c>
      <c r="AH1792">
        <v>69.56</v>
      </c>
      <c r="AK1792" t="s">
        <v>10966</v>
      </c>
      <c r="AL1792">
        <v>8688</v>
      </c>
      <c r="AR1792">
        <v>0</v>
      </c>
      <c r="AT1792" t="s">
        <v>288</v>
      </c>
      <c r="AU1792" t="s">
        <v>11228</v>
      </c>
      <c r="AV1792" t="s">
        <v>11231</v>
      </c>
      <c r="AW1792" t="s">
        <v>6827</v>
      </c>
    </row>
    <row r="1793" spans="1:49">
      <c r="A1793" s="1">
        <f>HYPERLINK("https://lsnyc.legalserver.org/matter/dynamic-profile/view/1904189","19-1904189")</f>
        <v>0</v>
      </c>
      <c r="B1793" t="s">
        <v>119</v>
      </c>
      <c r="C1793" t="s">
        <v>1421</v>
      </c>
      <c r="D1793" t="s">
        <v>1741</v>
      </c>
      <c r="E1793" t="s">
        <v>4591</v>
      </c>
      <c r="F1793" t="s">
        <v>5247</v>
      </c>
      <c r="G1793" t="s">
        <v>5637</v>
      </c>
      <c r="H1793">
        <v>11233</v>
      </c>
      <c r="I1793" t="s">
        <v>5695</v>
      </c>
      <c r="J1793" t="s">
        <v>5696</v>
      </c>
      <c r="K1793" t="s">
        <v>6670</v>
      </c>
      <c r="L1793" t="s">
        <v>6714</v>
      </c>
      <c r="O1793" t="s">
        <v>6745</v>
      </c>
      <c r="P1793" t="s">
        <v>5697</v>
      </c>
      <c r="R1793" t="s">
        <v>6793</v>
      </c>
      <c r="S1793" t="s">
        <v>6801</v>
      </c>
      <c r="U1793">
        <v>980</v>
      </c>
      <c r="V1793" t="s">
        <v>6835</v>
      </c>
      <c r="W1793" t="s">
        <v>6844</v>
      </c>
      <c r="Y1793" t="s">
        <v>8522</v>
      </c>
      <c r="Z1793" t="s">
        <v>5773</v>
      </c>
      <c r="AA1793" t="s">
        <v>10563</v>
      </c>
      <c r="AB1793">
        <v>1117</v>
      </c>
      <c r="AC1793" t="s">
        <v>10929</v>
      </c>
      <c r="AD1793" t="s">
        <v>10943</v>
      </c>
      <c r="AE1793">
        <v>35</v>
      </c>
      <c r="AF1793">
        <v>1</v>
      </c>
      <c r="AG1793">
        <v>2</v>
      </c>
      <c r="AH1793">
        <v>0</v>
      </c>
      <c r="AK1793" t="s">
        <v>10966</v>
      </c>
      <c r="AL1793">
        <v>0</v>
      </c>
      <c r="AR1793">
        <v>2</v>
      </c>
      <c r="AS1793" t="s">
        <v>6808</v>
      </c>
      <c r="AT1793" t="s">
        <v>69</v>
      </c>
      <c r="AU1793" t="s">
        <v>11228</v>
      </c>
      <c r="AV1793" t="s">
        <v>11231</v>
      </c>
      <c r="AW1793" t="s">
        <v>6818</v>
      </c>
    </row>
    <row r="1794" spans="1:49">
      <c r="A1794" s="1">
        <f>HYPERLINK("https://lsnyc.legalserver.org/matter/dynamic-profile/view/1904261","19-1904261")</f>
        <v>0</v>
      </c>
      <c r="B1794" t="s">
        <v>278</v>
      </c>
      <c r="C1794" t="s">
        <v>1422</v>
      </c>
      <c r="D1794" t="s">
        <v>1784</v>
      </c>
      <c r="E1794" t="s">
        <v>4682</v>
      </c>
      <c r="F1794" t="s">
        <v>5252</v>
      </c>
      <c r="G1794" t="s">
        <v>5637</v>
      </c>
      <c r="H1794">
        <v>11226</v>
      </c>
      <c r="I1794" t="s">
        <v>5696</v>
      </c>
      <c r="J1794" t="s">
        <v>5696</v>
      </c>
      <c r="K1794">
        <v>88696</v>
      </c>
      <c r="L1794" t="s">
        <v>6714</v>
      </c>
      <c r="O1794" t="s">
        <v>6748</v>
      </c>
      <c r="P1794" t="s">
        <v>5697</v>
      </c>
      <c r="R1794" t="s">
        <v>6793</v>
      </c>
      <c r="U1794">
        <v>1532</v>
      </c>
      <c r="V1794" t="s">
        <v>6835</v>
      </c>
      <c r="W1794" t="s">
        <v>6839</v>
      </c>
      <c r="Y1794" t="s">
        <v>8523</v>
      </c>
      <c r="AA1794" t="s">
        <v>10564</v>
      </c>
      <c r="AB1794">
        <v>54</v>
      </c>
      <c r="AC1794" t="s">
        <v>8953</v>
      </c>
      <c r="AD1794" t="s">
        <v>5741</v>
      </c>
      <c r="AE1794">
        <v>10</v>
      </c>
      <c r="AF1794">
        <v>1</v>
      </c>
      <c r="AG1794">
        <v>2</v>
      </c>
      <c r="AH1794">
        <v>154.71</v>
      </c>
      <c r="AK1794" t="s">
        <v>10966</v>
      </c>
      <c r="AL1794">
        <v>33000</v>
      </c>
      <c r="AR1794">
        <v>0.95</v>
      </c>
      <c r="AS1794" t="s">
        <v>6812</v>
      </c>
      <c r="AT1794" t="s">
        <v>11189</v>
      </c>
      <c r="AV1794" t="s">
        <v>11231</v>
      </c>
      <c r="AW1794" t="s">
        <v>6813</v>
      </c>
    </row>
    <row r="1795" spans="1:49">
      <c r="A1795" s="1">
        <f>HYPERLINK("https://lsnyc.legalserver.org/matter/dynamic-profile/view/1905805","19-1905805")</f>
        <v>0</v>
      </c>
      <c r="B1795" t="s">
        <v>100</v>
      </c>
      <c r="C1795" t="s">
        <v>768</v>
      </c>
      <c r="D1795" t="s">
        <v>2095</v>
      </c>
      <c r="E1795" t="s">
        <v>3649</v>
      </c>
      <c r="F1795">
        <v>8</v>
      </c>
      <c r="G1795" t="s">
        <v>5635</v>
      </c>
      <c r="H1795">
        <v>10458</v>
      </c>
      <c r="I1795" t="s">
        <v>5695</v>
      </c>
      <c r="J1795" t="s">
        <v>5696</v>
      </c>
      <c r="K1795" t="s">
        <v>5906</v>
      </c>
      <c r="L1795" t="s">
        <v>6714</v>
      </c>
      <c r="O1795" t="s">
        <v>6747</v>
      </c>
      <c r="R1795" t="s">
        <v>6793</v>
      </c>
      <c r="U1795">
        <v>1890</v>
      </c>
      <c r="V1795" t="s">
        <v>6833</v>
      </c>
      <c r="Y1795" t="s">
        <v>7443</v>
      </c>
      <c r="Z1795" t="s">
        <v>9082</v>
      </c>
      <c r="AA1795" t="s">
        <v>10565</v>
      </c>
      <c r="AB1795">
        <v>9</v>
      </c>
      <c r="AC1795" t="s">
        <v>10929</v>
      </c>
      <c r="AE1795">
        <v>33</v>
      </c>
      <c r="AF1795">
        <v>3</v>
      </c>
      <c r="AG1795">
        <v>1</v>
      </c>
      <c r="AH1795">
        <v>17.57</v>
      </c>
      <c r="AL1795">
        <v>4524</v>
      </c>
      <c r="AR1795">
        <v>0</v>
      </c>
      <c r="AT1795" t="s">
        <v>288</v>
      </c>
      <c r="AU1795" t="s">
        <v>11228</v>
      </c>
      <c r="AV1795" t="s">
        <v>11231</v>
      </c>
      <c r="AW1795" t="s">
        <v>6824</v>
      </c>
    </row>
    <row r="1796" spans="1:49">
      <c r="A1796" s="1">
        <f>HYPERLINK("https://lsnyc.legalserver.org/matter/dynamic-profile/view/1901014","19-1901014")</f>
        <v>0</v>
      </c>
      <c r="B1796" t="s">
        <v>237</v>
      </c>
      <c r="C1796" t="s">
        <v>1423</v>
      </c>
      <c r="D1796" t="s">
        <v>2810</v>
      </c>
      <c r="E1796" t="s">
        <v>4683</v>
      </c>
      <c r="F1796" t="s">
        <v>5578</v>
      </c>
      <c r="G1796" t="s">
        <v>5645</v>
      </c>
      <c r="H1796">
        <v>11103</v>
      </c>
      <c r="I1796" t="s">
        <v>5696</v>
      </c>
      <c r="J1796" t="s">
        <v>5696</v>
      </c>
      <c r="K1796" t="s">
        <v>6671</v>
      </c>
      <c r="L1796" t="s">
        <v>6714</v>
      </c>
      <c r="O1796" t="s">
        <v>6750</v>
      </c>
      <c r="R1796" t="s">
        <v>6793</v>
      </c>
      <c r="U1796">
        <v>1168</v>
      </c>
      <c r="V1796" t="s">
        <v>6837</v>
      </c>
      <c r="W1796" t="s">
        <v>6840</v>
      </c>
      <c r="Y1796" t="s">
        <v>8524</v>
      </c>
      <c r="AA1796" t="s">
        <v>10566</v>
      </c>
      <c r="AB1796">
        <v>60</v>
      </c>
      <c r="AD1796" t="s">
        <v>5741</v>
      </c>
      <c r="AE1796">
        <v>7</v>
      </c>
      <c r="AF1796">
        <v>2</v>
      </c>
      <c r="AG1796">
        <v>0</v>
      </c>
      <c r="AH1796">
        <v>64.86</v>
      </c>
      <c r="AK1796" t="s">
        <v>10966</v>
      </c>
      <c r="AL1796">
        <v>10968</v>
      </c>
      <c r="AR1796">
        <v>15.2</v>
      </c>
      <c r="AS1796" t="s">
        <v>6815</v>
      </c>
      <c r="AT1796" t="s">
        <v>237</v>
      </c>
      <c r="AV1796" t="s">
        <v>11231</v>
      </c>
      <c r="AW1796" t="s">
        <v>11120</v>
      </c>
    </row>
    <row r="1797" spans="1:49">
      <c r="A1797" s="1">
        <f>HYPERLINK("https://lsnyc.legalserver.org/matter/dynamic-profile/view/1904119","19-1904119")</f>
        <v>0</v>
      </c>
      <c r="B1797" t="s">
        <v>105</v>
      </c>
      <c r="C1797" t="s">
        <v>1424</v>
      </c>
      <c r="D1797" t="s">
        <v>2811</v>
      </c>
      <c r="E1797" t="s">
        <v>4684</v>
      </c>
      <c r="F1797" t="s">
        <v>5093</v>
      </c>
      <c r="G1797" t="s">
        <v>5635</v>
      </c>
      <c r="H1797">
        <v>10456</v>
      </c>
      <c r="I1797" t="s">
        <v>5695</v>
      </c>
      <c r="J1797" t="s">
        <v>5696</v>
      </c>
      <c r="K1797" t="s">
        <v>6672</v>
      </c>
      <c r="L1797" t="s">
        <v>6714</v>
      </c>
      <c r="O1797" t="s">
        <v>6763</v>
      </c>
      <c r="P1797" t="s">
        <v>5697</v>
      </c>
      <c r="R1797" t="s">
        <v>6793</v>
      </c>
      <c r="U1797">
        <v>0</v>
      </c>
      <c r="V1797" t="s">
        <v>6833</v>
      </c>
      <c r="Y1797" t="s">
        <v>8525</v>
      </c>
      <c r="Z1797" t="s">
        <v>9083</v>
      </c>
      <c r="AA1797" t="s">
        <v>10567</v>
      </c>
      <c r="AB1797">
        <v>0</v>
      </c>
      <c r="AC1797" t="s">
        <v>10929</v>
      </c>
      <c r="AE1797">
        <v>15</v>
      </c>
      <c r="AF1797">
        <v>2</v>
      </c>
      <c r="AG1797">
        <v>1</v>
      </c>
      <c r="AH1797">
        <v>100.44</v>
      </c>
      <c r="AK1797" t="s">
        <v>10966</v>
      </c>
      <c r="AL1797">
        <v>21424</v>
      </c>
      <c r="AR1797">
        <v>1.5</v>
      </c>
      <c r="AS1797" t="s">
        <v>6819</v>
      </c>
      <c r="AT1797" t="s">
        <v>288</v>
      </c>
      <c r="AU1797" t="s">
        <v>11229</v>
      </c>
      <c r="AV1797" t="s">
        <v>11231</v>
      </c>
      <c r="AW1797" t="s">
        <v>6817</v>
      </c>
    </row>
    <row r="1798" spans="1:49">
      <c r="A1798" s="1">
        <f>HYPERLINK("https://lsnyc.legalserver.org/matter/dynamic-profile/view/1904900","19-1904900")</f>
        <v>0</v>
      </c>
      <c r="B1798" t="s">
        <v>89</v>
      </c>
      <c r="C1798" t="s">
        <v>334</v>
      </c>
      <c r="D1798" t="s">
        <v>2812</v>
      </c>
      <c r="E1798" t="s">
        <v>4685</v>
      </c>
      <c r="F1798">
        <v>1</v>
      </c>
      <c r="G1798" t="s">
        <v>5636</v>
      </c>
      <c r="H1798">
        <v>10301</v>
      </c>
      <c r="I1798" t="s">
        <v>5696</v>
      </c>
      <c r="J1798" t="s">
        <v>5696</v>
      </c>
      <c r="K1798" t="s">
        <v>6673</v>
      </c>
      <c r="L1798" t="s">
        <v>6714</v>
      </c>
      <c r="O1798" t="s">
        <v>6745</v>
      </c>
      <c r="P1798" t="s">
        <v>5697</v>
      </c>
      <c r="R1798" t="s">
        <v>6793</v>
      </c>
      <c r="S1798" t="s">
        <v>6801</v>
      </c>
      <c r="U1798">
        <v>355</v>
      </c>
      <c r="V1798" t="s">
        <v>6834</v>
      </c>
      <c r="W1798" t="s">
        <v>6839</v>
      </c>
      <c r="Y1798" t="s">
        <v>8526</v>
      </c>
      <c r="AA1798" t="s">
        <v>10568</v>
      </c>
      <c r="AB1798">
        <v>10</v>
      </c>
      <c r="AC1798" t="s">
        <v>10930</v>
      </c>
      <c r="AD1798" t="s">
        <v>10949</v>
      </c>
      <c r="AE1798">
        <v>2</v>
      </c>
      <c r="AF1798">
        <v>1</v>
      </c>
      <c r="AG1798">
        <v>0</v>
      </c>
      <c r="AH1798">
        <v>116.83</v>
      </c>
      <c r="AK1798" t="s">
        <v>10966</v>
      </c>
      <c r="AL1798">
        <v>14592</v>
      </c>
      <c r="AR1798">
        <v>1</v>
      </c>
      <c r="AS1798" t="s">
        <v>6827</v>
      </c>
      <c r="AT1798" t="s">
        <v>11177</v>
      </c>
      <c r="AV1798" t="s">
        <v>11231</v>
      </c>
      <c r="AW1798" t="s">
        <v>6827</v>
      </c>
    </row>
    <row r="1799" spans="1:49">
      <c r="A1799" s="1">
        <f>HYPERLINK("https://lsnyc.legalserver.org/matter/dynamic-profile/view/1903782","19-1903782")</f>
        <v>0</v>
      </c>
      <c r="B1799" t="s">
        <v>101</v>
      </c>
      <c r="C1799" t="s">
        <v>1425</v>
      </c>
      <c r="D1799" t="s">
        <v>2813</v>
      </c>
      <c r="E1799" t="s">
        <v>4686</v>
      </c>
      <c r="F1799" t="s">
        <v>5158</v>
      </c>
      <c r="G1799" t="s">
        <v>5636</v>
      </c>
      <c r="H1799">
        <v>10301</v>
      </c>
      <c r="I1799" t="s">
        <v>5695</v>
      </c>
      <c r="J1799" t="s">
        <v>5696</v>
      </c>
      <c r="K1799" t="s">
        <v>6674</v>
      </c>
      <c r="L1799" t="s">
        <v>6714</v>
      </c>
      <c r="O1799" t="s">
        <v>6745</v>
      </c>
      <c r="P1799" t="s">
        <v>5697</v>
      </c>
      <c r="R1799" t="s">
        <v>6793</v>
      </c>
      <c r="S1799" t="s">
        <v>6801</v>
      </c>
      <c r="U1799">
        <v>1400</v>
      </c>
      <c r="V1799" t="s">
        <v>6834</v>
      </c>
      <c r="W1799" t="s">
        <v>6839</v>
      </c>
      <c r="Y1799" t="s">
        <v>8527</v>
      </c>
      <c r="AA1799" t="s">
        <v>10569</v>
      </c>
      <c r="AB1799">
        <v>0</v>
      </c>
      <c r="AC1799" t="s">
        <v>10930</v>
      </c>
      <c r="AD1799" t="s">
        <v>5741</v>
      </c>
      <c r="AE1799">
        <v>4</v>
      </c>
      <c r="AF1799">
        <v>1</v>
      </c>
      <c r="AG1799">
        <v>0</v>
      </c>
      <c r="AH1799">
        <v>96.08</v>
      </c>
      <c r="AK1799" t="s">
        <v>10966</v>
      </c>
      <c r="AL1799">
        <v>12000</v>
      </c>
      <c r="AR1799">
        <v>4.7</v>
      </c>
      <c r="AS1799" t="s">
        <v>6827</v>
      </c>
      <c r="AT1799" t="s">
        <v>11177</v>
      </c>
      <c r="AU1799" t="s">
        <v>11228</v>
      </c>
      <c r="AV1799" t="s">
        <v>11231</v>
      </c>
      <c r="AW1799" t="s">
        <v>6817</v>
      </c>
    </row>
    <row r="1800" spans="1:49">
      <c r="A1800" s="1">
        <f>HYPERLINK("https://lsnyc.legalserver.org/matter/dynamic-profile/view/1899494","19-1899494")</f>
        <v>0</v>
      </c>
      <c r="B1800" t="s">
        <v>101</v>
      </c>
      <c r="C1800" t="s">
        <v>1426</v>
      </c>
      <c r="D1800" t="s">
        <v>2814</v>
      </c>
      <c r="E1800" t="s">
        <v>4687</v>
      </c>
      <c r="F1800" t="s">
        <v>5244</v>
      </c>
      <c r="G1800" t="s">
        <v>5636</v>
      </c>
      <c r="H1800">
        <v>10304</v>
      </c>
      <c r="I1800" t="s">
        <v>5695</v>
      </c>
      <c r="J1800" t="s">
        <v>5696</v>
      </c>
      <c r="K1800" t="s">
        <v>6675</v>
      </c>
      <c r="L1800" t="s">
        <v>6714</v>
      </c>
      <c r="O1800" t="s">
        <v>6745</v>
      </c>
      <c r="P1800" t="s">
        <v>5697</v>
      </c>
      <c r="R1800" t="s">
        <v>6793</v>
      </c>
      <c r="S1800" t="s">
        <v>6801</v>
      </c>
      <c r="U1800">
        <v>1515</v>
      </c>
      <c r="V1800" t="s">
        <v>6834</v>
      </c>
      <c r="W1800" t="s">
        <v>6839</v>
      </c>
      <c r="Y1800" t="s">
        <v>8528</v>
      </c>
      <c r="AA1800" t="s">
        <v>10570</v>
      </c>
      <c r="AB1800">
        <v>2</v>
      </c>
      <c r="AC1800" t="s">
        <v>10930</v>
      </c>
      <c r="AD1800" t="s">
        <v>5741</v>
      </c>
      <c r="AE1800">
        <v>3</v>
      </c>
      <c r="AF1800">
        <v>1</v>
      </c>
      <c r="AG1800">
        <v>2</v>
      </c>
      <c r="AH1800">
        <v>146.27</v>
      </c>
      <c r="AK1800" t="s">
        <v>10966</v>
      </c>
      <c r="AL1800">
        <v>31200</v>
      </c>
      <c r="AR1800">
        <v>4.95</v>
      </c>
      <c r="AS1800" t="s">
        <v>6819</v>
      </c>
      <c r="AT1800" t="s">
        <v>11177</v>
      </c>
      <c r="AU1800" t="s">
        <v>11228</v>
      </c>
      <c r="AV1800" t="s">
        <v>11231</v>
      </c>
      <c r="AW1800" t="s">
        <v>10958</v>
      </c>
    </row>
    <row r="1801" spans="1:49">
      <c r="A1801" s="1">
        <f>HYPERLINK("https://lsnyc.legalserver.org/matter/dynamic-profile/view/1905796","19-1905796")</f>
        <v>0</v>
      </c>
      <c r="B1801" t="s">
        <v>193</v>
      </c>
      <c r="C1801" t="s">
        <v>1427</v>
      </c>
      <c r="D1801" t="s">
        <v>2815</v>
      </c>
      <c r="E1801" t="s">
        <v>4688</v>
      </c>
      <c r="F1801">
        <v>6</v>
      </c>
      <c r="G1801" t="s">
        <v>5635</v>
      </c>
      <c r="H1801">
        <v>10463</v>
      </c>
      <c r="I1801" t="s">
        <v>5695</v>
      </c>
      <c r="J1801" t="s">
        <v>5696</v>
      </c>
      <c r="K1801" t="s">
        <v>6676</v>
      </c>
      <c r="L1801" t="s">
        <v>6714</v>
      </c>
      <c r="O1801" t="s">
        <v>6747</v>
      </c>
      <c r="R1801" t="s">
        <v>6793</v>
      </c>
      <c r="U1801">
        <v>1581</v>
      </c>
      <c r="V1801" t="s">
        <v>6833</v>
      </c>
      <c r="Y1801" t="s">
        <v>8529</v>
      </c>
      <c r="Z1801" t="s">
        <v>9084</v>
      </c>
      <c r="AA1801" t="s">
        <v>10571</v>
      </c>
      <c r="AB1801">
        <v>31</v>
      </c>
      <c r="AC1801" t="s">
        <v>10929</v>
      </c>
      <c r="AE1801">
        <v>4</v>
      </c>
      <c r="AF1801">
        <v>1</v>
      </c>
      <c r="AG1801">
        <v>0</v>
      </c>
      <c r="AH1801">
        <v>166.53</v>
      </c>
      <c r="AL1801">
        <v>20800</v>
      </c>
      <c r="AR1801">
        <v>0</v>
      </c>
      <c r="AT1801" t="s">
        <v>288</v>
      </c>
      <c r="AU1801" t="s">
        <v>11228</v>
      </c>
      <c r="AV1801" t="s">
        <v>11231</v>
      </c>
      <c r="AW1801" t="s">
        <v>6824</v>
      </c>
    </row>
    <row r="1802" spans="1:49">
      <c r="A1802" s="1">
        <f>HYPERLINK("https://lsnyc.legalserver.org/matter/dynamic-profile/view/1901745","19-1901745")</f>
        <v>0</v>
      </c>
      <c r="B1802" t="s">
        <v>130</v>
      </c>
      <c r="C1802" t="s">
        <v>346</v>
      </c>
      <c r="D1802" t="s">
        <v>2816</v>
      </c>
      <c r="E1802" t="s">
        <v>4689</v>
      </c>
      <c r="F1802" t="s">
        <v>5154</v>
      </c>
      <c r="G1802" t="s">
        <v>5637</v>
      </c>
      <c r="H1802">
        <v>11233</v>
      </c>
      <c r="I1802" t="s">
        <v>5697</v>
      </c>
      <c r="J1802" t="s">
        <v>5696</v>
      </c>
      <c r="K1802" t="s">
        <v>6677</v>
      </c>
      <c r="L1802" t="s">
        <v>6714</v>
      </c>
      <c r="O1802" t="s">
        <v>6745</v>
      </c>
      <c r="P1802" t="s">
        <v>5697</v>
      </c>
      <c r="R1802" t="s">
        <v>6793</v>
      </c>
      <c r="S1802" t="s">
        <v>6801</v>
      </c>
      <c r="U1802">
        <v>1032</v>
      </c>
      <c r="V1802" t="s">
        <v>6835</v>
      </c>
      <c r="Y1802" t="s">
        <v>8530</v>
      </c>
      <c r="Z1802" t="s">
        <v>5773</v>
      </c>
      <c r="AA1802" t="s">
        <v>10572</v>
      </c>
      <c r="AB1802">
        <v>6</v>
      </c>
      <c r="AC1802" t="s">
        <v>10929</v>
      </c>
      <c r="AD1802" t="s">
        <v>5741</v>
      </c>
      <c r="AE1802">
        <v>3</v>
      </c>
      <c r="AF1802">
        <v>1</v>
      </c>
      <c r="AG1802">
        <v>0</v>
      </c>
      <c r="AH1802">
        <v>134.51</v>
      </c>
      <c r="AK1802" t="s">
        <v>10966</v>
      </c>
      <c r="AL1802">
        <v>16800</v>
      </c>
      <c r="AR1802">
        <v>5.5</v>
      </c>
      <c r="AS1802" t="s">
        <v>6807</v>
      </c>
      <c r="AT1802" t="s">
        <v>11192</v>
      </c>
      <c r="AU1802" t="s">
        <v>5741</v>
      </c>
      <c r="AV1802" t="s">
        <v>11231</v>
      </c>
      <c r="AW1802" t="s">
        <v>11149</v>
      </c>
    </row>
    <row r="1803" spans="1:49">
      <c r="A1803" s="1">
        <f>HYPERLINK("https://lsnyc.legalserver.org/matter/dynamic-profile/view/1897669","19-1897669")</f>
        <v>0</v>
      </c>
      <c r="B1803" t="s">
        <v>244</v>
      </c>
      <c r="C1803" t="s">
        <v>1069</v>
      </c>
      <c r="D1803" t="s">
        <v>1251</v>
      </c>
      <c r="E1803" t="s">
        <v>4690</v>
      </c>
      <c r="F1803" t="s">
        <v>5237</v>
      </c>
      <c r="G1803" t="s">
        <v>5638</v>
      </c>
      <c r="H1803">
        <v>10003</v>
      </c>
      <c r="I1803" t="s">
        <v>5696</v>
      </c>
      <c r="J1803" t="s">
        <v>5696</v>
      </c>
      <c r="L1803" t="s">
        <v>6714</v>
      </c>
      <c r="O1803" t="s">
        <v>6759</v>
      </c>
      <c r="R1803" t="s">
        <v>6793</v>
      </c>
      <c r="U1803">
        <v>900</v>
      </c>
      <c r="V1803" t="s">
        <v>6836</v>
      </c>
      <c r="Y1803" t="s">
        <v>8423</v>
      </c>
      <c r="AA1803" t="s">
        <v>10573</v>
      </c>
      <c r="AB1803">
        <v>0</v>
      </c>
      <c r="AE1803">
        <v>10</v>
      </c>
      <c r="AF1803">
        <v>1</v>
      </c>
      <c r="AG1803">
        <v>0</v>
      </c>
      <c r="AH1803">
        <v>82.43000000000001</v>
      </c>
      <c r="AK1803" t="s">
        <v>10966</v>
      </c>
      <c r="AL1803">
        <v>10296</v>
      </c>
      <c r="AR1803">
        <v>0</v>
      </c>
      <c r="AT1803" t="s">
        <v>11194</v>
      </c>
      <c r="AV1803" t="s">
        <v>11231</v>
      </c>
      <c r="AW1803" t="s">
        <v>11151</v>
      </c>
    </row>
    <row r="1804" spans="1:49">
      <c r="A1804" s="1">
        <f>HYPERLINK("https://lsnyc.legalserver.org/matter/dynamic-profile/view/1905648","19-1905648")</f>
        <v>0</v>
      </c>
      <c r="B1804" t="s">
        <v>185</v>
      </c>
      <c r="C1804" t="s">
        <v>808</v>
      </c>
      <c r="D1804" t="s">
        <v>2817</v>
      </c>
      <c r="E1804" t="s">
        <v>4691</v>
      </c>
      <c r="F1804" t="s">
        <v>5105</v>
      </c>
      <c r="G1804" t="s">
        <v>5635</v>
      </c>
      <c r="H1804">
        <v>10457</v>
      </c>
      <c r="I1804" t="s">
        <v>5695</v>
      </c>
      <c r="J1804" t="s">
        <v>5696</v>
      </c>
      <c r="K1804" t="s">
        <v>6678</v>
      </c>
      <c r="L1804" t="s">
        <v>6714</v>
      </c>
      <c r="O1804" t="s">
        <v>6763</v>
      </c>
      <c r="P1804" t="s">
        <v>5697</v>
      </c>
      <c r="R1804" t="s">
        <v>6793</v>
      </c>
      <c r="U1804">
        <v>1800</v>
      </c>
      <c r="V1804" t="s">
        <v>6833</v>
      </c>
      <c r="W1804" t="s">
        <v>6843</v>
      </c>
      <c r="Y1804" t="s">
        <v>8531</v>
      </c>
      <c r="AA1804" t="s">
        <v>10574</v>
      </c>
      <c r="AB1804">
        <v>0</v>
      </c>
      <c r="AC1804" t="s">
        <v>8953</v>
      </c>
      <c r="AD1804" t="s">
        <v>5741</v>
      </c>
      <c r="AE1804">
        <v>5</v>
      </c>
      <c r="AF1804">
        <v>1</v>
      </c>
      <c r="AG1804">
        <v>0</v>
      </c>
      <c r="AH1804">
        <v>48.04</v>
      </c>
      <c r="AK1804" t="s">
        <v>10966</v>
      </c>
      <c r="AL1804">
        <v>6000</v>
      </c>
      <c r="AR1804">
        <v>0.5</v>
      </c>
      <c r="AS1804" t="s">
        <v>6823</v>
      </c>
      <c r="AT1804" t="s">
        <v>11179</v>
      </c>
      <c r="AU1804" t="s">
        <v>11228</v>
      </c>
      <c r="AV1804" t="s">
        <v>11231</v>
      </c>
      <c r="AW1804" t="s">
        <v>6823</v>
      </c>
    </row>
    <row r="1805" spans="1:49">
      <c r="A1805" s="1">
        <f>HYPERLINK("https://lsnyc.legalserver.org/matter/dynamic-profile/view/1903049","19-1903049")</f>
        <v>0</v>
      </c>
      <c r="B1805" t="s">
        <v>141</v>
      </c>
      <c r="C1805" t="s">
        <v>1428</v>
      </c>
      <c r="D1805" t="s">
        <v>2543</v>
      </c>
      <c r="E1805" t="s">
        <v>4692</v>
      </c>
      <c r="F1805">
        <v>9</v>
      </c>
      <c r="G1805" t="s">
        <v>5637</v>
      </c>
      <c r="H1805">
        <v>11213</v>
      </c>
      <c r="I1805" t="s">
        <v>5696</v>
      </c>
      <c r="J1805" t="s">
        <v>5696</v>
      </c>
      <c r="K1805" t="s">
        <v>6679</v>
      </c>
      <c r="L1805" t="s">
        <v>6714</v>
      </c>
      <c r="O1805" t="s">
        <v>6771</v>
      </c>
      <c r="P1805" t="s">
        <v>5697</v>
      </c>
      <c r="R1805" t="s">
        <v>6793</v>
      </c>
      <c r="U1805">
        <v>2125</v>
      </c>
      <c r="V1805" t="s">
        <v>6835</v>
      </c>
      <c r="W1805" t="s">
        <v>6843</v>
      </c>
      <c r="Y1805" t="s">
        <v>7354</v>
      </c>
      <c r="AA1805" t="s">
        <v>10575</v>
      </c>
      <c r="AB1805">
        <v>9</v>
      </c>
      <c r="AE1805">
        <v>9</v>
      </c>
      <c r="AF1805">
        <v>2</v>
      </c>
      <c r="AG1805">
        <v>0</v>
      </c>
      <c r="AH1805">
        <v>149.02</v>
      </c>
      <c r="AL1805">
        <v>25200</v>
      </c>
      <c r="AR1805">
        <v>4.25</v>
      </c>
      <c r="AS1805" t="s">
        <v>6827</v>
      </c>
      <c r="AT1805" t="s">
        <v>141</v>
      </c>
      <c r="AV1805" t="s">
        <v>11231</v>
      </c>
      <c r="AW1805" t="s">
        <v>11138</v>
      </c>
    </row>
    <row r="1806" spans="1:49">
      <c r="A1806" s="1">
        <f>HYPERLINK("https://lsnyc.legalserver.org/matter/dynamic-profile/view/1903001","19-1903001")</f>
        <v>0</v>
      </c>
      <c r="B1806" t="s">
        <v>130</v>
      </c>
      <c r="C1806" t="s">
        <v>1429</v>
      </c>
      <c r="D1806" t="s">
        <v>1964</v>
      </c>
      <c r="E1806" t="s">
        <v>4693</v>
      </c>
      <c r="F1806" t="s">
        <v>5237</v>
      </c>
      <c r="G1806" t="s">
        <v>5637</v>
      </c>
      <c r="H1806">
        <v>11212</v>
      </c>
      <c r="I1806" t="s">
        <v>5697</v>
      </c>
      <c r="J1806" t="s">
        <v>5696</v>
      </c>
      <c r="K1806" t="s">
        <v>6680</v>
      </c>
      <c r="L1806" t="s">
        <v>6714</v>
      </c>
      <c r="O1806" t="s">
        <v>6745</v>
      </c>
      <c r="P1806" t="s">
        <v>5697</v>
      </c>
      <c r="R1806" t="s">
        <v>6793</v>
      </c>
      <c r="U1806">
        <v>1534</v>
      </c>
      <c r="V1806" t="s">
        <v>6835</v>
      </c>
      <c r="W1806" t="s">
        <v>6843</v>
      </c>
      <c r="Y1806" t="s">
        <v>8532</v>
      </c>
      <c r="Z1806">
        <v>9407455</v>
      </c>
      <c r="AA1806" t="s">
        <v>10576</v>
      </c>
      <c r="AB1806">
        <v>21</v>
      </c>
      <c r="AC1806" t="s">
        <v>10929</v>
      </c>
      <c r="AD1806" t="s">
        <v>10946</v>
      </c>
      <c r="AE1806">
        <v>9</v>
      </c>
      <c r="AF1806">
        <v>1</v>
      </c>
      <c r="AG1806">
        <v>2</v>
      </c>
      <c r="AH1806">
        <v>0</v>
      </c>
      <c r="AK1806" t="s">
        <v>10966</v>
      </c>
      <c r="AL1806">
        <v>0</v>
      </c>
      <c r="AR1806">
        <v>15.5</v>
      </c>
      <c r="AS1806" t="s">
        <v>6820</v>
      </c>
      <c r="AT1806" t="s">
        <v>67</v>
      </c>
      <c r="AV1806" t="s">
        <v>11231</v>
      </c>
      <c r="AW1806" t="s">
        <v>11138</v>
      </c>
    </row>
    <row r="1807" spans="1:49">
      <c r="A1807" s="1">
        <f>HYPERLINK("https://lsnyc.legalserver.org/matter/dynamic-profile/view/1903631","19-1903631")</f>
        <v>0</v>
      </c>
      <c r="B1807" t="s">
        <v>245</v>
      </c>
      <c r="C1807" t="s">
        <v>1430</v>
      </c>
      <c r="D1807" t="s">
        <v>2776</v>
      </c>
      <c r="E1807" t="s">
        <v>4694</v>
      </c>
      <c r="F1807" t="s">
        <v>5197</v>
      </c>
      <c r="G1807" t="s">
        <v>5638</v>
      </c>
      <c r="H1807">
        <v>10021</v>
      </c>
      <c r="I1807" t="s">
        <v>5696</v>
      </c>
      <c r="J1807" t="s">
        <v>5696</v>
      </c>
      <c r="K1807">
        <v>53659</v>
      </c>
      <c r="L1807" t="s">
        <v>6714</v>
      </c>
      <c r="O1807" t="s">
        <v>6745</v>
      </c>
      <c r="R1807" t="s">
        <v>6793</v>
      </c>
      <c r="U1807">
        <v>830.13</v>
      </c>
      <c r="V1807" t="s">
        <v>6836</v>
      </c>
      <c r="Y1807" t="s">
        <v>8533</v>
      </c>
      <c r="AA1807" t="s">
        <v>10577</v>
      </c>
      <c r="AB1807">
        <v>0</v>
      </c>
      <c r="AE1807">
        <v>43</v>
      </c>
      <c r="AF1807">
        <v>1</v>
      </c>
      <c r="AG1807">
        <v>0</v>
      </c>
      <c r="AH1807">
        <v>158.33</v>
      </c>
      <c r="AK1807" t="s">
        <v>10966</v>
      </c>
      <c r="AL1807">
        <v>19776</v>
      </c>
      <c r="AR1807">
        <v>0.5</v>
      </c>
      <c r="AS1807" t="s">
        <v>11144</v>
      </c>
      <c r="AT1807" t="s">
        <v>11194</v>
      </c>
      <c r="AV1807" t="s">
        <v>11231</v>
      </c>
      <c r="AW1807" t="s">
        <v>11144</v>
      </c>
    </row>
    <row r="1808" spans="1:49">
      <c r="A1808" s="1">
        <f>HYPERLINK("https://lsnyc.legalserver.org/matter/dynamic-profile/view/1903989","19-1903989")</f>
        <v>0</v>
      </c>
      <c r="B1808" t="s">
        <v>258</v>
      </c>
      <c r="C1808" t="s">
        <v>1321</v>
      </c>
      <c r="D1808" t="s">
        <v>2818</v>
      </c>
      <c r="E1808" t="s">
        <v>4695</v>
      </c>
      <c r="F1808" t="s">
        <v>5304</v>
      </c>
      <c r="G1808" t="s">
        <v>5638</v>
      </c>
      <c r="H1808">
        <v>10025</v>
      </c>
      <c r="I1808" t="s">
        <v>5696</v>
      </c>
      <c r="J1808" t="s">
        <v>5696</v>
      </c>
      <c r="K1808" t="s">
        <v>6681</v>
      </c>
      <c r="L1808" t="s">
        <v>6714</v>
      </c>
      <c r="O1808" t="s">
        <v>6759</v>
      </c>
      <c r="R1808" t="s">
        <v>6793</v>
      </c>
      <c r="U1808">
        <v>2045.07</v>
      </c>
      <c r="V1808" t="s">
        <v>6836</v>
      </c>
      <c r="Y1808" t="s">
        <v>8534</v>
      </c>
      <c r="AA1808" t="s">
        <v>10578</v>
      </c>
      <c r="AB1808">
        <v>0</v>
      </c>
      <c r="AE1808">
        <v>20</v>
      </c>
      <c r="AF1808">
        <v>1</v>
      </c>
      <c r="AG1808">
        <v>0</v>
      </c>
      <c r="AH1808">
        <v>149.88</v>
      </c>
      <c r="AK1808" t="s">
        <v>10966</v>
      </c>
      <c r="AL1808">
        <v>18720</v>
      </c>
      <c r="AR1808">
        <v>0.6</v>
      </c>
      <c r="AS1808" t="s">
        <v>6827</v>
      </c>
      <c r="AT1808" t="s">
        <v>11194</v>
      </c>
      <c r="AV1808" t="s">
        <v>11231</v>
      </c>
      <c r="AW1808" t="s">
        <v>6825</v>
      </c>
    </row>
    <row r="1809" spans="1:49">
      <c r="A1809" s="1">
        <f>HYPERLINK("https://lsnyc.legalserver.org/matter/dynamic-profile/view/1899948","19-1899948")</f>
        <v>0</v>
      </c>
      <c r="B1809" t="s">
        <v>158</v>
      </c>
      <c r="C1809" t="s">
        <v>1431</v>
      </c>
      <c r="D1809" t="s">
        <v>1902</v>
      </c>
      <c r="E1809" t="s">
        <v>4696</v>
      </c>
      <c r="F1809" t="s">
        <v>5581</v>
      </c>
      <c r="G1809" t="s">
        <v>5637</v>
      </c>
      <c r="H1809">
        <v>11203</v>
      </c>
      <c r="I1809" t="s">
        <v>5696</v>
      </c>
      <c r="J1809" t="s">
        <v>5696</v>
      </c>
      <c r="K1809" t="s">
        <v>6682</v>
      </c>
      <c r="L1809" t="s">
        <v>6714</v>
      </c>
      <c r="O1809" t="s">
        <v>6746</v>
      </c>
      <c r="R1809" t="s">
        <v>6793</v>
      </c>
      <c r="U1809">
        <v>1535</v>
      </c>
      <c r="V1809" t="s">
        <v>6835</v>
      </c>
      <c r="W1809" t="s">
        <v>6840</v>
      </c>
      <c r="Y1809" t="s">
        <v>8535</v>
      </c>
      <c r="AA1809" t="s">
        <v>10579</v>
      </c>
      <c r="AB1809">
        <v>67</v>
      </c>
      <c r="AD1809" t="s">
        <v>10948</v>
      </c>
      <c r="AE1809">
        <v>0</v>
      </c>
      <c r="AF1809">
        <v>1</v>
      </c>
      <c r="AG1809">
        <v>0</v>
      </c>
      <c r="AH1809">
        <v>115.29</v>
      </c>
      <c r="AK1809" t="s">
        <v>10966</v>
      </c>
      <c r="AL1809">
        <v>14400</v>
      </c>
      <c r="AR1809">
        <v>5.15</v>
      </c>
      <c r="AS1809" t="s">
        <v>6824</v>
      </c>
      <c r="AT1809" t="s">
        <v>11188</v>
      </c>
      <c r="AV1809" t="s">
        <v>11231</v>
      </c>
      <c r="AW1809" t="s">
        <v>10957</v>
      </c>
    </row>
    <row r="1810" spans="1:49">
      <c r="A1810" s="1">
        <f>HYPERLINK("https://lsnyc.legalserver.org/matter/dynamic-profile/view/1901436","19-1901436")</f>
        <v>0</v>
      </c>
      <c r="B1810" t="s">
        <v>269</v>
      </c>
      <c r="C1810" t="s">
        <v>1432</v>
      </c>
      <c r="D1810" t="s">
        <v>1693</v>
      </c>
      <c r="E1810" t="s">
        <v>4697</v>
      </c>
      <c r="G1810" t="s">
        <v>5636</v>
      </c>
      <c r="H1810">
        <v>10304</v>
      </c>
      <c r="I1810" t="s">
        <v>5695</v>
      </c>
      <c r="J1810" t="s">
        <v>5696</v>
      </c>
      <c r="K1810" t="s">
        <v>6683</v>
      </c>
      <c r="L1810" t="s">
        <v>6714</v>
      </c>
      <c r="O1810" t="s">
        <v>6748</v>
      </c>
      <c r="P1810" t="s">
        <v>5697</v>
      </c>
      <c r="R1810" t="s">
        <v>6793</v>
      </c>
      <c r="U1810">
        <v>1000</v>
      </c>
      <c r="V1810" t="s">
        <v>6834</v>
      </c>
      <c r="Y1810" t="s">
        <v>8294</v>
      </c>
      <c r="AA1810" t="s">
        <v>10580</v>
      </c>
      <c r="AB1810">
        <v>0</v>
      </c>
      <c r="AC1810" t="s">
        <v>8953</v>
      </c>
      <c r="AD1810" t="s">
        <v>5741</v>
      </c>
      <c r="AE1810">
        <v>1</v>
      </c>
      <c r="AF1810">
        <v>1</v>
      </c>
      <c r="AG1810">
        <v>1</v>
      </c>
      <c r="AH1810">
        <v>97.29000000000001</v>
      </c>
      <c r="AK1810" t="s">
        <v>10967</v>
      </c>
      <c r="AL1810">
        <v>16452</v>
      </c>
      <c r="AR1810">
        <v>1</v>
      </c>
      <c r="AS1810" t="s">
        <v>11135</v>
      </c>
      <c r="AT1810" t="s">
        <v>11186</v>
      </c>
      <c r="AU1810" t="s">
        <v>11228</v>
      </c>
      <c r="AV1810" t="s">
        <v>11231</v>
      </c>
      <c r="AW1810" t="s">
        <v>11135</v>
      </c>
    </row>
    <row r="1811" spans="1:49">
      <c r="A1811" s="1">
        <f>HYPERLINK("https://lsnyc.legalserver.org/matter/dynamic-profile/view/1903551","19-1903551")</f>
        <v>0</v>
      </c>
      <c r="B1811" t="s">
        <v>187</v>
      </c>
      <c r="C1811" t="s">
        <v>1433</v>
      </c>
      <c r="D1811" t="s">
        <v>2819</v>
      </c>
      <c r="E1811" t="s">
        <v>4698</v>
      </c>
      <c r="F1811" t="s">
        <v>5280</v>
      </c>
      <c r="G1811" t="s">
        <v>5635</v>
      </c>
      <c r="H1811">
        <v>10457</v>
      </c>
      <c r="I1811" t="s">
        <v>5695</v>
      </c>
      <c r="J1811" t="s">
        <v>5696</v>
      </c>
      <c r="K1811" t="s">
        <v>6684</v>
      </c>
      <c r="L1811" t="s">
        <v>6714</v>
      </c>
      <c r="O1811" t="s">
        <v>6763</v>
      </c>
      <c r="P1811" t="s">
        <v>5697</v>
      </c>
      <c r="R1811" t="s">
        <v>6793</v>
      </c>
      <c r="S1811" t="s">
        <v>6801</v>
      </c>
      <c r="U1811">
        <v>1400</v>
      </c>
      <c r="V1811" t="s">
        <v>6833</v>
      </c>
      <c r="Y1811" t="s">
        <v>8536</v>
      </c>
      <c r="Z1811" t="s">
        <v>9085</v>
      </c>
      <c r="AA1811" t="s">
        <v>10581</v>
      </c>
      <c r="AB1811">
        <v>30</v>
      </c>
      <c r="AC1811" t="s">
        <v>10929</v>
      </c>
      <c r="AD1811" t="s">
        <v>5741</v>
      </c>
      <c r="AE1811">
        <v>6</v>
      </c>
      <c r="AF1811">
        <v>2</v>
      </c>
      <c r="AG1811">
        <v>1</v>
      </c>
      <c r="AH1811">
        <v>34.09</v>
      </c>
      <c r="AK1811" t="s">
        <v>10967</v>
      </c>
      <c r="AL1811">
        <v>7272</v>
      </c>
      <c r="AR1811">
        <v>8.75</v>
      </c>
      <c r="AS1811" t="s">
        <v>6827</v>
      </c>
      <c r="AT1811" t="s">
        <v>288</v>
      </c>
      <c r="AU1811" t="s">
        <v>11228</v>
      </c>
      <c r="AV1811" t="s">
        <v>11231</v>
      </c>
      <c r="AW1811" t="s">
        <v>11147</v>
      </c>
    </row>
    <row r="1812" spans="1:49">
      <c r="A1812" s="1">
        <f>HYPERLINK("https://lsnyc.legalserver.org/matter/dynamic-profile/view/1900571","19-1900571")</f>
        <v>0</v>
      </c>
      <c r="B1812" t="s">
        <v>183</v>
      </c>
      <c r="C1812" t="s">
        <v>1434</v>
      </c>
      <c r="D1812" t="s">
        <v>2820</v>
      </c>
      <c r="E1812" t="s">
        <v>4699</v>
      </c>
      <c r="F1812" t="s">
        <v>5252</v>
      </c>
      <c r="G1812" t="s">
        <v>5635</v>
      </c>
      <c r="H1812">
        <v>10460</v>
      </c>
      <c r="I1812" t="s">
        <v>5695</v>
      </c>
      <c r="J1812" t="s">
        <v>5696</v>
      </c>
      <c r="K1812" t="s">
        <v>6685</v>
      </c>
      <c r="L1812" t="s">
        <v>6714</v>
      </c>
      <c r="O1812" t="s">
        <v>6747</v>
      </c>
      <c r="P1812" t="s">
        <v>5697</v>
      </c>
      <c r="R1812" t="s">
        <v>6793</v>
      </c>
      <c r="U1812">
        <v>530</v>
      </c>
      <c r="V1812" t="s">
        <v>6833</v>
      </c>
      <c r="W1812" t="s">
        <v>6839</v>
      </c>
      <c r="Y1812" t="s">
        <v>8537</v>
      </c>
      <c r="AA1812" t="s">
        <v>10582</v>
      </c>
      <c r="AB1812">
        <v>19</v>
      </c>
      <c r="AD1812" t="s">
        <v>5741</v>
      </c>
      <c r="AE1812">
        <v>25</v>
      </c>
      <c r="AF1812">
        <v>1</v>
      </c>
      <c r="AG1812">
        <v>0</v>
      </c>
      <c r="AH1812">
        <v>104.15</v>
      </c>
      <c r="AK1812" t="s">
        <v>10966</v>
      </c>
      <c r="AL1812">
        <v>13008</v>
      </c>
      <c r="AR1812">
        <v>10.7</v>
      </c>
      <c r="AS1812" t="s">
        <v>6826</v>
      </c>
      <c r="AT1812" t="s">
        <v>219</v>
      </c>
      <c r="AU1812" t="s">
        <v>11228</v>
      </c>
      <c r="AV1812" t="s">
        <v>11231</v>
      </c>
      <c r="AW1812" t="s">
        <v>11132</v>
      </c>
    </row>
    <row r="1813" spans="1:49">
      <c r="A1813" s="1">
        <f>HYPERLINK("https://lsnyc.legalserver.org/matter/dynamic-profile/view/1905608","19-1905608")</f>
        <v>0</v>
      </c>
      <c r="B1813" t="s">
        <v>273</v>
      </c>
      <c r="C1813" t="s">
        <v>956</v>
      </c>
      <c r="D1813" t="s">
        <v>2084</v>
      </c>
      <c r="E1813" t="s">
        <v>4700</v>
      </c>
      <c r="F1813" t="s">
        <v>5176</v>
      </c>
      <c r="G1813" t="s">
        <v>5635</v>
      </c>
      <c r="H1813">
        <v>10460</v>
      </c>
      <c r="I1813" t="s">
        <v>5695</v>
      </c>
      <c r="J1813" t="s">
        <v>5696</v>
      </c>
      <c r="K1813" t="s">
        <v>6686</v>
      </c>
      <c r="L1813" t="s">
        <v>6714</v>
      </c>
      <c r="O1813" t="s">
        <v>6747</v>
      </c>
      <c r="R1813" t="s">
        <v>6793</v>
      </c>
      <c r="U1813">
        <v>1534</v>
      </c>
      <c r="V1813" t="s">
        <v>6833</v>
      </c>
      <c r="W1813" t="s">
        <v>6842</v>
      </c>
      <c r="Y1813" t="s">
        <v>8538</v>
      </c>
      <c r="AA1813" t="s">
        <v>10583</v>
      </c>
      <c r="AB1813">
        <v>0</v>
      </c>
      <c r="AC1813" t="s">
        <v>10929</v>
      </c>
      <c r="AD1813" t="s">
        <v>10946</v>
      </c>
      <c r="AE1813">
        <v>0</v>
      </c>
      <c r="AF1813">
        <v>4</v>
      </c>
      <c r="AG1813">
        <v>0</v>
      </c>
      <c r="AH1813">
        <v>87.3</v>
      </c>
      <c r="AK1813" t="s">
        <v>10966</v>
      </c>
      <c r="AL1813">
        <v>22480</v>
      </c>
      <c r="AR1813">
        <v>0</v>
      </c>
      <c r="AT1813" t="s">
        <v>11200</v>
      </c>
      <c r="AV1813" t="s">
        <v>11231</v>
      </c>
      <c r="AW1813" t="s">
        <v>6819</v>
      </c>
    </row>
    <row r="1814" spans="1:49">
      <c r="A1814" s="1">
        <f>HYPERLINK("https://lsnyc.legalserver.org/matter/dynamic-profile/view/1904920","19-1904920")</f>
        <v>0</v>
      </c>
      <c r="B1814" t="s">
        <v>130</v>
      </c>
      <c r="C1814" t="s">
        <v>972</v>
      </c>
      <c r="D1814" t="s">
        <v>1679</v>
      </c>
      <c r="E1814" t="s">
        <v>4701</v>
      </c>
      <c r="F1814" t="s">
        <v>5582</v>
      </c>
      <c r="G1814" t="s">
        <v>5637</v>
      </c>
      <c r="H1814">
        <v>11233</v>
      </c>
      <c r="I1814" t="s">
        <v>5697</v>
      </c>
      <c r="J1814" t="s">
        <v>5696</v>
      </c>
      <c r="K1814" t="s">
        <v>6687</v>
      </c>
      <c r="L1814" t="s">
        <v>6714</v>
      </c>
      <c r="O1814" t="s">
        <v>6745</v>
      </c>
      <c r="P1814" t="s">
        <v>5697</v>
      </c>
      <c r="R1814" t="s">
        <v>6793</v>
      </c>
      <c r="S1814" t="s">
        <v>6801</v>
      </c>
      <c r="U1814">
        <v>2100</v>
      </c>
      <c r="V1814" t="s">
        <v>6835</v>
      </c>
      <c r="W1814" t="s">
        <v>6848</v>
      </c>
      <c r="Y1814" t="s">
        <v>7034</v>
      </c>
      <c r="Z1814" t="s">
        <v>8928</v>
      </c>
      <c r="AA1814" t="s">
        <v>10584</v>
      </c>
      <c r="AB1814">
        <v>3</v>
      </c>
      <c r="AC1814" t="s">
        <v>10930</v>
      </c>
      <c r="AD1814" t="s">
        <v>6841</v>
      </c>
      <c r="AE1814">
        <v>1</v>
      </c>
      <c r="AF1814">
        <v>1</v>
      </c>
      <c r="AG1814">
        <v>1</v>
      </c>
      <c r="AH1814">
        <v>120.64</v>
      </c>
      <c r="AK1814" t="s">
        <v>10966</v>
      </c>
      <c r="AL1814">
        <v>20400</v>
      </c>
      <c r="AR1814">
        <v>2.25</v>
      </c>
      <c r="AS1814" t="s">
        <v>6821</v>
      </c>
      <c r="AT1814" t="s">
        <v>11195</v>
      </c>
      <c r="AU1814" t="s">
        <v>5741</v>
      </c>
      <c r="AV1814" t="s">
        <v>11231</v>
      </c>
      <c r="AW1814" t="s">
        <v>6812</v>
      </c>
    </row>
    <row r="1815" spans="1:49">
      <c r="A1815" s="1">
        <f>HYPERLINK("https://lsnyc.legalserver.org/matter/dynamic-profile/view/1904085","19-1904085")</f>
        <v>0</v>
      </c>
      <c r="B1815" t="s">
        <v>185</v>
      </c>
      <c r="C1815" t="s">
        <v>1435</v>
      </c>
      <c r="D1815" t="s">
        <v>2821</v>
      </c>
      <c r="E1815" t="s">
        <v>4702</v>
      </c>
      <c r="F1815" t="s">
        <v>5252</v>
      </c>
      <c r="G1815" t="s">
        <v>5635</v>
      </c>
      <c r="H1815">
        <v>10468</v>
      </c>
      <c r="I1815" t="s">
        <v>5695</v>
      </c>
      <c r="J1815" t="s">
        <v>5696</v>
      </c>
      <c r="K1815" t="s">
        <v>6688</v>
      </c>
      <c r="L1815" t="s">
        <v>6714</v>
      </c>
      <c r="O1815" t="s">
        <v>6763</v>
      </c>
      <c r="R1815" t="s">
        <v>6793</v>
      </c>
      <c r="U1815">
        <v>1705</v>
      </c>
      <c r="V1815" t="s">
        <v>6833</v>
      </c>
      <c r="Y1815" t="s">
        <v>8539</v>
      </c>
      <c r="AA1815" t="s">
        <v>10585</v>
      </c>
      <c r="AB1815">
        <v>0</v>
      </c>
      <c r="AE1815">
        <v>2</v>
      </c>
      <c r="AF1815">
        <v>2</v>
      </c>
      <c r="AG1815">
        <v>2</v>
      </c>
      <c r="AH1815">
        <v>136.31</v>
      </c>
      <c r="AK1815" t="s">
        <v>10967</v>
      </c>
      <c r="AL1815">
        <v>35100</v>
      </c>
      <c r="AR1815">
        <v>1.5</v>
      </c>
      <c r="AS1815" t="s">
        <v>6815</v>
      </c>
      <c r="AT1815" t="s">
        <v>288</v>
      </c>
      <c r="AU1815" t="s">
        <v>11228</v>
      </c>
      <c r="AV1815" t="s">
        <v>11231</v>
      </c>
      <c r="AW1815" t="s">
        <v>6817</v>
      </c>
    </row>
    <row r="1816" spans="1:49">
      <c r="A1816" s="1">
        <f>HYPERLINK("https://lsnyc.legalserver.org/matter/dynamic-profile/view/1905169","19-1905169")</f>
        <v>0</v>
      </c>
      <c r="B1816" t="s">
        <v>198</v>
      </c>
      <c r="C1816" t="s">
        <v>1436</v>
      </c>
      <c r="D1816" t="s">
        <v>2822</v>
      </c>
      <c r="E1816" t="s">
        <v>4703</v>
      </c>
      <c r="F1816">
        <v>529</v>
      </c>
      <c r="G1816" t="s">
        <v>5635</v>
      </c>
      <c r="H1816">
        <v>10458</v>
      </c>
      <c r="I1816" t="s">
        <v>5695</v>
      </c>
      <c r="J1816" t="s">
        <v>5696</v>
      </c>
      <c r="K1816" t="s">
        <v>6689</v>
      </c>
      <c r="L1816" t="s">
        <v>6714</v>
      </c>
      <c r="O1816" t="s">
        <v>6747</v>
      </c>
      <c r="P1816" t="s">
        <v>5697</v>
      </c>
      <c r="R1816" t="s">
        <v>6793</v>
      </c>
      <c r="U1816">
        <v>2057</v>
      </c>
      <c r="V1816" t="s">
        <v>6833</v>
      </c>
      <c r="Y1816" t="s">
        <v>8540</v>
      </c>
      <c r="AA1816" t="s">
        <v>10586</v>
      </c>
      <c r="AB1816">
        <v>214</v>
      </c>
      <c r="AC1816" t="s">
        <v>10941</v>
      </c>
      <c r="AD1816" t="s">
        <v>6841</v>
      </c>
      <c r="AE1816">
        <v>22</v>
      </c>
      <c r="AF1816">
        <v>2</v>
      </c>
      <c r="AG1816">
        <v>6</v>
      </c>
      <c r="AH1816">
        <v>35.92</v>
      </c>
      <c r="AK1816" t="s">
        <v>10966</v>
      </c>
      <c r="AL1816">
        <v>15600</v>
      </c>
      <c r="AR1816">
        <v>5</v>
      </c>
      <c r="AS1816" t="s">
        <v>6828</v>
      </c>
      <c r="AT1816" t="s">
        <v>288</v>
      </c>
      <c r="AU1816" t="s">
        <v>11228</v>
      </c>
      <c r="AV1816" t="s">
        <v>11231</v>
      </c>
      <c r="AW1816" t="s">
        <v>6808</v>
      </c>
    </row>
    <row r="1817" spans="1:49">
      <c r="A1817" s="1">
        <f>HYPERLINK("https://lsnyc.legalserver.org/matter/dynamic-profile/view/1903398","19-1903398")</f>
        <v>0</v>
      </c>
      <c r="B1817" t="s">
        <v>269</v>
      </c>
      <c r="C1817" t="s">
        <v>1437</v>
      </c>
      <c r="D1817" t="s">
        <v>2823</v>
      </c>
      <c r="E1817" t="s">
        <v>4704</v>
      </c>
      <c r="F1817" t="s">
        <v>5583</v>
      </c>
      <c r="G1817" t="s">
        <v>5636</v>
      </c>
      <c r="H1817">
        <v>10310</v>
      </c>
      <c r="I1817" t="s">
        <v>5695</v>
      </c>
      <c r="J1817" t="s">
        <v>5696</v>
      </c>
      <c r="K1817" t="s">
        <v>6690</v>
      </c>
      <c r="L1817" t="s">
        <v>6714</v>
      </c>
      <c r="O1817" t="s">
        <v>6762</v>
      </c>
      <c r="P1817" t="s">
        <v>5697</v>
      </c>
      <c r="R1817" t="s">
        <v>6793</v>
      </c>
      <c r="S1817" t="s">
        <v>6804</v>
      </c>
      <c r="U1817">
        <v>1557</v>
      </c>
      <c r="V1817" t="s">
        <v>6834</v>
      </c>
      <c r="W1817" t="s">
        <v>6838</v>
      </c>
      <c r="Y1817" t="s">
        <v>8541</v>
      </c>
      <c r="Z1817" t="s">
        <v>9086</v>
      </c>
      <c r="AB1817">
        <v>5</v>
      </c>
      <c r="AC1817" t="s">
        <v>10930</v>
      </c>
      <c r="AE1817">
        <v>8</v>
      </c>
      <c r="AF1817">
        <v>1</v>
      </c>
      <c r="AG1817">
        <v>3</v>
      </c>
      <c r="AH1817">
        <v>24.8</v>
      </c>
      <c r="AK1817" t="s">
        <v>10967</v>
      </c>
      <c r="AL1817">
        <v>6385.2</v>
      </c>
      <c r="AR1817">
        <v>7.05</v>
      </c>
      <c r="AS1817" t="s">
        <v>6826</v>
      </c>
      <c r="AT1817" t="s">
        <v>11223</v>
      </c>
      <c r="AU1817" t="s">
        <v>11228</v>
      </c>
      <c r="AV1817" t="s">
        <v>11231</v>
      </c>
      <c r="AW1817" t="s">
        <v>11144</v>
      </c>
    </row>
    <row r="1818" spans="1:49">
      <c r="A1818" s="1">
        <f>HYPERLINK("https://lsnyc.legalserver.org/matter/dynamic-profile/view/1903680","19-1903680")</f>
        <v>0</v>
      </c>
      <c r="B1818" t="s">
        <v>282</v>
      </c>
      <c r="C1818" t="s">
        <v>505</v>
      </c>
      <c r="D1818" t="s">
        <v>2118</v>
      </c>
      <c r="E1818" t="s">
        <v>4705</v>
      </c>
      <c r="F1818" t="s">
        <v>5358</v>
      </c>
      <c r="G1818" t="s">
        <v>5637</v>
      </c>
      <c r="H1818">
        <v>11208</v>
      </c>
      <c r="I1818" t="s">
        <v>5697</v>
      </c>
      <c r="J1818" t="s">
        <v>5696</v>
      </c>
      <c r="K1818" t="s">
        <v>6691</v>
      </c>
      <c r="L1818" t="s">
        <v>6714</v>
      </c>
      <c r="O1818" t="s">
        <v>6745</v>
      </c>
      <c r="P1818" t="s">
        <v>5697</v>
      </c>
      <c r="R1818" t="s">
        <v>6793</v>
      </c>
      <c r="S1818" t="s">
        <v>6802</v>
      </c>
      <c r="U1818">
        <v>1700</v>
      </c>
      <c r="V1818" t="s">
        <v>6835</v>
      </c>
      <c r="W1818" t="s">
        <v>6840</v>
      </c>
      <c r="Y1818" t="s">
        <v>8542</v>
      </c>
      <c r="Z1818" t="s">
        <v>5741</v>
      </c>
      <c r="AB1818">
        <v>20</v>
      </c>
      <c r="AC1818" t="s">
        <v>10929</v>
      </c>
      <c r="AD1818" t="s">
        <v>5741</v>
      </c>
      <c r="AE1818">
        <v>2</v>
      </c>
      <c r="AF1818">
        <v>2</v>
      </c>
      <c r="AG1818">
        <v>1</v>
      </c>
      <c r="AH1818">
        <v>266.43</v>
      </c>
      <c r="AK1818" t="s">
        <v>10966</v>
      </c>
      <c r="AL1818">
        <v>56830</v>
      </c>
      <c r="AR1818">
        <v>1</v>
      </c>
      <c r="AS1818" t="s">
        <v>6818</v>
      </c>
      <c r="AT1818" t="s">
        <v>69</v>
      </c>
      <c r="AU1818" t="s">
        <v>5741</v>
      </c>
      <c r="AV1818" t="s">
        <v>11231</v>
      </c>
      <c r="AW1818" t="s">
        <v>11144</v>
      </c>
    </row>
    <row r="1819" spans="1:49">
      <c r="A1819" s="1">
        <f>HYPERLINK("https://lsnyc.legalserver.org/matter/dynamic-profile/view/1902138","19-1902138")</f>
        <v>0</v>
      </c>
      <c r="B1819" t="s">
        <v>189</v>
      </c>
      <c r="C1819" t="s">
        <v>491</v>
      </c>
      <c r="D1819" t="s">
        <v>2077</v>
      </c>
      <c r="E1819" t="s">
        <v>4706</v>
      </c>
      <c r="F1819" t="s">
        <v>5316</v>
      </c>
      <c r="G1819" t="s">
        <v>5644</v>
      </c>
      <c r="H1819">
        <v>11433</v>
      </c>
      <c r="I1819" t="s">
        <v>5695</v>
      </c>
      <c r="J1819" t="s">
        <v>5696</v>
      </c>
      <c r="K1819" t="s">
        <v>6692</v>
      </c>
      <c r="L1819" t="s">
        <v>6714</v>
      </c>
      <c r="O1819" t="s">
        <v>6752</v>
      </c>
      <c r="R1819" t="s">
        <v>6794</v>
      </c>
      <c r="U1819">
        <v>491</v>
      </c>
      <c r="V1819" t="s">
        <v>6837</v>
      </c>
      <c r="Y1819" t="s">
        <v>8543</v>
      </c>
      <c r="Z1819" t="s">
        <v>5741</v>
      </c>
      <c r="AB1819">
        <v>0</v>
      </c>
      <c r="AC1819" t="s">
        <v>10931</v>
      </c>
      <c r="AD1819" t="s">
        <v>5741</v>
      </c>
      <c r="AE1819">
        <v>0</v>
      </c>
      <c r="AF1819">
        <v>2</v>
      </c>
      <c r="AG1819">
        <v>2</v>
      </c>
      <c r="AH1819">
        <v>116.5</v>
      </c>
      <c r="AK1819" t="s">
        <v>10966</v>
      </c>
      <c r="AL1819">
        <v>30000</v>
      </c>
      <c r="AR1819">
        <v>7.7</v>
      </c>
      <c r="AS1819" t="s">
        <v>6818</v>
      </c>
      <c r="AT1819" t="s">
        <v>11184</v>
      </c>
      <c r="AU1819" t="s">
        <v>11228</v>
      </c>
      <c r="AV1819" t="s">
        <v>11231</v>
      </c>
      <c r="AW1819" t="s">
        <v>11163</v>
      </c>
    </row>
    <row r="1820" spans="1:49">
      <c r="A1820" s="1">
        <f>HYPERLINK("https://lsnyc.legalserver.org/matter/dynamic-profile/view/1905948","19-1905948")</f>
        <v>0</v>
      </c>
      <c r="B1820" t="s">
        <v>84</v>
      </c>
      <c r="C1820" t="s">
        <v>1438</v>
      </c>
      <c r="D1820" t="s">
        <v>1109</v>
      </c>
      <c r="E1820" t="s">
        <v>4539</v>
      </c>
      <c r="F1820" t="s">
        <v>5584</v>
      </c>
      <c r="G1820" t="s">
        <v>5637</v>
      </c>
      <c r="H1820">
        <v>11213</v>
      </c>
      <c r="I1820" t="s">
        <v>5695</v>
      </c>
      <c r="J1820" t="s">
        <v>5696</v>
      </c>
      <c r="K1820" t="s">
        <v>5741</v>
      </c>
      <c r="L1820" t="s">
        <v>6714</v>
      </c>
      <c r="O1820" t="s">
        <v>6745</v>
      </c>
      <c r="P1820" t="s">
        <v>5697</v>
      </c>
      <c r="R1820" t="s">
        <v>6793</v>
      </c>
      <c r="S1820" t="s">
        <v>6801</v>
      </c>
      <c r="T1820" t="s">
        <v>6823</v>
      </c>
      <c r="U1820">
        <v>1025.26</v>
      </c>
      <c r="V1820" t="s">
        <v>6835</v>
      </c>
      <c r="W1820" t="s">
        <v>6842</v>
      </c>
      <c r="Y1820" t="s">
        <v>7324</v>
      </c>
      <c r="Z1820" t="s">
        <v>5773</v>
      </c>
      <c r="AB1820">
        <v>0</v>
      </c>
      <c r="AC1820" t="s">
        <v>10929</v>
      </c>
      <c r="AD1820" t="s">
        <v>5741</v>
      </c>
      <c r="AE1820">
        <v>0</v>
      </c>
      <c r="AF1820">
        <v>1</v>
      </c>
      <c r="AG1820">
        <v>0</v>
      </c>
      <c r="AH1820">
        <v>286.63</v>
      </c>
      <c r="AK1820" t="s">
        <v>10966</v>
      </c>
      <c r="AL1820">
        <v>35800</v>
      </c>
      <c r="AR1820">
        <v>0</v>
      </c>
      <c r="AT1820" t="s">
        <v>69</v>
      </c>
      <c r="AU1820" t="s">
        <v>11228</v>
      </c>
      <c r="AV1820" t="s">
        <v>11231</v>
      </c>
      <c r="AW1820" t="s">
        <v>6826</v>
      </c>
    </row>
    <row r="1821" spans="1:49">
      <c r="A1821" s="1">
        <f>HYPERLINK("https://lsnyc.legalserver.org/matter/dynamic-profile/view/1906351","19-1906351")</f>
        <v>0</v>
      </c>
      <c r="B1821" t="s">
        <v>288</v>
      </c>
      <c r="C1821" t="s">
        <v>596</v>
      </c>
      <c r="D1821" t="s">
        <v>1826</v>
      </c>
      <c r="E1821" t="s">
        <v>4707</v>
      </c>
      <c r="F1821" t="s">
        <v>5585</v>
      </c>
      <c r="G1821" t="s">
        <v>5635</v>
      </c>
      <c r="H1821">
        <v>10468</v>
      </c>
      <c r="I1821" t="s">
        <v>5697</v>
      </c>
      <c r="J1821" t="s">
        <v>5696</v>
      </c>
      <c r="K1821" t="s">
        <v>6693</v>
      </c>
      <c r="L1821" t="s">
        <v>6714</v>
      </c>
      <c r="O1821" t="s">
        <v>6763</v>
      </c>
      <c r="P1821" t="s">
        <v>5697</v>
      </c>
      <c r="R1821" t="s">
        <v>6793</v>
      </c>
      <c r="U1821">
        <v>1300</v>
      </c>
      <c r="V1821" t="s">
        <v>6833</v>
      </c>
      <c r="Y1821" t="s">
        <v>8544</v>
      </c>
      <c r="AB1821">
        <v>72</v>
      </c>
      <c r="AE1821">
        <v>3</v>
      </c>
      <c r="AF1821">
        <v>1</v>
      </c>
      <c r="AG1821">
        <v>0</v>
      </c>
      <c r="AH1821">
        <v>480.38</v>
      </c>
      <c r="AK1821" t="s">
        <v>10966</v>
      </c>
      <c r="AL1821">
        <v>60000</v>
      </c>
      <c r="AR1821">
        <v>0</v>
      </c>
      <c r="AT1821" t="s">
        <v>288</v>
      </c>
      <c r="AV1821" t="s">
        <v>11231</v>
      </c>
      <c r="AW1821" t="s">
        <v>6827</v>
      </c>
    </row>
    <row r="1822" spans="1:49">
      <c r="A1822" s="1">
        <f>HYPERLINK("https://lsnyc.legalserver.org/matter/dynamic-profile/view/1899952","19-1899952")</f>
        <v>0</v>
      </c>
      <c r="B1822" t="s">
        <v>190</v>
      </c>
      <c r="C1822" t="s">
        <v>312</v>
      </c>
      <c r="D1822" t="s">
        <v>804</v>
      </c>
      <c r="E1822" t="s">
        <v>4399</v>
      </c>
      <c r="F1822" t="s">
        <v>5484</v>
      </c>
      <c r="G1822" t="s">
        <v>5635</v>
      </c>
      <c r="H1822">
        <v>10457</v>
      </c>
      <c r="I1822" t="s">
        <v>5697</v>
      </c>
      <c r="J1822" t="s">
        <v>5696</v>
      </c>
      <c r="K1822" t="s">
        <v>6694</v>
      </c>
      <c r="L1822" t="s">
        <v>6714</v>
      </c>
      <c r="O1822" t="s">
        <v>6763</v>
      </c>
      <c r="R1822" t="s">
        <v>6793</v>
      </c>
      <c r="U1822">
        <v>1151.46</v>
      </c>
      <c r="V1822" t="s">
        <v>6833</v>
      </c>
      <c r="Y1822" t="s">
        <v>8545</v>
      </c>
      <c r="AB1822">
        <v>0</v>
      </c>
      <c r="AE1822">
        <v>6</v>
      </c>
      <c r="AF1822">
        <v>1</v>
      </c>
      <c r="AG1822">
        <v>0</v>
      </c>
      <c r="AH1822">
        <v>0</v>
      </c>
      <c r="AK1822" t="s">
        <v>10966</v>
      </c>
      <c r="AL1822">
        <v>0</v>
      </c>
      <c r="AM1822" t="s">
        <v>11079</v>
      </c>
      <c r="AR1822">
        <v>3.4</v>
      </c>
      <c r="AS1822" t="s">
        <v>6822</v>
      </c>
      <c r="AT1822" t="s">
        <v>288</v>
      </c>
      <c r="AU1822" t="s">
        <v>11228</v>
      </c>
      <c r="AV1822" t="s">
        <v>11231</v>
      </c>
      <c r="AW1822" t="s">
        <v>10957</v>
      </c>
    </row>
    <row r="1823" spans="1:49">
      <c r="A1823" s="1">
        <f>HYPERLINK("https://lsnyc.legalserver.org/matter/dynamic-profile/view/1905475","19-1905475")</f>
        <v>0</v>
      </c>
      <c r="B1823" t="s">
        <v>222</v>
      </c>
      <c r="C1823" t="s">
        <v>453</v>
      </c>
      <c r="D1823" t="s">
        <v>2824</v>
      </c>
      <c r="E1823" t="s">
        <v>4708</v>
      </c>
      <c r="F1823" t="s">
        <v>5586</v>
      </c>
      <c r="G1823" t="s">
        <v>5635</v>
      </c>
      <c r="H1823">
        <v>10460</v>
      </c>
      <c r="I1823" t="s">
        <v>5696</v>
      </c>
      <c r="J1823" t="s">
        <v>5696</v>
      </c>
      <c r="L1823" t="s">
        <v>6714</v>
      </c>
      <c r="O1823" t="s">
        <v>6745</v>
      </c>
      <c r="R1823" t="s">
        <v>6793</v>
      </c>
      <c r="U1823">
        <v>1900</v>
      </c>
      <c r="V1823" t="s">
        <v>6833</v>
      </c>
      <c r="W1823" t="s">
        <v>6841</v>
      </c>
      <c r="Y1823" t="s">
        <v>8546</v>
      </c>
      <c r="AB1823">
        <v>3</v>
      </c>
      <c r="AC1823" t="s">
        <v>8953</v>
      </c>
      <c r="AD1823" t="s">
        <v>5741</v>
      </c>
      <c r="AE1823">
        <v>9</v>
      </c>
      <c r="AF1823">
        <v>1</v>
      </c>
      <c r="AG1823">
        <v>0</v>
      </c>
      <c r="AH1823">
        <v>184.47</v>
      </c>
      <c r="AK1823" t="s">
        <v>10966</v>
      </c>
      <c r="AL1823">
        <v>23040</v>
      </c>
      <c r="AR1823">
        <v>0.5</v>
      </c>
      <c r="AS1823" t="s">
        <v>6822</v>
      </c>
      <c r="AT1823" t="s">
        <v>11180</v>
      </c>
      <c r="AV1823" t="s">
        <v>11231</v>
      </c>
      <c r="AW1823" t="s">
        <v>6822</v>
      </c>
    </row>
    <row r="1824" spans="1:49">
      <c r="A1824" s="1">
        <f>HYPERLINK("https://lsnyc.legalserver.org/matter/dynamic-profile/view/1902058","19-1902058")</f>
        <v>0</v>
      </c>
      <c r="B1824" t="s">
        <v>105</v>
      </c>
      <c r="C1824" t="s">
        <v>435</v>
      </c>
      <c r="D1824" t="s">
        <v>2825</v>
      </c>
      <c r="E1824" t="s">
        <v>4709</v>
      </c>
      <c r="F1824" t="s">
        <v>5587</v>
      </c>
      <c r="G1824" t="s">
        <v>5635</v>
      </c>
      <c r="H1824">
        <v>10468</v>
      </c>
      <c r="I1824" t="s">
        <v>5695</v>
      </c>
      <c r="J1824" t="s">
        <v>5696</v>
      </c>
      <c r="K1824" t="s">
        <v>6695</v>
      </c>
      <c r="L1824" t="s">
        <v>6714</v>
      </c>
      <c r="O1824" t="s">
        <v>6763</v>
      </c>
      <c r="P1824" t="s">
        <v>5697</v>
      </c>
      <c r="R1824" t="s">
        <v>6793</v>
      </c>
      <c r="U1824">
        <v>1518</v>
      </c>
      <c r="V1824" t="s">
        <v>6833</v>
      </c>
      <c r="Y1824" t="s">
        <v>8547</v>
      </c>
      <c r="AB1824">
        <v>0</v>
      </c>
      <c r="AD1824" t="s">
        <v>10944</v>
      </c>
      <c r="AE1824">
        <v>14</v>
      </c>
      <c r="AF1824">
        <v>1</v>
      </c>
      <c r="AG1824">
        <v>0</v>
      </c>
      <c r="AH1824">
        <v>73.02</v>
      </c>
      <c r="AK1824" t="s">
        <v>10966</v>
      </c>
      <c r="AL1824">
        <v>9120</v>
      </c>
      <c r="AR1824">
        <v>1.5</v>
      </c>
      <c r="AS1824" t="s">
        <v>6817</v>
      </c>
      <c r="AT1824" t="s">
        <v>288</v>
      </c>
      <c r="AU1824" t="s">
        <v>11228</v>
      </c>
      <c r="AV1824" t="s">
        <v>11231</v>
      </c>
      <c r="AW1824" t="s">
        <v>11161</v>
      </c>
    </row>
    <row r="1825" spans="1:49">
      <c r="A1825" s="1">
        <f>HYPERLINK("https://lsnyc.legalserver.org/matter/dynamic-profile/view/1905410","19-1905410")</f>
        <v>0</v>
      </c>
      <c r="B1825" t="s">
        <v>222</v>
      </c>
      <c r="C1825" t="s">
        <v>1439</v>
      </c>
      <c r="D1825" t="s">
        <v>1251</v>
      </c>
      <c r="E1825" t="s">
        <v>4710</v>
      </c>
      <c r="F1825" t="s">
        <v>5588</v>
      </c>
      <c r="G1825" t="s">
        <v>5635</v>
      </c>
      <c r="H1825">
        <v>10453</v>
      </c>
      <c r="I1825" t="s">
        <v>5696</v>
      </c>
      <c r="J1825" t="s">
        <v>5696</v>
      </c>
      <c r="K1825" t="s">
        <v>6696</v>
      </c>
      <c r="L1825" t="s">
        <v>6714</v>
      </c>
      <c r="O1825" t="s">
        <v>6748</v>
      </c>
      <c r="R1825" t="s">
        <v>6794</v>
      </c>
      <c r="U1825">
        <v>851</v>
      </c>
      <c r="V1825" t="s">
        <v>6833</v>
      </c>
      <c r="W1825" t="s">
        <v>6841</v>
      </c>
      <c r="Y1825" t="s">
        <v>8548</v>
      </c>
      <c r="AB1825">
        <v>430</v>
      </c>
      <c r="AC1825" t="s">
        <v>10930</v>
      </c>
      <c r="AD1825" t="s">
        <v>10944</v>
      </c>
      <c r="AE1825">
        <v>30</v>
      </c>
      <c r="AF1825">
        <v>1</v>
      </c>
      <c r="AG1825">
        <v>0</v>
      </c>
      <c r="AH1825">
        <v>187.35</v>
      </c>
      <c r="AK1825" t="s">
        <v>10966</v>
      </c>
      <c r="AL1825">
        <v>23400</v>
      </c>
      <c r="AR1825">
        <v>0.5</v>
      </c>
      <c r="AS1825" t="s">
        <v>6822</v>
      </c>
      <c r="AT1825" t="s">
        <v>11180</v>
      </c>
      <c r="AV1825" t="s">
        <v>11231</v>
      </c>
      <c r="AW1825" t="s">
        <v>6822</v>
      </c>
    </row>
    <row r="1826" spans="1:49">
      <c r="A1826" s="1">
        <f>HYPERLINK("https://lsnyc.legalserver.org/matter/dynamic-profile/view/1899046","19-1899046")</f>
        <v>0</v>
      </c>
      <c r="B1826" t="s">
        <v>203</v>
      </c>
      <c r="C1826" t="s">
        <v>1440</v>
      </c>
      <c r="D1826" t="s">
        <v>1685</v>
      </c>
      <c r="E1826" t="s">
        <v>4711</v>
      </c>
      <c r="F1826" t="s">
        <v>5589</v>
      </c>
      <c r="G1826" t="s">
        <v>5635</v>
      </c>
      <c r="H1826">
        <v>10457</v>
      </c>
      <c r="I1826" t="s">
        <v>5695</v>
      </c>
      <c r="J1826" t="s">
        <v>5696</v>
      </c>
      <c r="K1826" t="s">
        <v>6697</v>
      </c>
      <c r="L1826" t="s">
        <v>6714</v>
      </c>
      <c r="O1826" t="s">
        <v>6763</v>
      </c>
      <c r="P1826" t="s">
        <v>5697</v>
      </c>
      <c r="R1826" t="s">
        <v>6793</v>
      </c>
      <c r="U1826">
        <v>0</v>
      </c>
      <c r="V1826" t="s">
        <v>6833</v>
      </c>
      <c r="W1826" t="s">
        <v>6840</v>
      </c>
      <c r="Y1826" t="s">
        <v>8549</v>
      </c>
      <c r="AB1826">
        <v>0</v>
      </c>
      <c r="AD1826" t="s">
        <v>10944</v>
      </c>
      <c r="AE1826">
        <v>0</v>
      </c>
      <c r="AF1826">
        <v>1</v>
      </c>
      <c r="AG1826">
        <v>1</v>
      </c>
      <c r="AH1826">
        <v>88.7</v>
      </c>
      <c r="AK1826" t="s">
        <v>10966</v>
      </c>
      <c r="AL1826">
        <v>15000</v>
      </c>
      <c r="AR1826">
        <v>0.75</v>
      </c>
      <c r="AS1826" t="s">
        <v>11131</v>
      </c>
      <c r="AT1826" t="s">
        <v>11179</v>
      </c>
      <c r="AU1826" t="s">
        <v>11228</v>
      </c>
      <c r="AV1826" t="s">
        <v>11231</v>
      </c>
      <c r="AW1826" t="s">
        <v>11134</v>
      </c>
    </row>
    <row r="1827" spans="1:49">
      <c r="A1827" s="1">
        <f>HYPERLINK("https://lsnyc.legalserver.org/matter/dynamic-profile/view/1905320","19-1905320")</f>
        <v>0</v>
      </c>
      <c r="B1827" t="s">
        <v>203</v>
      </c>
      <c r="C1827" t="s">
        <v>500</v>
      </c>
      <c r="D1827" t="s">
        <v>2111</v>
      </c>
      <c r="E1827" t="s">
        <v>4712</v>
      </c>
      <c r="F1827" t="s">
        <v>5095</v>
      </c>
      <c r="G1827" t="s">
        <v>5635</v>
      </c>
      <c r="H1827">
        <v>10467</v>
      </c>
      <c r="I1827" t="s">
        <v>5695</v>
      </c>
      <c r="J1827" t="s">
        <v>5696</v>
      </c>
      <c r="K1827" t="s">
        <v>6698</v>
      </c>
      <c r="L1827" t="s">
        <v>6714</v>
      </c>
      <c r="O1827" t="s">
        <v>6763</v>
      </c>
      <c r="P1827" t="s">
        <v>5697</v>
      </c>
      <c r="R1827" t="s">
        <v>6793</v>
      </c>
      <c r="U1827">
        <v>1201.06</v>
      </c>
      <c r="V1827" t="s">
        <v>6833</v>
      </c>
      <c r="Y1827" t="s">
        <v>8550</v>
      </c>
      <c r="AB1827">
        <v>54</v>
      </c>
      <c r="AE1827">
        <v>0</v>
      </c>
      <c r="AF1827">
        <v>1</v>
      </c>
      <c r="AG1827">
        <v>0</v>
      </c>
      <c r="AH1827">
        <v>76.86</v>
      </c>
      <c r="AK1827" t="s">
        <v>10966</v>
      </c>
      <c r="AL1827">
        <v>9600</v>
      </c>
      <c r="AR1827">
        <v>0</v>
      </c>
      <c r="AT1827" t="s">
        <v>288</v>
      </c>
      <c r="AU1827" t="s">
        <v>11228</v>
      </c>
      <c r="AV1827" t="s">
        <v>11231</v>
      </c>
      <c r="AW1827" t="s">
        <v>6808</v>
      </c>
    </row>
    <row r="1828" spans="1:49">
      <c r="A1828" s="1">
        <f>HYPERLINK("https://lsnyc.legalserver.org/matter/dynamic-profile/view/1902314","19-1902314")</f>
        <v>0</v>
      </c>
      <c r="B1828" t="s">
        <v>185</v>
      </c>
      <c r="C1828" t="s">
        <v>1441</v>
      </c>
      <c r="D1828" t="s">
        <v>2826</v>
      </c>
      <c r="E1828" t="s">
        <v>4713</v>
      </c>
      <c r="F1828" t="s">
        <v>5187</v>
      </c>
      <c r="G1828" t="s">
        <v>5635</v>
      </c>
      <c r="H1828">
        <v>10457</v>
      </c>
      <c r="I1828" t="s">
        <v>5695</v>
      </c>
      <c r="J1828" t="s">
        <v>5696</v>
      </c>
      <c r="K1828" t="s">
        <v>6699</v>
      </c>
      <c r="L1828" t="s">
        <v>6714</v>
      </c>
      <c r="O1828" t="s">
        <v>6763</v>
      </c>
      <c r="P1828" t="s">
        <v>5697</v>
      </c>
      <c r="R1828" t="s">
        <v>6793</v>
      </c>
      <c r="U1828">
        <v>1683</v>
      </c>
      <c r="V1828" t="s">
        <v>6833</v>
      </c>
      <c r="Y1828" t="s">
        <v>8551</v>
      </c>
      <c r="AB1828">
        <v>0</v>
      </c>
      <c r="AE1828">
        <v>0</v>
      </c>
      <c r="AF1828">
        <v>3</v>
      </c>
      <c r="AG1828">
        <v>0</v>
      </c>
      <c r="AH1828">
        <v>250.07</v>
      </c>
      <c r="AK1828" t="s">
        <v>10966</v>
      </c>
      <c r="AL1828">
        <v>53339</v>
      </c>
      <c r="AR1828">
        <v>9</v>
      </c>
      <c r="AS1828" t="s">
        <v>6818</v>
      </c>
      <c r="AT1828" t="s">
        <v>288</v>
      </c>
      <c r="AU1828" t="s">
        <v>11228</v>
      </c>
      <c r="AV1828" t="s">
        <v>11231</v>
      </c>
      <c r="AW1828" t="s">
        <v>11140</v>
      </c>
    </row>
    <row r="1829" spans="1:49">
      <c r="A1829" s="1">
        <f>HYPERLINK("https://lsnyc.legalserver.org/matter/dynamic-profile/view/1901971","19-1901971")</f>
        <v>0</v>
      </c>
      <c r="B1829" t="s">
        <v>202</v>
      </c>
      <c r="C1829" t="s">
        <v>623</v>
      </c>
      <c r="D1829" t="s">
        <v>2827</v>
      </c>
      <c r="E1829" t="s">
        <v>4714</v>
      </c>
      <c r="F1829" t="s">
        <v>5093</v>
      </c>
      <c r="G1829" t="s">
        <v>5635</v>
      </c>
      <c r="H1829">
        <v>10467</v>
      </c>
      <c r="I1829" t="s">
        <v>5696</v>
      </c>
      <c r="J1829" t="s">
        <v>5696</v>
      </c>
      <c r="K1829" t="s">
        <v>6700</v>
      </c>
      <c r="L1829" t="s">
        <v>6714</v>
      </c>
      <c r="O1829" t="s">
        <v>6763</v>
      </c>
      <c r="P1829" t="s">
        <v>5697</v>
      </c>
      <c r="R1829" t="s">
        <v>6793</v>
      </c>
      <c r="U1829">
        <v>1285</v>
      </c>
      <c r="V1829" t="s">
        <v>6833</v>
      </c>
      <c r="W1829" t="s">
        <v>6839</v>
      </c>
      <c r="Y1829" t="s">
        <v>8552</v>
      </c>
      <c r="AB1829">
        <v>0</v>
      </c>
      <c r="AD1829" t="s">
        <v>5741</v>
      </c>
      <c r="AE1829">
        <v>3</v>
      </c>
      <c r="AF1829">
        <v>1</v>
      </c>
      <c r="AG1829">
        <v>4</v>
      </c>
      <c r="AH1829">
        <v>23.86</v>
      </c>
      <c r="AK1829" t="s">
        <v>10967</v>
      </c>
      <c r="AL1829">
        <v>7200</v>
      </c>
      <c r="AR1829">
        <v>5.5</v>
      </c>
      <c r="AS1829" t="s">
        <v>6807</v>
      </c>
      <c r="AT1829" t="s">
        <v>11196</v>
      </c>
      <c r="AV1829" t="s">
        <v>11231</v>
      </c>
      <c r="AW1829" t="s">
        <v>11161</v>
      </c>
    </row>
    <row r="1830" spans="1:49">
      <c r="A1830" s="1">
        <f>HYPERLINK("https://lsnyc.legalserver.org/matter/dynamic-profile/view/1904108","19-1904108")</f>
        <v>0</v>
      </c>
      <c r="B1830" t="s">
        <v>198</v>
      </c>
      <c r="C1830" t="s">
        <v>1442</v>
      </c>
      <c r="D1830" t="s">
        <v>1660</v>
      </c>
      <c r="E1830" t="s">
        <v>4715</v>
      </c>
      <c r="F1830" t="s">
        <v>5252</v>
      </c>
      <c r="G1830" t="s">
        <v>5635</v>
      </c>
      <c r="H1830">
        <v>10468</v>
      </c>
      <c r="I1830" t="s">
        <v>5695</v>
      </c>
      <c r="J1830" t="s">
        <v>5696</v>
      </c>
      <c r="K1830" t="s">
        <v>6701</v>
      </c>
      <c r="L1830" t="s">
        <v>6714</v>
      </c>
      <c r="O1830" t="s">
        <v>6763</v>
      </c>
      <c r="P1830" t="s">
        <v>5697</v>
      </c>
      <c r="R1830" t="s">
        <v>6793</v>
      </c>
      <c r="U1830">
        <v>1807</v>
      </c>
      <c r="V1830" t="s">
        <v>6833</v>
      </c>
      <c r="Y1830" t="s">
        <v>8553</v>
      </c>
      <c r="AB1830">
        <v>0</v>
      </c>
      <c r="AE1830">
        <v>0</v>
      </c>
      <c r="AF1830">
        <v>2</v>
      </c>
      <c r="AG1830">
        <v>3</v>
      </c>
      <c r="AH1830">
        <v>110.31</v>
      </c>
      <c r="AK1830" t="s">
        <v>10967</v>
      </c>
      <c r="AL1830">
        <v>33280</v>
      </c>
      <c r="AR1830">
        <v>1</v>
      </c>
      <c r="AS1830" t="s">
        <v>6816</v>
      </c>
      <c r="AT1830" t="s">
        <v>288</v>
      </c>
      <c r="AU1830" t="s">
        <v>11228</v>
      </c>
      <c r="AV1830" t="s">
        <v>11231</v>
      </c>
      <c r="AW1830" t="s">
        <v>6817</v>
      </c>
    </row>
    <row r="1831" spans="1:49">
      <c r="A1831" s="1">
        <f>HYPERLINK("https://lsnyc.legalserver.org/matter/dynamic-profile/view/1904148","19-1904148")</f>
        <v>0</v>
      </c>
      <c r="B1831" t="s">
        <v>51</v>
      </c>
      <c r="C1831" t="s">
        <v>1443</v>
      </c>
      <c r="D1831" t="s">
        <v>1862</v>
      </c>
      <c r="E1831" t="s">
        <v>4716</v>
      </c>
      <c r="F1831" t="s">
        <v>5298</v>
      </c>
      <c r="G1831" t="s">
        <v>5636</v>
      </c>
      <c r="H1831">
        <v>10310</v>
      </c>
      <c r="I1831" t="s">
        <v>5695</v>
      </c>
      <c r="J1831" t="s">
        <v>5696</v>
      </c>
      <c r="L1831" t="s">
        <v>6715</v>
      </c>
      <c r="O1831" t="s">
        <v>6762</v>
      </c>
      <c r="P1831" t="s">
        <v>5697</v>
      </c>
      <c r="R1831" t="s">
        <v>6794</v>
      </c>
      <c r="U1831">
        <v>224</v>
      </c>
      <c r="V1831" t="s">
        <v>6834</v>
      </c>
      <c r="W1831" t="s">
        <v>6844</v>
      </c>
      <c r="Y1831" t="s">
        <v>8554</v>
      </c>
      <c r="AA1831" t="s">
        <v>10587</v>
      </c>
      <c r="AB1831">
        <v>634</v>
      </c>
      <c r="AC1831" t="s">
        <v>10934</v>
      </c>
      <c r="AD1831" t="s">
        <v>5741</v>
      </c>
      <c r="AE1831">
        <v>2</v>
      </c>
      <c r="AF1831">
        <v>1</v>
      </c>
      <c r="AG1831">
        <v>0</v>
      </c>
      <c r="AH1831">
        <v>74.08</v>
      </c>
      <c r="AK1831" t="s">
        <v>10966</v>
      </c>
      <c r="AL1831">
        <v>9252</v>
      </c>
      <c r="AR1831">
        <v>3</v>
      </c>
      <c r="AS1831" t="s">
        <v>6812</v>
      </c>
      <c r="AT1831" t="s">
        <v>11177</v>
      </c>
      <c r="AU1831" t="s">
        <v>11228</v>
      </c>
      <c r="AV1831" t="s">
        <v>11231</v>
      </c>
      <c r="AW1831" t="s">
        <v>6822</v>
      </c>
    </row>
    <row r="1832" spans="1:49">
      <c r="A1832" s="1">
        <f>HYPERLINK("https://lsnyc.legalserver.org/matter/dynamic-profile/view/1905209","19-1905209")</f>
        <v>0</v>
      </c>
      <c r="B1832" t="s">
        <v>89</v>
      </c>
      <c r="C1832" t="s">
        <v>881</v>
      </c>
      <c r="D1832" t="s">
        <v>2032</v>
      </c>
      <c r="E1832" t="s">
        <v>4286</v>
      </c>
      <c r="F1832" t="s">
        <v>5590</v>
      </c>
      <c r="G1832" t="s">
        <v>5636</v>
      </c>
      <c r="H1832">
        <v>10301</v>
      </c>
      <c r="I1832" t="s">
        <v>5696</v>
      </c>
      <c r="J1832" t="s">
        <v>5696</v>
      </c>
      <c r="L1832" t="s">
        <v>6716</v>
      </c>
      <c r="O1832" t="s">
        <v>6751</v>
      </c>
      <c r="P1832" t="s">
        <v>5697</v>
      </c>
      <c r="R1832" t="s">
        <v>6794</v>
      </c>
      <c r="S1832" t="s">
        <v>6801</v>
      </c>
      <c r="U1832">
        <v>1878</v>
      </c>
      <c r="V1832" t="s">
        <v>6834</v>
      </c>
      <c r="W1832" t="s">
        <v>6842</v>
      </c>
      <c r="Y1832" t="s">
        <v>8555</v>
      </c>
      <c r="AA1832" t="s">
        <v>10588</v>
      </c>
      <c r="AB1832">
        <v>0</v>
      </c>
      <c r="AC1832" t="s">
        <v>10931</v>
      </c>
      <c r="AD1832" t="s">
        <v>10944</v>
      </c>
      <c r="AE1832">
        <v>0</v>
      </c>
      <c r="AF1832">
        <v>1</v>
      </c>
      <c r="AG1832">
        <v>2</v>
      </c>
      <c r="AH1832">
        <v>55.71</v>
      </c>
      <c r="AK1832" t="s">
        <v>10966</v>
      </c>
      <c r="AL1832">
        <v>11884</v>
      </c>
      <c r="AR1832">
        <v>1.5</v>
      </c>
      <c r="AS1832" t="s">
        <v>6820</v>
      </c>
      <c r="AT1832" t="s">
        <v>11177</v>
      </c>
      <c r="AV1832" t="s">
        <v>11231</v>
      </c>
      <c r="AW1832" t="s">
        <v>6820</v>
      </c>
    </row>
    <row r="1833" spans="1:49">
      <c r="A1833" s="1">
        <f>HYPERLINK("https://lsnyc.legalserver.org/matter/dynamic-profile/view/1904335","19-1904335")</f>
        <v>0</v>
      </c>
      <c r="B1833" t="s">
        <v>71</v>
      </c>
      <c r="C1833" t="s">
        <v>540</v>
      </c>
      <c r="D1833" t="s">
        <v>2534</v>
      </c>
      <c r="E1833" t="s">
        <v>4717</v>
      </c>
      <c r="F1833" t="s">
        <v>5297</v>
      </c>
      <c r="G1833" t="s">
        <v>5637</v>
      </c>
      <c r="H1833">
        <v>11221</v>
      </c>
      <c r="I1833" t="s">
        <v>5695</v>
      </c>
      <c r="J1833" t="s">
        <v>5696</v>
      </c>
      <c r="K1833" t="s">
        <v>6702</v>
      </c>
      <c r="L1833" t="s">
        <v>6716</v>
      </c>
      <c r="O1833" t="s">
        <v>6756</v>
      </c>
      <c r="R1833" t="s">
        <v>6794</v>
      </c>
      <c r="U1833">
        <v>229</v>
      </c>
      <c r="V1833" t="s">
        <v>6835</v>
      </c>
      <c r="W1833" t="s">
        <v>6838</v>
      </c>
      <c r="Y1833" t="s">
        <v>8556</v>
      </c>
      <c r="AA1833" t="s">
        <v>10589</v>
      </c>
      <c r="AB1833">
        <v>12</v>
      </c>
      <c r="AE1833">
        <v>36</v>
      </c>
      <c r="AF1833">
        <v>2</v>
      </c>
      <c r="AG1833">
        <v>0</v>
      </c>
      <c r="AH1833">
        <v>33.71</v>
      </c>
      <c r="AK1833" t="s">
        <v>10966</v>
      </c>
      <c r="AL1833">
        <v>5700</v>
      </c>
      <c r="AR1833">
        <v>2.4</v>
      </c>
      <c r="AS1833" t="s">
        <v>6828</v>
      </c>
      <c r="AT1833" t="s">
        <v>11190</v>
      </c>
      <c r="AU1833" t="s">
        <v>11228</v>
      </c>
      <c r="AV1833" t="s">
        <v>11231</v>
      </c>
      <c r="AW1833" t="s">
        <v>6813</v>
      </c>
    </row>
    <row r="1834" spans="1:49">
      <c r="A1834" s="1">
        <f>HYPERLINK("https://lsnyc.legalserver.org/matter/dynamic-profile/view/1904925","19-1904925")</f>
        <v>0</v>
      </c>
      <c r="B1834" t="s">
        <v>244</v>
      </c>
      <c r="C1834" t="s">
        <v>1444</v>
      </c>
      <c r="D1834" t="s">
        <v>2828</v>
      </c>
      <c r="E1834" t="s">
        <v>4718</v>
      </c>
      <c r="F1834" t="s">
        <v>5139</v>
      </c>
      <c r="G1834" t="s">
        <v>5638</v>
      </c>
      <c r="H1834">
        <v>10027</v>
      </c>
      <c r="I1834" t="s">
        <v>5695</v>
      </c>
      <c r="J1834" t="s">
        <v>5696</v>
      </c>
      <c r="L1834" t="s">
        <v>6716</v>
      </c>
      <c r="O1834" t="s">
        <v>6749</v>
      </c>
      <c r="P1834" t="s">
        <v>5697</v>
      </c>
      <c r="R1834" t="s">
        <v>6794</v>
      </c>
      <c r="U1834">
        <v>448</v>
      </c>
      <c r="V1834" t="s">
        <v>6836</v>
      </c>
      <c r="W1834" t="s">
        <v>6839</v>
      </c>
      <c r="Y1834" t="s">
        <v>8557</v>
      </c>
      <c r="AA1834" t="s">
        <v>10590</v>
      </c>
      <c r="AB1834">
        <v>0</v>
      </c>
      <c r="AC1834" t="s">
        <v>10931</v>
      </c>
      <c r="AE1834">
        <v>30</v>
      </c>
      <c r="AF1834">
        <v>1</v>
      </c>
      <c r="AG1834">
        <v>0</v>
      </c>
      <c r="AH1834">
        <v>187.35</v>
      </c>
      <c r="AL1834">
        <v>23400</v>
      </c>
      <c r="AR1834">
        <v>0.2</v>
      </c>
      <c r="AS1834" t="s">
        <v>6823</v>
      </c>
      <c r="AT1834" t="s">
        <v>229</v>
      </c>
      <c r="AU1834" t="s">
        <v>11228</v>
      </c>
      <c r="AV1834" t="s">
        <v>11231</v>
      </c>
      <c r="AW1834" t="s">
        <v>6812</v>
      </c>
    </row>
    <row r="1835" spans="1:49">
      <c r="A1835" s="1">
        <f>HYPERLINK("https://lsnyc.legalserver.org/matter/dynamic-profile/view/1899084","19-1899084")</f>
        <v>0</v>
      </c>
      <c r="B1835" t="s">
        <v>91</v>
      </c>
      <c r="C1835" t="s">
        <v>1445</v>
      </c>
      <c r="D1835" t="s">
        <v>1741</v>
      </c>
      <c r="E1835" t="s">
        <v>4719</v>
      </c>
      <c r="F1835" t="s">
        <v>5591</v>
      </c>
      <c r="G1835" t="s">
        <v>5637</v>
      </c>
      <c r="H1835">
        <v>11212</v>
      </c>
      <c r="I1835" t="s">
        <v>5696</v>
      </c>
      <c r="J1835" t="s">
        <v>5696</v>
      </c>
      <c r="L1835" t="s">
        <v>6717</v>
      </c>
      <c r="O1835" t="s">
        <v>6745</v>
      </c>
      <c r="R1835" t="s">
        <v>6795</v>
      </c>
      <c r="U1835">
        <v>0</v>
      </c>
      <c r="V1835" t="s">
        <v>6835</v>
      </c>
      <c r="W1835" t="s">
        <v>6841</v>
      </c>
      <c r="Y1835" t="s">
        <v>8558</v>
      </c>
      <c r="AA1835" t="s">
        <v>10591</v>
      </c>
      <c r="AB1835">
        <v>0</v>
      </c>
      <c r="AE1835">
        <v>0</v>
      </c>
      <c r="AF1835">
        <v>2</v>
      </c>
      <c r="AG1835">
        <v>2</v>
      </c>
      <c r="AH1835">
        <v>121.17</v>
      </c>
      <c r="AK1835" t="s">
        <v>10966</v>
      </c>
      <c r="AL1835">
        <v>31200</v>
      </c>
      <c r="AR1835">
        <v>0.5</v>
      </c>
      <c r="AS1835" t="s">
        <v>11134</v>
      </c>
      <c r="AT1835" t="s">
        <v>11181</v>
      </c>
      <c r="AV1835" t="s">
        <v>11231</v>
      </c>
      <c r="AW1835" t="s">
        <v>11134</v>
      </c>
    </row>
    <row r="1836" spans="1:49">
      <c r="A1836" s="1">
        <f>HYPERLINK("https://lsnyc.legalserver.org/matter/dynamic-profile/view/1905563","19-1905563")</f>
        <v>0</v>
      </c>
      <c r="B1836" t="s">
        <v>50</v>
      </c>
      <c r="C1836" t="s">
        <v>1446</v>
      </c>
      <c r="D1836" t="s">
        <v>2829</v>
      </c>
      <c r="E1836" t="s">
        <v>4720</v>
      </c>
      <c r="F1836" t="s">
        <v>5105</v>
      </c>
      <c r="G1836" t="s">
        <v>5635</v>
      </c>
      <c r="H1836">
        <v>10459</v>
      </c>
      <c r="I1836" t="s">
        <v>5696</v>
      </c>
      <c r="J1836" t="s">
        <v>5696</v>
      </c>
      <c r="L1836" t="s">
        <v>6731</v>
      </c>
      <c r="O1836" t="s">
        <v>6745</v>
      </c>
      <c r="R1836" t="s">
        <v>6793</v>
      </c>
      <c r="U1836">
        <v>168</v>
      </c>
      <c r="V1836" t="s">
        <v>6833</v>
      </c>
      <c r="Y1836" t="s">
        <v>8559</v>
      </c>
      <c r="AA1836" t="s">
        <v>10592</v>
      </c>
      <c r="AB1836">
        <v>20</v>
      </c>
      <c r="AC1836" t="s">
        <v>10934</v>
      </c>
      <c r="AD1836" t="s">
        <v>10944</v>
      </c>
      <c r="AE1836">
        <v>18</v>
      </c>
      <c r="AF1836">
        <v>1</v>
      </c>
      <c r="AG1836">
        <v>0</v>
      </c>
      <c r="AH1836">
        <v>71.09999999999999</v>
      </c>
      <c r="AK1836" t="s">
        <v>10966</v>
      </c>
      <c r="AL1836">
        <v>8880</v>
      </c>
      <c r="AR1836">
        <v>0.5</v>
      </c>
      <c r="AS1836" t="s">
        <v>6819</v>
      </c>
      <c r="AT1836" t="s">
        <v>11189</v>
      </c>
      <c r="AV1836" t="s">
        <v>11231</v>
      </c>
      <c r="AW1836" t="s">
        <v>6819</v>
      </c>
    </row>
    <row r="1837" spans="1:49">
      <c r="A1837" s="1">
        <f>HYPERLINK("https://lsnyc.legalserver.org/matter/dynamic-profile/view/1902597","19-1902597")</f>
        <v>0</v>
      </c>
      <c r="B1837" t="s">
        <v>205</v>
      </c>
      <c r="C1837" t="s">
        <v>553</v>
      </c>
      <c r="D1837" t="s">
        <v>2830</v>
      </c>
      <c r="E1837" t="s">
        <v>4010</v>
      </c>
      <c r="F1837" t="s">
        <v>5418</v>
      </c>
      <c r="G1837" t="s">
        <v>5637</v>
      </c>
      <c r="H1837">
        <v>11210</v>
      </c>
      <c r="I1837" t="s">
        <v>5697</v>
      </c>
      <c r="J1837" t="s">
        <v>5696</v>
      </c>
      <c r="L1837" t="s">
        <v>6718</v>
      </c>
      <c r="O1837" t="s">
        <v>6748</v>
      </c>
      <c r="R1837" t="s">
        <v>6795</v>
      </c>
      <c r="U1837">
        <v>700</v>
      </c>
      <c r="V1837" t="s">
        <v>6835</v>
      </c>
      <c r="W1837" t="s">
        <v>6842</v>
      </c>
      <c r="Y1837" t="s">
        <v>8560</v>
      </c>
      <c r="AA1837" t="s">
        <v>10593</v>
      </c>
      <c r="AB1837">
        <v>7</v>
      </c>
      <c r="AC1837" t="s">
        <v>8953</v>
      </c>
      <c r="AE1837">
        <v>0</v>
      </c>
      <c r="AF1837">
        <v>1</v>
      </c>
      <c r="AG1837">
        <v>0</v>
      </c>
      <c r="AH1837">
        <v>84.55</v>
      </c>
      <c r="AK1837" t="s">
        <v>10966</v>
      </c>
      <c r="AL1837">
        <v>10560</v>
      </c>
      <c r="AR1837">
        <v>0.1</v>
      </c>
      <c r="AS1837" t="s">
        <v>11137</v>
      </c>
      <c r="AT1837" t="s">
        <v>11198</v>
      </c>
      <c r="AV1837" t="s">
        <v>11231</v>
      </c>
      <c r="AW1837" t="s">
        <v>11116</v>
      </c>
    </row>
    <row r="1838" spans="1:49">
      <c r="A1838" s="1">
        <f>HYPERLINK("https://lsnyc.legalserver.org/matter/dynamic-profile/view/1904696","19-1904696")</f>
        <v>0</v>
      </c>
      <c r="B1838" t="s">
        <v>207</v>
      </c>
      <c r="C1838" t="s">
        <v>350</v>
      </c>
      <c r="D1838" t="s">
        <v>2831</v>
      </c>
      <c r="E1838" t="s">
        <v>4721</v>
      </c>
      <c r="F1838">
        <v>14</v>
      </c>
      <c r="G1838" t="s">
        <v>5635</v>
      </c>
      <c r="H1838">
        <v>10460</v>
      </c>
      <c r="I1838" t="s">
        <v>5696</v>
      </c>
      <c r="J1838" t="s">
        <v>5696</v>
      </c>
      <c r="L1838" t="s">
        <v>6718</v>
      </c>
      <c r="O1838" t="s">
        <v>6748</v>
      </c>
      <c r="R1838" t="s">
        <v>6793</v>
      </c>
      <c r="U1838">
        <v>900</v>
      </c>
      <c r="V1838" t="s">
        <v>6833</v>
      </c>
      <c r="W1838" t="s">
        <v>6853</v>
      </c>
      <c r="Y1838" t="s">
        <v>8561</v>
      </c>
      <c r="AA1838" t="s">
        <v>10594</v>
      </c>
      <c r="AB1838">
        <v>30</v>
      </c>
      <c r="AE1838">
        <v>40</v>
      </c>
      <c r="AF1838">
        <v>1</v>
      </c>
      <c r="AG1838">
        <v>0</v>
      </c>
      <c r="AH1838">
        <v>97.52</v>
      </c>
      <c r="AK1838" t="s">
        <v>10966</v>
      </c>
      <c r="AL1838">
        <v>12180</v>
      </c>
      <c r="AR1838">
        <v>1</v>
      </c>
      <c r="AS1838" t="s">
        <v>6809</v>
      </c>
      <c r="AT1838" t="s">
        <v>11210</v>
      </c>
      <c r="AV1838" t="s">
        <v>11231</v>
      </c>
      <c r="AW1838" t="s">
        <v>6809</v>
      </c>
    </row>
    <row r="1839" spans="1:49">
      <c r="A1839" s="1">
        <f>HYPERLINK("https://lsnyc.legalserver.org/matter/dynamic-profile/view/1900249","19-1900249")</f>
        <v>0</v>
      </c>
      <c r="B1839" t="s">
        <v>219</v>
      </c>
      <c r="C1839" t="s">
        <v>1447</v>
      </c>
      <c r="D1839" t="s">
        <v>2832</v>
      </c>
      <c r="E1839" t="s">
        <v>4722</v>
      </c>
      <c r="F1839">
        <v>2</v>
      </c>
      <c r="G1839" t="s">
        <v>5635</v>
      </c>
      <c r="H1839">
        <v>10451</v>
      </c>
      <c r="I1839" t="s">
        <v>5696</v>
      </c>
      <c r="J1839" t="s">
        <v>5696</v>
      </c>
      <c r="O1839" t="s">
        <v>6745</v>
      </c>
      <c r="R1839" t="s">
        <v>6793</v>
      </c>
      <c r="U1839">
        <v>1600</v>
      </c>
      <c r="V1839" t="s">
        <v>6833</v>
      </c>
      <c r="W1839" t="s">
        <v>6839</v>
      </c>
      <c r="Y1839" t="s">
        <v>8562</v>
      </c>
      <c r="AA1839" t="s">
        <v>8917</v>
      </c>
      <c r="AB1839">
        <v>0</v>
      </c>
      <c r="AD1839" t="s">
        <v>5741</v>
      </c>
      <c r="AE1839">
        <v>10</v>
      </c>
      <c r="AF1839">
        <v>1</v>
      </c>
      <c r="AG1839">
        <v>1</v>
      </c>
      <c r="AH1839">
        <v>21.29</v>
      </c>
      <c r="AK1839" t="s">
        <v>10966</v>
      </c>
      <c r="AL1839">
        <v>3600</v>
      </c>
      <c r="AR1839">
        <v>0.4</v>
      </c>
      <c r="AS1839" t="s">
        <v>6827</v>
      </c>
      <c r="AT1839" t="s">
        <v>219</v>
      </c>
      <c r="AV1839" t="s">
        <v>11231</v>
      </c>
      <c r="AW1839" t="s">
        <v>11127</v>
      </c>
    </row>
    <row r="1840" spans="1:49">
      <c r="A1840" s="1">
        <f>HYPERLINK("https://lsnyc.legalserver.org/matter/dynamic-profile/view/1905079","19-1905079")</f>
        <v>0</v>
      </c>
      <c r="B1840" t="s">
        <v>115</v>
      </c>
      <c r="C1840" t="s">
        <v>768</v>
      </c>
      <c r="D1840" t="s">
        <v>2833</v>
      </c>
      <c r="E1840" t="s">
        <v>4723</v>
      </c>
      <c r="G1840" t="s">
        <v>5647</v>
      </c>
      <c r="H1840">
        <v>11691</v>
      </c>
      <c r="I1840" t="s">
        <v>5696</v>
      </c>
      <c r="J1840" t="s">
        <v>5696</v>
      </c>
      <c r="O1840" t="s">
        <v>6753</v>
      </c>
      <c r="R1840" t="s">
        <v>6798</v>
      </c>
      <c r="U1840">
        <v>0</v>
      </c>
      <c r="V1840" t="s">
        <v>6837</v>
      </c>
      <c r="Y1840" t="s">
        <v>8563</v>
      </c>
      <c r="AA1840" t="s">
        <v>8917</v>
      </c>
      <c r="AB1840">
        <v>0</v>
      </c>
      <c r="AE1840">
        <v>0</v>
      </c>
      <c r="AF1840">
        <v>3</v>
      </c>
      <c r="AG1840">
        <v>0</v>
      </c>
      <c r="AH1840">
        <v>30.47</v>
      </c>
      <c r="AK1840" t="s">
        <v>10966</v>
      </c>
      <c r="AL1840">
        <v>6500</v>
      </c>
      <c r="AR1840">
        <v>1.5</v>
      </c>
      <c r="AS1840" t="s">
        <v>6827</v>
      </c>
      <c r="AT1840" t="s">
        <v>115</v>
      </c>
      <c r="AV1840" t="s">
        <v>11231</v>
      </c>
      <c r="AW1840" t="s">
        <v>6814</v>
      </c>
    </row>
    <row r="1841" spans="1:49">
      <c r="A1841" s="1">
        <f>HYPERLINK("https://lsnyc.legalserver.org/matter/dynamic-profile/view/1901284","19-1901284")</f>
        <v>0</v>
      </c>
      <c r="B1841" t="s">
        <v>116</v>
      </c>
      <c r="C1841" t="s">
        <v>1448</v>
      </c>
      <c r="D1841" t="s">
        <v>2834</v>
      </c>
      <c r="E1841" t="s">
        <v>4724</v>
      </c>
      <c r="G1841" t="s">
        <v>5657</v>
      </c>
      <c r="H1841">
        <v>11412</v>
      </c>
      <c r="I1841" t="s">
        <v>5696</v>
      </c>
      <c r="J1841" t="s">
        <v>5696</v>
      </c>
      <c r="O1841" t="s">
        <v>6753</v>
      </c>
      <c r="R1841" t="s">
        <v>6798</v>
      </c>
      <c r="U1841">
        <v>0</v>
      </c>
      <c r="V1841" t="s">
        <v>6837</v>
      </c>
      <c r="Y1841" t="s">
        <v>8564</v>
      </c>
      <c r="AA1841" t="s">
        <v>10595</v>
      </c>
      <c r="AB1841">
        <v>0</v>
      </c>
      <c r="AE1841">
        <v>0</v>
      </c>
      <c r="AF1841">
        <v>2</v>
      </c>
      <c r="AG1841">
        <v>0</v>
      </c>
      <c r="AH1841">
        <v>510.94</v>
      </c>
      <c r="AK1841" t="s">
        <v>10966</v>
      </c>
      <c r="AL1841">
        <v>86400</v>
      </c>
      <c r="AR1841">
        <v>1.65</v>
      </c>
      <c r="AS1841" t="s">
        <v>6813</v>
      </c>
      <c r="AT1841" t="s">
        <v>11185</v>
      </c>
      <c r="AV1841" t="s">
        <v>11231</v>
      </c>
      <c r="AW1841" t="s">
        <v>11162</v>
      </c>
    </row>
    <row r="1842" spans="1:49">
      <c r="A1842" s="1">
        <f>HYPERLINK("https://lsnyc.legalserver.org/matter/dynamic-profile/view/1896002","19-1896002")</f>
        <v>0</v>
      </c>
      <c r="B1842" t="s">
        <v>290</v>
      </c>
      <c r="C1842" t="s">
        <v>1449</v>
      </c>
      <c r="D1842" t="s">
        <v>2835</v>
      </c>
      <c r="E1842" t="s">
        <v>4725</v>
      </c>
      <c r="G1842" t="s">
        <v>5635</v>
      </c>
      <c r="H1842">
        <v>10471</v>
      </c>
      <c r="I1842" t="s">
        <v>5696</v>
      </c>
      <c r="J1842" t="s">
        <v>5696</v>
      </c>
      <c r="O1842" t="s">
        <v>6767</v>
      </c>
      <c r="R1842" t="s">
        <v>6798</v>
      </c>
      <c r="U1842">
        <v>0</v>
      </c>
      <c r="V1842" t="s">
        <v>6833</v>
      </c>
      <c r="Y1842" t="s">
        <v>8565</v>
      </c>
      <c r="AA1842" t="s">
        <v>10596</v>
      </c>
      <c r="AB1842">
        <v>0</v>
      </c>
      <c r="AE1842">
        <v>0</v>
      </c>
      <c r="AF1842">
        <v>1</v>
      </c>
      <c r="AG1842">
        <v>0</v>
      </c>
      <c r="AH1842">
        <v>89.34999999999999</v>
      </c>
      <c r="AK1842" t="s">
        <v>10966</v>
      </c>
      <c r="AL1842">
        <v>11160</v>
      </c>
      <c r="AR1842">
        <v>8</v>
      </c>
      <c r="AS1842" t="s">
        <v>6812</v>
      </c>
      <c r="AT1842" t="s">
        <v>296</v>
      </c>
      <c r="AV1842" t="s">
        <v>11231</v>
      </c>
      <c r="AW1842" t="s">
        <v>11170</v>
      </c>
    </row>
    <row r="1843" spans="1:49">
      <c r="A1843" s="1">
        <f>HYPERLINK("https://lsnyc.legalserver.org/matter/dynamic-profile/view/1898210","19-1898210")</f>
        <v>0</v>
      </c>
      <c r="B1843" t="s">
        <v>260</v>
      </c>
      <c r="C1843" t="s">
        <v>435</v>
      </c>
      <c r="D1843" t="s">
        <v>2345</v>
      </c>
      <c r="E1843" t="s">
        <v>4726</v>
      </c>
      <c r="G1843" t="s">
        <v>5647</v>
      </c>
      <c r="H1843">
        <v>11691</v>
      </c>
      <c r="I1843" t="s">
        <v>5696</v>
      </c>
      <c r="J1843" t="s">
        <v>5696</v>
      </c>
      <c r="O1843" t="s">
        <v>6767</v>
      </c>
      <c r="R1843" t="s">
        <v>6798</v>
      </c>
      <c r="U1843">
        <v>0</v>
      </c>
      <c r="V1843" t="s">
        <v>6837</v>
      </c>
      <c r="Y1843" t="s">
        <v>8566</v>
      </c>
      <c r="AA1843" t="s">
        <v>10597</v>
      </c>
      <c r="AB1843">
        <v>0</v>
      </c>
      <c r="AE1843">
        <v>0</v>
      </c>
      <c r="AF1843">
        <v>2</v>
      </c>
      <c r="AG1843">
        <v>0</v>
      </c>
      <c r="AH1843">
        <v>177.41</v>
      </c>
      <c r="AK1843" t="s">
        <v>10966</v>
      </c>
      <c r="AL1843">
        <v>30000</v>
      </c>
      <c r="AR1843">
        <v>1.3</v>
      </c>
      <c r="AS1843" t="s">
        <v>11157</v>
      </c>
      <c r="AT1843" t="s">
        <v>11181</v>
      </c>
      <c r="AV1843" t="s">
        <v>11231</v>
      </c>
      <c r="AW1843" t="s">
        <v>10956</v>
      </c>
    </row>
    <row r="1844" spans="1:49">
      <c r="A1844" s="1">
        <f>HYPERLINK("https://lsnyc.legalserver.org/matter/dynamic-profile/view/1901102","19-1901102")</f>
        <v>0</v>
      </c>
      <c r="B1844" t="s">
        <v>152</v>
      </c>
      <c r="C1844" t="s">
        <v>334</v>
      </c>
      <c r="D1844" t="s">
        <v>2836</v>
      </c>
      <c r="E1844" t="s">
        <v>4727</v>
      </c>
      <c r="F1844">
        <v>1</v>
      </c>
      <c r="G1844" t="s">
        <v>5635</v>
      </c>
      <c r="H1844">
        <v>10467</v>
      </c>
      <c r="I1844" t="s">
        <v>5696</v>
      </c>
      <c r="J1844" t="s">
        <v>5696</v>
      </c>
      <c r="O1844" t="s">
        <v>6784</v>
      </c>
      <c r="R1844" t="s">
        <v>6797</v>
      </c>
      <c r="U1844">
        <v>0</v>
      </c>
      <c r="V1844" t="s">
        <v>6833</v>
      </c>
      <c r="Y1844" t="s">
        <v>8567</v>
      </c>
      <c r="AA1844" t="s">
        <v>10598</v>
      </c>
      <c r="AB1844">
        <v>0</v>
      </c>
      <c r="AE1844">
        <v>0</v>
      </c>
      <c r="AF1844">
        <v>2</v>
      </c>
      <c r="AG1844">
        <v>4</v>
      </c>
      <c r="AH1844">
        <v>171.96</v>
      </c>
      <c r="AK1844" t="s">
        <v>10966</v>
      </c>
      <c r="AL1844">
        <v>59480</v>
      </c>
      <c r="AR1844">
        <v>4.5</v>
      </c>
      <c r="AS1844" t="s">
        <v>6814</v>
      </c>
      <c r="AT1844" t="s">
        <v>296</v>
      </c>
      <c r="AV1844" t="s">
        <v>11231</v>
      </c>
      <c r="AW1844" t="s">
        <v>11143</v>
      </c>
    </row>
    <row r="1845" spans="1:49">
      <c r="A1845" s="1">
        <f>HYPERLINK("https://lsnyc.legalserver.org/matter/dynamic-profile/view/1902280","19-1902280")</f>
        <v>0</v>
      </c>
      <c r="B1845" t="s">
        <v>205</v>
      </c>
      <c r="C1845" t="s">
        <v>1450</v>
      </c>
      <c r="D1845" t="s">
        <v>1887</v>
      </c>
      <c r="E1845" t="s">
        <v>4728</v>
      </c>
      <c r="G1845" t="s">
        <v>5637</v>
      </c>
      <c r="H1845">
        <v>11208</v>
      </c>
      <c r="I1845" t="s">
        <v>5696</v>
      </c>
      <c r="J1845" t="s">
        <v>5696</v>
      </c>
      <c r="O1845" t="s">
        <v>6745</v>
      </c>
      <c r="R1845" t="s">
        <v>6793</v>
      </c>
      <c r="U1845">
        <v>2000</v>
      </c>
      <c r="V1845" t="s">
        <v>6835</v>
      </c>
      <c r="Y1845" t="s">
        <v>8568</v>
      </c>
      <c r="AA1845" t="s">
        <v>10599</v>
      </c>
      <c r="AB1845">
        <v>2</v>
      </c>
      <c r="AE1845">
        <v>0</v>
      </c>
      <c r="AF1845">
        <v>1</v>
      </c>
      <c r="AG1845">
        <v>2</v>
      </c>
      <c r="AH1845">
        <v>50.16</v>
      </c>
      <c r="AK1845" t="s">
        <v>10967</v>
      </c>
      <c r="AL1845">
        <v>10700</v>
      </c>
      <c r="AR1845">
        <v>0.6</v>
      </c>
      <c r="AS1845" t="s">
        <v>11137</v>
      </c>
      <c r="AT1845" t="s">
        <v>11181</v>
      </c>
      <c r="AV1845" t="s">
        <v>11231</v>
      </c>
      <c r="AW1845" t="s">
        <v>11140</v>
      </c>
    </row>
    <row r="1846" spans="1:49">
      <c r="A1846" s="1">
        <f>HYPERLINK("https://lsnyc.legalserver.org/matter/dynamic-profile/view/1895527","19-1895527")</f>
        <v>0</v>
      </c>
      <c r="B1846" t="s">
        <v>169</v>
      </c>
      <c r="C1846" t="s">
        <v>1451</v>
      </c>
      <c r="D1846" t="s">
        <v>1858</v>
      </c>
      <c r="E1846" t="s">
        <v>4729</v>
      </c>
      <c r="G1846" t="s">
        <v>5654</v>
      </c>
      <c r="H1846">
        <v>11429</v>
      </c>
      <c r="I1846" t="s">
        <v>5696</v>
      </c>
      <c r="J1846" t="s">
        <v>5696</v>
      </c>
      <c r="O1846" t="s">
        <v>6767</v>
      </c>
      <c r="R1846" t="s">
        <v>6798</v>
      </c>
      <c r="U1846">
        <v>0</v>
      </c>
      <c r="V1846" t="s">
        <v>6837</v>
      </c>
      <c r="Y1846" t="s">
        <v>8569</v>
      </c>
      <c r="AA1846" t="s">
        <v>10600</v>
      </c>
      <c r="AB1846">
        <v>0</v>
      </c>
      <c r="AE1846">
        <v>0</v>
      </c>
      <c r="AF1846">
        <v>1</v>
      </c>
      <c r="AG1846">
        <v>0</v>
      </c>
      <c r="AH1846">
        <v>632.5700000000001</v>
      </c>
      <c r="AK1846" t="s">
        <v>10966</v>
      </c>
      <c r="AL1846">
        <v>79008</v>
      </c>
      <c r="AR1846">
        <v>3.75</v>
      </c>
      <c r="AS1846" t="s">
        <v>11119</v>
      </c>
      <c r="AT1846" t="s">
        <v>116</v>
      </c>
      <c r="AV1846" t="s">
        <v>11231</v>
      </c>
      <c r="AW1846" t="s">
        <v>10960</v>
      </c>
    </row>
    <row r="1847" spans="1:49">
      <c r="A1847" s="1">
        <f>HYPERLINK("https://lsnyc.legalserver.org/matter/dynamic-profile/view/1900035","19-1900035")</f>
        <v>0</v>
      </c>
      <c r="B1847" t="s">
        <v>152</v>
      </c>
      <c r="C1847" t="s">
        <v>1452</v>
      </c>
      <c r="D1847" t="s">
        <v>2837</v>
      </c>
      <c r="E1847" t="s">
        <v>4730</v>
      </c>
      <c r="G1847" t="s">
        <v>5635</v>
      </c>
      <c r="H1847">
        <v>10466</v>
      </c>
      <c r="I1847" t="s">
        <v>5696</v>
      </c>
      <c r="J1847" t="s">
        <v>5696</v>
      </c>
      <c r="O1847" t="s">
        <v>6784</v>
      </c>
      <c r="R1847" t="s">
        <v>6798</v>
      </c>
      <c r="U1847">
        <v>0</v>
      </c>
      <c r="V1847" t="s">
        <v>6833</v>
      </c>
      <c r="Y1847" t="s">
        <v>8570</v>
      </c>
      <c r="AA1847" t="s">
        <v>10601</v>
      </c>
      <c r="AB1847">
        <v>0</v>
      </c>
      <c r="AE1847">
        <v>0</v>
      </c>
      <c r="AF1847">
        <v>4</v>
      </c>
      <c r="AG1847">
        <v>0</v>
      </c>
      <c r="AH1847">
        <v>138.45</v>
      </c>
      <c r="AK1847" t="s">
        <v>10966</v>
      </c>
      <c r="AL1847">
        <v>35652</v>
      </c>
      <c r="AR1847">
        <v>5</v>
      </c>
      <c r="AS1847" t="s">
        <v>6814</v>
      </c>
      <c r="AT1847" t="s">
        <v>296</v>
      </c>
      <c r="AV1847" t="s">
        <v>11231</v>
      </c>
      <c r="AW1847" t="s">
        <v>10957</v>
      </c>
    </row>
    <row r="1848" spans="1:49">
      <c r="A1848" s="1">
        <f>HYPERLINK("https://lsnyc.legalserver.org/matter/dynamic-profile/view/1901470","19-1901470")</f>
        <v>0</v>
      </c>
      <c r="B1848" t="s">
        <v>291</v>
      </c>
      <c r="C1848" t="s">
        <v>541</v>
      </c>
      <c r="D1848" t="s">
        <v>1754</v>
      </c>
      <c r="E1848" t="s">
        <v>4731</v>
      </c>
      <c r="F1848">
        <v>2</v>
      </c>
      <c r="G1848" t="s">
        <v>5635</v>
      </c>
      <c r="H1848">
        <v>10452</v>
      </c>
      <c r="I1848" t="s">
        <v>5696</v>
      </c>
      <c r="J1848" t="s">
        <v>5696</v>
      </c>
      <c r="O1848" t="s">
        <v>6748</v>
      </c>
      <c r="R1848" t="s">
        <v>6793</v>
      </c>
      <c r="U1848">
        <v>1750</v>
      </c>
      <c r="V1848" t="s">
        <v>6833</v>
      </c>
      <c r="Y1848" t="s">
        <v>8571</v>
      </c>
      <c r="AA1848" t="s">
        <v>10602</v>
      </c>
      <c r="AB1848">
        <v>3</v>
      </c>
      <c r="AD1848" t="s">
        <v>10944</v>
      </c>
      <c r="AE1848">
        <v>0</v>
      </c>
      <c r="AF1848">
        <v>1</v>
      </c>
      <c r="AG1848">
        <v>0</v>
      </c>
      <c r="AH1848">
        <v>70.62</v>
      </c>
      <c r="AK1848" t="s">
        <v>10966</v>
      </c>
      <c r="AL1848">
        <v>8820</v>
      </c>
      <c r="AR1848">
        <v>1.3</v>
      </c>
      <c r="AS1848" t="s">
        <v>6816</v>
      </c>
      <c r="AT1848" t="s">
        <v>11192</v>
      </c>
      <c r="AV1848" t="s">
        <v>11231</v>
      </c>
      <c r="AW1848" t="s">
        <v>11135</v>
      </c>
    </row>
    <row r="1849" spans="1:49">
      <c r="A1849" s="1">
        <f>HYPERLINK("https://lsnyc.legalserver.org/matter/dynamic-profile/view/1902922","19-1902922")</f>
        <v>0</v>
      </c>
      <c r="B1849" t="s">
        <v>174</v>
      </c>
      <c r="C1849" t="s">
        <v>1453</v>
      </c>
      <c r="D1849" t="s">
        <v>2379</v>
      </c>
      <c r="E1849" t="s">
        <v>4732</v>
      </c>
      <c r="G1849" t="s">
        <v>5637</v>
      </c>
      <c r="H1849">
        <v>11233</v>
      </c>
      <c r="I1849" t="s">
        <v>5696</v>
      </c>
      <c r="J1849" t="s">
        <v>5696</v>
      </c>
      <c r="O1849" t="s">
        <v>6775</v>
      </c>
      <c r="R1849" t="s">
        <v>6799</v>
      </c>
      <c r="U1849">
        <v>0</v>
      </c>
      <c r="V1849" t="s">
        <v>6835</v>
      </c>
      <c r="Y1849" t="s">
        <v>8572</v>
      </c>
      <c r="AA1849" t="s">
        <v>10603</v>
      </c>
      <c r="AB1849">
        <v>0</v>
      </c>
      <c r="AE1849">
        <v>0</v>
      </c>
      <c r="AF1849">
        <v>2</v>
      </c>
      <c r="AG1849">
        <v>4</v>
      </c>
      <c r="AH1849">
        <v>367.74</v>
      </c>
      <c r="AK1849" t="s">
        <v>10966</v>
      </c>
      <c r="AL1849">
        <v>127200</v>
      </c>
      <c r="AR1849">
        <v>13.8</v>
      </c>
      <c r="AS1849" t="s">
        <v>6827</v>
      </c>
      <c r="AT1849" t="s">
        <v>144</v>
      </c>
      <c r="AV1849" t="s">
        <v>11231</v>
      </c>
      <c r="AW1849" t="s">
        <v>11147</v>
      </c>
    </row>
    <row r="1850" spans="1:49">
      <c r="A1850" s="1">
        <f>HYPERLINK("https://lsnyc.legalserver.org/matter/dynamic-profile/view/1905626","19-1905626")</f>
        <v>0</v>
      </c>
      <c r="B1850" t="s">
        <v>151</v>
      </c>
      <c r="C1850" t="s">
        <v>1454</v>
      </c>
      <c r="D1850" t="s">
        <v>2838</v>
      </c>
      <c r="E1850" t="s">
        <v>4733</v>
      </c>
      <c r="F1850" t="s">
        <v>5592</v>
      </c>
      <c r="G1850" t="s">
        <v>5637</v>
      </c>
      <c r="H1850">
        <v>11238</v>
      </c>
      <c r="I1850" t="s">
        <v>5696</v>
      </c>
      <c r="J1850" t="s">
        <v>5696</v>
      </c>
      <c r="O1850" t="s">
        <v>6756</v>
      </c>
      <c r="R1850" t="s">
        <v>6797</v>
      </c>
      <c r="U1850">
        <v>0</v>
      </c>
      <c r="V1850" t="s">
        <v>6835</v>
      </c>
      <c r="Y1850" t="s">
        <v>8573</v>
      </c>
      <c r="AA1850" t="s">
        <v>10604</v>
      </c>
      <c r="AB1850">
        <v>0</v>
      </c>
      <c r="AE1850">
        <v>0</v>
      </c>
      <c r="AF1850">
        <v>1</v>
      </c>
      <c r="AG1850">
        <v>0</v>
      </c>
      <c r="AH1850">
        <v>40.03</v>
      </c>
      <c r="AK1850" t="s">
        <v>10966</v>
      </c>
      <c r="AL1850">
        <v>5000</v>
      </c>
      <c r="AR1850">
        <v>0.7</v>
      </c>
      <c r="AS1850" t="s">
        <v>6819</v>
      </c>
      <c r="AT1850" t="s">
        <v>11190</v>
      </c>
      <c r="AV1850" t="s">
        <v>11231</v>
      </c>
      <c r="AW1850" t="s">
        <v>6819</v>
      </c>
    </row>
    <row r="1851" spans="1:49">
      <c r="A1851" s="1">
        <f>HYPERLINK("https://lsnyc.legalserver.org/matter/dynamic-profile/view/1904662","19-1904662")</f>
        <v>0</v>
      </c>
      <c r="B1851" t="s">
        <v>135</v>
      </c>
      <c r="C1851" t="s">
        <v>1455</v>
      </c>
      <c r="D1851" t="s">
        <v>2839</v>
      </c>
      <c r="E1851" t="s">
        <v>4734</v>
      </c>
      <c r="F1851" t="s">
        <v>5105</v>
      </c>
      <c r="G1851" t="s">
        <v>5637</v>
      </c>
      <c r="H1851">
        <v>11217</v>
      </c>
      <c r="I1851" t="s">
        <v>5696</v>
      </c>
      <c r="J1851" t="s">
        <v>5696</v>
      </c>
      <c r="O1851" t="s">
        <v>6775</v>
      </c>
      <c r="R1851" t="s">
        <v>6798</v>
      </c>
      <c r="U1851">
        <v>0</v>
      </c>
      <c r="V1851" t="s">
        <v>6835</v>
      </c>
      <c r="Y1851" t="s">
        <v>8574</v>
      </c>
      <c r="AA1851" t="s">
        <v>10605</v>
      </c>
      <c r="AB1851">
        <v>0</v>
      </c>
      <c r="AE1851">
        <v>0</v>
      </c>
      <c r="AF1851">
        <v>2</v>
      </c>
      <c r="AG1851">
        <v>0</v>
      </c>
      <c r="AH1851">
        <v>248.37</v>
      </c>
      <c r="AL1851">
        <v>42000</v>
      </c>
      <c r="AR1851">
        <v>5</v>
      </c>
      <c r="AS1851" t="s">
        <v>6828</v>
      </c>
      <c r="AT1851" t="s">
        <v>128</v>
      </c>
      <c r="AV1851" t="s">
        <v>11231</v>
      </c>
      <c r="AW1851" t="s">
        <v>6808</v>
      </c>
    </row>
    <row r="1852" spans="1:49">
      <c r="A1852" s="1">
        <f>HYPERLINK("https://lsnyc.legalserver.org/matter/dynamic-profile/view/1897172","19-1897172")</f>
        <v>0</v>
      </c>
      <c r="B1852" t="s">
        <v>205</v>
      </c>
      <c r="C1852" t="s">
        <v>666</v>
      </c>
      <c r="D1852" t="s">
        <v>2840</v>
      </c>
      <c r="E1852" t="s">
        <v>4735</v>
      </c>
      <c r="F1852">
        <v>3</v>
      </c>
      <c r="G1852" t="s">
        <v>5637</v>
      </c>
      <c r="H1852">
        <v>11221</v>
      </c>
      <c r="I1852" t="s">
        <v>5696</v>
      </c>
      <c r="J1852" t="s">
        <v>5696</v>
      </c>
      <c r="O1852" t="s">
        <v>6748</v>
      </c>
      <c r="R1852" t="s">
        <v>6793</v>
      </c>
      <c r="U1852">
        <v>900</v>
      </c>
      <c r="V1852" t="s">
        <v>6835</v>
      </c>
      <c r="W1852" t="s">
        <v>6853</v>
      </c>
      <c r="Y1852" t="s">
        <v>8575</v>
      </c>
      <c r="AA1852" t="s">
        <v>10606</v>
      </c>
      <c r="AB1852">
        <v>6</v>
      </c>
      <c r="AD1852" t="s">
        <v>5741</v>
      </c>
      <c r="AE1852">
        <v>2</v>
      </c>
      <c r="AF1852">
        <v>1</v>
      </c>
      <c r="AG1852">
        <v>0</v>
      </c>
      <c r="AH1852">
        <v>80.06</v>
      </c>
      <c r="AK1852" t="s">
        <v>10966</v>
      </c>
      <c r="AL1852">
        <v>10000</v>
      </c>
      <c r="AR1852">
        <v>1</v>
      </c>
      <c r="AS1852" t="s">
        <v>11151</v>
      </c>
      <c r="AT1852" t="s">
        <v>11203</v>
      </c>
      <c r="AV1852" t="s">
        <v>11231</v>
      </c>
      <c r="AW1852" t="s">
        <v>11151</v>
      </c>
    </row>
    <row r="1853" spans="1:49">
      <c r="A1853" s="1">
        <f>HYPERLINK("https://lsnyc.legalserver.org/matter/dynamic-profile/view/1903886","19-1903886")</f>
        <v>0</v>
      </c>
      <c r="B1853" t="s">
        <v>260</v>
      </c>
      <c r="C1853" t="s">
        <v>872</v>
      </c>
      <c r="D1853" t="s">
        <v>2841</v>
      </c>
      <c r="E1853" t="s">
        <v>4736</v>
      </c>
      <c r="G1853" t="s">
        <v>5686</v>
      </c>
      <c r="H1853">
        <v>11379</v>
      </c>
      <c r="I1853" t="s">
        <v>5696</v>
      </c>
      <c r="J1853" t="s">
        <v>5696</v>
      </c>
      <c r="O1853" t="s">
        <v>6778</v>
      </c>
      <c r="R1853" t="s">
        <v>6798</v>
      </c>
      <c r="U1853">
        <v>0</v>
      </c>
      <c r="V1853" t="s">
        <v>6837</v>
      </c>
      <c r="Y1853" t="s">
        <v>8576</v>
      </c>
      <c r="AA1853" t="s">
        <v>10607</v>
      </c>
      <c r="AB1853">
        <v>0</v>
      </c>
      <c r="AE1853">
        <v>0</v>
      </c>
      <c r="AF1853">
        <v>1</v>
      </c>
      <c r="AG1853">
        <v>0</v>
      </c>
      <c r="AH1853">
        <v>117.6</v>
      </c>
      <c r="AK1853" t="s">
        <v>10966</v>
      </c>
      <c r="AL1853">
        <v>14688</v>
      </c>
      <c r="AR1853">
        <v>2.2</v>
      </c>
      <c r="AS1853" t="s">
        <v>6815</v>
      </c>
      <c r="AT1853" t="s">
        <v>11181</v>
      </c>
      <c r="AV1853" t="s">
        <v>11231</v>
      </c>
      <c r="AW1853" t="s">
        <v>6807</v>
      </c>
    </row>
    <row r="1854" spans="1:49">
      <c r="A1854" s="1">
        <f>HYPERLINK("https://lsnyc.legalserver.org/matter/dynamic-profile/view/1899321","19-1899321")</f>
        <v>0</v>
      </c>
      <c r="B1854" t="s">
        <v>288</v>
      </c>
      <c r="C1854" t="s">
        <v>1456</v>
      </c>
      <c r="D1854" t="s">
        <v>2052</v>
      </c>
      <c r="E1854" t="s">
        <v>4737</v>
      </c>
      <c r="F1854">
        <v>2</v>
      </c>
      <c r="G1854" t="s">
        <v>5635</v>
      </c>
      <c r="H1854">
        <v>10467</v>
      </c>
      <c r="I1854" t="s">
        <v>5696</v>
      </c>
      <c r="J1854" t="s">
        <v>5696</v>
      </c>
      <c r="K1854">
        <v>6084012</v>
      </c>
      <c r="O1854" t="s">
        <v>6748</v>
      </c>
      <c r="R1854" t="s">
        <v>6793</v>
      </c>
      <c r="U1854">
        <v>960</v>
      </c>
      <c r="V1854" t="s">
        <v>6833</v>
      </c>
      <c r="W1854" t="s">
        <v>6853</v>
      </c>
      <c r="Y1854" t="s">
        <v>8577</v>
      </c>
      <c r="AA1854" t="s">
        <v>10608</v>
      </c>
      <c r="AB1854">
        <v>0</v>
      </c>
      <c r="AE1854">
        <v>9</v>
      </c>
      <c r="AF1854">
        <v>1</v>
      </c>
      <c r="AG1854">
        <v>0</v>
      </c>
      <c r="AH1854">
        <v>187.35</v>
      </c>
      <c r="AK1854" t="s">
        <v>10966</v>
      </c>
      <c r="AL1854">
        <v>23400</v>
      </c>
      <c r="AR1854">
        <v>1</v>
      </c>
      <c r="AS1854" t="s">
        <v>11169</v>
      </c>
      <c r="AT1854" t="s">
        <v>11210</v>
      </c>
      <c r="AV1854" t="s">
        <v>11231</v>
      </c>
      <c r="AW1854" t="s">
        <v>11169</v>
      </c>
    </row>
    <row r="1855" spans="1:49">
      <c r="A1855" s="1">
        <f>HYPERLINK("https://lsnyc.legalserver.org/matter/dynamic-profile/view/1903646","19-1903646")</f>
        <v>0</v>
      </c>
      <c r="B1855" t="s">
        <v>227</v>
      </c>
      <c r="C1855" t="s">
        <v>1457</v>
      </c>
      <c r="D1855" t="s">
        <v>2842</v>
      </c>
      <c r="E1855" t="s">
        <v>4738</v>
      </c>
      <c r="G1855" t="s">
        <v>5665</v>
      </c>
      <c r="H1855">
        <v>11377</v>
      </c>
      <c r="I1855" t="s">
        <v>5696</v>
      </c>
      <c r="J1855" t="s">
        <v>5696</v>
      </c>
      <c r="O1855" t="s">
        <v>6778</v>
      </c>
      <c r="R1855" t="s">
        <v>6798</v>
      </c>
      <c r="U1855">
        <v>0</v>
      </c>
      <c r="V1855" t="s">
        <v>6837</v>
      </c>
      <c r="Y1855" t="s">
        <v>8578</v>
      </c>
      <c r="AA1855" t="s">
        <v>10609</v>
      </c>
      <c r="AB1855">
        <v>0</v>
      </c>
      <c r="AE1855">
        <v>0</v>
      </c>
      <c r="AF1855">
        <v>5</v>
      </c>
      <c r="AG1855">
        <v>2</v>
      </c>
      <c r="AH1855">
        <v>314.2</v>
      </c>
      <c r="AL1855">
        <v>122568</v>
      </c>
      <c r="AR1855">
        <v>1.7</v>
      </c>
      <c r="AS1855" t="s">
        <v>11144</v>
      </c>
      <c r="AT1855" t="s">
        <v>227</v>
      </c>
      <c r="AV1855" t="s">
        <v>11231</v>
      </c>
      <c r="AW1855" t="s">
        <v>11144</v>
      </c>
    </row>
    <row r="1856" spans="1:49">
      <c r="A1856" s="1">
        <f>HYPERLINK("https://lsnyc.legalserver.org/matter/dynamic-profile/view/1900049","19-1900049")</f>
        <v>0</v>
      </c>
      <c r="B1856" t="s">
        <v>292</v>
      </c>
      <c r="C1856" t="s">
        <v>1458</v>
      </c>
      <c r="D1856" t="s">
        <v>2843</v>
      </c>
      <c r="E1856" t="s">
        <v>4739</v>
      </c>
      <c r="G1856" t="s">
        <v>5635</v>
      </c>
      <c r="H1856">
        <v>10469</v>
      </c>
      <c r="I1856" t="s">
        <v>5696</v>
      </c>
      <c r="J1856" t="s">
        <v>5696</v>
      </c>
      <c r="O1856" t="s">
        <v>6784</v>
      </c>
      <c r="R1856" t="s">
        <v>6798</v>
      </c>
      <c r="U1856">
        <v>0</v>
      </c>
      <c r="V1856" t="s">
        <v>6833</v>
      </c>
      <c r="Y1856" t="s">
        <v>8579</v>
      </c>
      <c r="AA1856" t="s">
        <v>10610</v>
      </c>
      <c r="AB1856">
        <v>0</v>
      </c>
      <c r="AE1856">
        <v>0</v>
      </c>
      <c r="AF1856">
        <v>1</v>
      </c>
      <c r="AG1856">
        <v>0</v>
      </c>
      <c r="AH1856">
        <v>0</v>
      </c>
      <c r="AK1856" t="s">
        <v>10966</v>
      </c>
      <c r="AL1856">
        <v>0</v>
      </c>
      <c r="AR1856">
        <v>15</v>
      </c>
      <c r="AS1856" t="s">
        <v>6821</v>
      </c>
      <c r="AT1856" t="s">
        <v>296</v>
      </c>
      <c r="AV1856" t="s">
        <v>11231</v>
      </c>
      <c r="AW1856" t="s">
        <v>10957</v>
      </c>
    </row>
    <row r="1857" spans="1:49">
      <c r="A1857" s="1">
        <f>HYPERLINK("https://lsnyc.legalserver.org/matter/dynamic-profile/view/1895559","19-1895559")</f>
        <v>0</v>
      </c>
      <c r="B1857" t="s">
        <v>116</v>
      </c>
      <c r="C1857" t="s">
        <v>479</v>
      </c>
      <c r="D1857" t="s">
        <v>2844</v>
      </c>
      <c r="E1857" t="s">
        <v>4740</v>
      </c>
      <c r="G1857" t="s">
        <v>5677</v>
      </c>
      <c r="H1857">
        <v>11413</v>
      </c>
      <c r="I1857" t="s">
        <v>5696</v>
      </c>
      <c r="J1857" t="s">
        <v>5696</v>
      </c>
      <c r="O1857" t="s">
        <v>6767</v>
      </c>
      <c r="R1857" t="s">
        <v>6798</v>
      </c>
      <c r="U1857">
        <v>0</v>
      </c>
      <c r="V1857" t="s">
        <v>6837</v>
      </c>
      <c r="Y1857" t="s">
        <v>8580</v>
      </c>
      <c r="AA1857" t="s">
        <v>10611</v>
      </c>
      <c r="AB1857">
        <v>0</v>
      </c>
      <c r="AE1857">
        <v>0</v>
      </c>
      <c r="AF1857">
        <v>3</v>
      </c>
      <c r="AG1857">
        <v>1</v>
      </c>
      <c r="AH1857">
        <v>368.93</v>
      </c>
      <c r="AL1857">
        <v>95000</v>
      </c>
      <c r="AR1857">
        <v>3.15</v>
      </c>
      <c r="AS1857" t="s">
        <v>11156</v>
      </c>
      <c r="AT1857" t="s">
        <v>116</v>
      </c>
      <c r="AV1857" t="s">
        <v>11231</v>
      </c>
      <c r="AW1857" t="s">
        <v>10960</v>
      </c>
    </row>
    <row r="1858" spans="1:49">
      <c r="A1858" s="1">
        <f>HYPERLINK("https://lsnyc.legalserver.org/matter/dynamic-profile/view/1896835","19-1896835")</f>
        <v>0</v>
      </c>
      <c r="B1858" t="s">
        <v>293</v>
      </c>
      <c r="C1858" t="s">
        <v>940</v>
      </c>
      <c r="D1858" t="s">
        <v>2845</v>
      </c>
      <c r="E1858" t="s">
        <v>4741</v>
      </c>
      <c r="G1858" t="s">
        <v>5636</v>
      </c>
      <c r="H1858">
        <v>10312</v>
      </c>
      <c r="I1858" t="s">
        <v>5696</v>
      </c>
      <c r="J1858" t="s">
        <v>5696</v>
      </c>
      <c r="O1858" t="s">
        <v>6782</v>
      </c>
      <c r="R1858" t="s">
        <v>6799</v>
      </c>
      <c r="U1858">
        <v>0</v>
      </c>
      <c r="V1858" t="s">
        <v>6834</v>
      </c>
      <c r="Y1858" t="s">
        <v>8581</v>
      </c>
      <c r="AA1858" t="s">
        <v>10612</v>
      </c>
      <c r="AB1858">
        <v>0</v>
      </c>
      <c r="AE1858">
        <v>0</v>
      </c>
      <c r="AF1858">
        <v>2</v>
      </c>
      <c r="AG1858">
        <v>0</v>
      </c>
      <c r="AH1858">
        <v>219.99</v>
      </c>
      <c r="AK1858" t="s">
        <v>10966</v>
      </c>
      <c r="AL1858">
        <v>37200</v>
      </c>
      <c r="AR1858">
        <v>5.9</v>
      </c>
      <c r="AS1858" t="s">
        <v>6823</v>
      </c>
      <c r="AT1858" t="s">
        <v>11211</v>
      </c>
      <c r="AV1858" t="s">
        <v>11231</v>
      </c>
      <c r="AW1858" t="s">
        <v>11121</v>
      </c>
    </row>
    <row r="1859" spans="1:49">
      <c r="A1859" s="1">
        <f>HYPERLINK("https://lsnyc.legalserver.org/matter/dynamic-profile/view/1896554","19-1896554")</f>
        <v>0</v>
      </c>
      <c r="B1859" t="s">
        <v>135</v>
      </c>
      <c r="C1859" t="s">
        <v>366</v>
      </c>
      <c r="D1859" t="s">
        <v>2846</v>
      </c>
      <c r="E1859" t="s">
        <v>4742</v>
      </c>
      <c r="G1859" t="s">
        <v>5637</v>
      </c>
      <c r="H1859">
        <v>11221</v>
      </c>
      <c r="I1859" t="s">
        <v>5696</v>
      </c>
      <c r="J1859" t="s">
        <v>5696</v>
      </c>
      <c r="O1859" t="s">
        <v>6776</v>
      </c>
      <c r="R1859" t="s">
        <v>6798</v>
      </c>
      <c r="U1859">
        <v>0</v>
      </c>
      <c r="V1859" t="s">
        <v>6835</v>
      </c>
      <c r="Y1859" t="s">
        <v>8582</v>
      </c>
      <c r="AA1859" t="s">
        <v>10613</v>
      </c>
      <c r="AB1859">
        <v>0</v>
      </c>
      <c r="AE1859">
        <v>0</v>
      </c>
      <c r="AF1859">
        <v>1</v>
      </c>
      <c r="AG1859">
        <v>0</v>
      </c>
      <c r="AH1859">
        <v>115.29</v>
      </c>
      <c r="AL1859">
        <v>14400</v>
      </c>
      <c r="AR1859">
        <v>3</v>
      </c>
      <c r="AS1859" t="s">
        <v>6807</v>
      </c>
      <c r="AT1859" t="s">
        <v>128</v>
      </c>
      <c r="AV1859" t="s">
        <v>11231</v>
      </c>
      <c r="AW1859" t="s">
        <v>11159</v>
      </c>
    </row>
    <row r="1860" spans="1:49">
      <c r="A1860" s="1">
        <f>HYPERLINK("https://lsnyc.legalserver.org/matter/dynamic-profile/view/1906128","19-1906128")</f>
        <v>0</v>
      </c>
      <c r="B1860" t="s">
        <v>79</v>
      </c>
      <c r="C1860" t="s">
        <v>479</v>
      </c>
      <c r="D1860" t="s">
        <v>2847</v>
      </c>
      <c r="E1860" t="s">
        <v>4743</v>
      </c>
      <c r="F1860" t="s">
        <v>5377</v>
      </c>
      <c r="G1860" t="s">
        <v>5646</v>
      </c>
      <c r="H1860">
        <v>11354</v>
      </c>
      <c r="I1860" t="s">
        <v>5696</v>
      </c>
      <c r="J1860" t="s">
        <v>5696</v>
      </c>
      <c r="O1860" t="s">
        <v>6748</v>
      </c>
      <c r="R1860" t="s">
        <v>6793</v>
      </c>
      <c r="U1860">
        <v>1050</v>
      </c>
      <c r="V1860" t="s">
        <v>6837</v>
      </c>
      <c r="W1860" t="s">
        <v>6842</v>
      </c>
      <c r="Y1860" t="s">
        <v>8583</v>
      </c>
      <c r="AA1860" t="s">
        <v>10614</v>
      </c>
      <c r="AB1860">
        <v>10</v>
      </c>
      <c r="AD1860" t="s">
        <v>5741</v>
      </c>
      <c r="AE1860">
        <v>1</v>
      </c>
      <c r="AF1860">
        <v>2</v>
      </c>
      <c r="AG1860">
        <v>0</v>
      </c>
      <c r="AH1860">
        <v>102.11</v>
      </c>
      <c r="AK1860" t="s">
        <v>10966</v>
      </c>
      <c r="AL1860">
        <v>17267.52</v>
      </c>
      <c r="AR1860">
        <v>1.1</v>
      </c>
      <c r="AS1860" t="s">
        <v>6821</v>
      </c>
      <c r="AT1860" t="s">
        <v>11203</v>
      </c>
      <c r="AV1860" t="s">
        <v>11231</v>
      </c>
      <c r="AW1860" t="s">
        <v>6820</v>
      </c>
    </row>
    <row r="1861" spans="1:49">
      <c r="A1861" s="1">
        <f>HYPERLINK("https://lsnyc.legalserver.org/matter/dynamic-profile/view/1902137","19-1902137")</f>
        <v>0</v>
      </c>
      <c r="B1861" t="s">
        <v>254</v>
      </c>
      <c r="C1861" t="s">
        <v>1459</v>
      </c>
      <c r="D1861" t="s">
        <v>2776</v>
      </c>
      <c r="E1861" t="s">
        <v>4744</v>
      </c>
      <c r="F1861" t="s">
        <v>5484</v>
      </c>
      <c r="G1861" t="s">
        <v>5635</v>
      </c>
      <c r="H1861">
        <v>10452</v>
      </c>
      <c r="I1861" t="s">
        <v>5696</v>
      </c>
      <c r="J1861" t="s">
        <v>5696</v>
      </c>
      <c r="O1861" t="s">
        <v>6748</v>
      </c>
      <c r="R1861" t="s">
        <v>6793</v>
      </c>
      <c r="U1861">
        <v>10024</v>
      </c>
      <c r="V1861" t="s">
        <v>6833</v>
      </c>
      <c r="W1861" t="s">
        <v>6843</v>
      </c>
      <c r="Y1861" t="s">
        <v>8584</v>
      </c>
      <c r="AA1861" t="s">
        <v>10615</v>
      </c>
      <c r="AB1861">
        <v>200</v>
      </c>
      <c r="AD1861" t="s">
        <v>6841</v>
      </c>
      <c r="AE1861">
        <v>6</v>
      </c>
      <c r="AF1861">
        <v>1</v>
      </c>
      <c r="AG1861">
        <v>0</v>
      </c>
      <c r="AH1861">
        <v>69.18000000000001</v>
      </c>
      <c r="AK1861" t="s">
        <v>10966</v>
      </c>
      <c r="AL1861">
        <v>8640</v>
      </c>
      <c r="AR1861">
        <v>1</v>
      </c>
      <c r="AS1861" t="s">
        <v>11163</v>
      </c>
      <c r="AT1861" t="s">
        <v>11203</v>
      </c>
      <c r="AV1861" t="s">
        <v>11231</v>
      </c>
      <c r="AW1861" t="s">
        <v>11163</v>
      </c>
    </row>
    <row r="1862" spans="1:49">
      <c r="A1862" s="1">
        <f>HYPERLINK("https://lsnyc.legalserver.org/matter/dynamic-profile/view/1903530","19-1903530")</f>
        <v>0</v>
      </c>
      <c r="B1862" t="s">
        <v>172</v>
      </c>
      <c r="C1862" t="s">
        <v>1460</v>
      </c>
      <c r="D1862" t="s">
        <v>2848</v>
      </c>
      <c r="E1862" t="s">
        <v>4745</v>
      </c>
      <c r="F1862" t="s">
        <v>5298</v>
      </c>
      <c r="G1862" t="s">
        <v>5638</v>
      </c>
      <c r="H1862">
        <v>10011</v>
      </c>
      <c r="I1862" t="s">
        <v>5696</v>
      </c>
      <c r="J1862" t="s">
        <v>5696</v>
      </c>
      <c r="O1862" t="s">
        <v>6777</v>
      </c>
      <c r="R1862" t="s">
        <v>6793</v>
      </c>
      <c r="U1862">
        <v>0</v>
      </c>
      <c r="V1862" t="s">
        <v>6836</v>
      </c>
      <c r="Y1862" t="s">
        <v>8585</v>
      </c>
      <c r="AA1862" t="s">
        <v>10616</v>
      </c>
      <c r="AB1862">
        <v>0</v>
      </c>
      <c r="AE1862">
        <v>0</v>
      </c>
      <c r="AF1862">
        <v>2</v>
      </c>
      <c r="AG1862">
        <v>0</v>
      </c>
      <c r="AH1862">
        <v>78.48999999999999</v>
      </c>
      <c r="AK1862" t="s">
        <v>10966</v>
      </c>
      <c r="AL1862">
        <v>13272</v>
      </c>
      <c r="AR1862">
        <v>8</v>
      </c>
      <c r="AS1862" t="s">
        <v>6822</v>
      </c>
      <c r="AT1862" t="s">
        <v>229</v>
      </c>
      <c r="AV1862" t="s">
        <v>11231</v>
      </c>
      <c r="AW1862" t="s">
        <v>11139</v>
      </c>
    </row>
    <row r="1863" spans="1:49">
      <c r="A1863" s="1">
        <f>HYPERLINK("https://lsnyc.legalserver.org/matter/dynamic-profile/view/1901746","19-1901746")</f>
        <v>0</v>
      </c>
      <c r="B1863" t="s">
        <v>294</v>
      </c>
      <c r="C1863" t="s">
        <v>1461</v>
      </c>
      <c r="D1863" t="s">
        <v>2849</v>
      </c>
      <c r="E1863" t="s">
        <v>4746</v>
      </c>
      <c r="F1863">
        <v>42</v>
      </c>
      <c r="G1863" t="s">
        <v>5638</v>
      </c>
      <c r="H1863">
        <v>10026</v>
      </c>
      <c r="I1863" t="s">
        <v>5696</v>
      </c>
      <c r="J1863" t="s">
        <v>5696</v>
      </c>
      <c r="O1863" t="s">
        <v>6789</v>
      </c>
      <c r="R1863" t="s">
        <v>6793</v>
      </c>
      <c r="U1863">
        <v>0</v>
      </c>
      <c r="V1863" t="s">
        <v>6836</v>
      </c>
      <c r="Y1863" t="s">
        <v>8586</v>
      </c>
      <c r="AA1863" t="s">
        <v>10617</v>
      </c>
      <c r="AB1863">
        <v>0</v>
      </c>
      <c r="AE1863">
        <v>0</v>
      </c>
      <c r="AF1863">
        <v>1</v>
      </c>
      <c r="AG1863">
        <v>1</v>
      </c>
      <c r="AH1863">
        <v>20.01</v>
      </c>
      <c r="AK1863" t="s">
        <v>10966</v>
      </c>
      <c r="AL1863">
        <v>3384</v>
      </c>
      <c r="AR1863">
        <v>1</v>
      </c>
      <c r="AS1863" t="s">
        <v>11120</v>
      </c>
      <c r="AT1863" t="s">
        <v>11194</v>
      </c>
      <c r="AV1863" t="s">
        <v>11231</v>
      </c>
      <c r="AW1863" t="s">
        <v>11149</v>
      </c>
    </row>
    <row r="1864" spans="1:49">
      <c r="A1864" s="1">
        <f>HYPERLINK("https://lsnyc.legalserver.org/matter/dynamic-profile/view/1904854","19-1904854")</f>
        <v>0</v>
      </c>
      <c r="B1864" t="s">
        <v>239</v>
      </c>
      <c r="C1864" t="s">
        <v>808</v>
      </c>
      <c r="D1864" t="s">
        <v>1420</v>
      </c>
      <c r="E1864" t="s">
        <v>4747</v>
      </c>
      <c r="G1864" t="s">
        <v>5637</v>
      </c>
      <c r="H1864">
        <v>11236</v>
      </c>
      <c r="I1864" t="s">
        <v>5696</v>
      </c>
      <c r="J1864" t="s">
        <v>5696</v>
      </c>
      <c r="O1864" t="s">
        <v>6775</v>
      </c>
      <c r="R1864" t="s">
        <v>6799</v>
      </c>
      <c r="U1864">
        <v>0</v>
      </c>
      <c r="V1864" t="s">
        <v>6835</v>
      </c>
      <c r="Y1864" t="s">
        <v>8587</v>
      </c>
      <c r="AA1864" t="s">
        <v>10618</v>
      </c>
      <c r="AB1864">
        <v>0</v>
      </c>
      <c r="AE1864">
        <v>0</v>
      </c>
      <c r="AF1864">
        <v>2</v>
      </c>
      <c r="AG1864">
        <v>0</v>
      </c>
      <c r="AH1864">
        <v>208.16</v>
      </c>
      <c r="AL1864">
        <v>35200</v>
      </c>
      <c r="AR1864">
        <v>2</v>
      </c>
      <c r="AS1864" t="s">
        <v>6819</v>
      </c>
      <c r="AT1864" t="s">
        <v>128</v>
      </c>
      <c r="AV1864" t="s">
        <v>11231</v>
      </c>
      <c r="AW1864" t="s">
        <v>6816</v>
      </c>
    </row>
    <row r="1865" spans="1:49">
      <c r="A1865" s="1">
        <f>HYPERLINK("https://lsnyc.legalserver.org/matter/dynamic-profile/view/1902889","19-1902889")</f>
        <v>0</v>
      </c>
      <c r="B1865" t="s">
        <v>152</v>
      </c>
      <c r="C1865" t="s">
        <v>1462</v>
      </c>
      <c r="D1865" t="s">
        <v>2850</v>
      </c>
      <c r="E1865" t="s">
        <v>4748</v>
      </c>
      <c r="G1865" t="s">
        <v>5635</v>
      </c>
      <c r="H1865">
        <v>10469</v>
      </c>
      <c r="I1865" t="s">
        <v>5696</v>
      </c>
      <c r="J1865" t="s">
        <v>5696</v>
      </c>
      <c r="O1865" t="s">
        <v>6784</v>
      </c>
      <c r="R1865" t="s">
        <v>6798</v>
      </c>
      <c r="U1865">
        <v>0</v>
      </c>
      <c r="V1865" t="s">
        <v>6833</v>
      </c>
      <c r="Y1865" t="s">
        <v>8588</v>
      </c>
      <c r="AA1865" t="s">
        <v>10619</v>
      </c>
      <c r="AB1865">
        <v>0</v>
      </c>
      <c r="AE1865">
        <v>0</v>
      </c>
      <c r="AF1865">
        <v>4</v>
      </c>
      <c r="AG1865">
        <v>0</v>
      </c>
      <c r="AH1865">
        <v>480</v>
      </c>
      <c r="AK1865" t="s">
        <v>10966</v>
      </c>
      <c r="AL1865">
        <v>123600</v>
      </c>
      <c r="AR1865">
        <v>4</v>
      </c>
      <c r="AS1865" t="s">
        <v>6811</v>
      </c>
      <c r="AT1865" t="s">
        <v>296</v>
      </c>
      <c r="AV1865" t="s">
        <v>11231</v>
      </c>
      <c r="AW1865" t="s">
        <v>11131</v>
      </c>
    </row>
    <row r="1866" spans="1:49">
      <c r="A1866" s="1">
        <f>HYPERLINK("https://lsnyc.legalserver.org/matter/dynamic-profile/view/1901815","19-1901815")</f>
        <v>0</v>
      </c>
      <c r="B1866" t="s">
        <v>152</v>
      </c>
      <c r="C1866" t="s">
        <v>1463</v>
      </c>
      <c r="D1866" t="s">
        <v>2851</v>
      </c>
      <c r="E1866" t="s">
        <v>4749</v>
      </c>
      <c r="G1866" t="s">
        <v>5635</v>
      </c>
      <c r="H1866">
        <v>10460</v>
      </c>
      <c r="I1866" t="s">
        <v>5696</v>
      </c>
      <c r="J1866" t="s">
        <v>5696</v>
      </c>
      <c r="O1866" t="s">
        <v>6784</v>
      </c>
      <c r="R1866" t="s">
        <v>6798</v>
      </c>
      <c r="U1866">
        <v>0</v>
      </c>
      <c r="V1866" t="s">
        <v>6833</v>
      </c>
      <c r="Y1866" t="s">
        <v>8589</v>
      </c>
      <c r="AA1866" t="s">
        <v>10620</v>
      </c>
      <c r="AB1866">
        <v>0</v>
      </c>
      <c r="AE1866">
        <v>0</v>
      </c>
      <c r="AF1866">
        <v>5</v>
      </c>
      <c r="AG1866">
        <v>1</v>
      </c>
      <c r="AH1866">
        <v>70.42</v>
      </c>
      <c r="AK1866" t="s">
        <v>10966</v>
      </c>
      <c r="AL1866">
        <v>24360</v>
      </c>
      <c r="AR1866">
        <v>2.5</v>
      </c>
      <c r="AS1866" t="s">
        <v>6814</v>
      </c>
      <c r="AT1866" t="s">
        <v>296</v>
      </c>
      <c r="AV1866" t="s">
        <v>11231</v>
      </c>
      <c r="AW1866" t="s">
        <v>11149</v>
      </c>
    </row>
    <row r="1867" spans="1:49">
      <c r="A1867" s="1">
        <f>HYPERLINK("https://lsnyc.legalserver.org/matter/dynamic-profile/view/1906205","19-1906205")</f>
        <v>0</v>
      </c>
      <c r="B1867" t="s">
        <v>225</v>
      </c>
      <c r="C1867" t="s">
        <v>624</v>
      </c>
      <c r="D1867" t="s">
        <v>480</v>
      </c>
      <c r="E1867" t="s">
        <v>4750</v>
      </c>
      <c r="G1867" t="s">
        <v>5657</v>
      </c>
      <c r="H1867">
        <v>11412</v>
      </c>
      <c r="I1867" t="s">
        <v>5696</v>
      </c>
      <c r="J1867" t="s">
        <v>5696</v>
      </c>
      <c r="O1867" t="s">
        <v>6778</v>
      </c>
      <c r="R1867" t="s">
        <v>6798</v>
      </c>
      <c r="U1867">
        <v>0</v>
      </c>
      <c r="V1867" t="s">
        <v>6837</v>
      </c>
      <c r="Y1867" t="s">
        <v>8590</v>
      </c>
      <c r="AA1867" t="s">
        <v>10621</v>
      </c>
      <c r="AB1867">
        <v>0</v>
      </c>
      <c r="AE1867">
        <v>0</v>
      </c>
      <c r="AF1867">
        <v>3</v>
      </c>
      <c r="AG1867">
        <v>0</v>
      </c>
      <c r="AH1867">
        <v>67.51000000000001</v>
      </c>
      <c r="AL1867">
        <v>14400</v>
      </c>
      <c r="AR1867">
        <v>0</v>
      </c>
      <c r="AT1867" t="s">
        <v>146</v>
      </c>
      <c r="AV1867" t="s">
        <v>11231</v>
      </c>
      <c r="AW1867" t="s">
        <v>6821</v>
      </c>
    </row>
    <row r="1868" spans="1:49">
      <c r="A1868" s="1">
        <f>HYPERLINK("https://lsnyc.legalserver.org/matter/dynamic-profile/view/1904650","19-1904650")</f>
        <v>0</v>
      </c>
      <c r="B1868" t="s">
        <v>151</v>
      </c>
      <c r="C1868" t="s">
        <v>1464</v>
      </c>
      <c r="D1868" t="s">
        <v>2852</v>
      </c>
      <c r="E1868" t="s">
        <v>4751</v>
      </c>
      <c r="G1868" t="s">
        <v>5637</v>
      </c>
      <c r="H1868">
        <v>11208</v>
      </c>
      <c r="I1868" t="s">
        <v>5696</v>
      </c>
      <c r="J1868" t="s">
        <v>5696</v>
      </c>
      <c r="O1868" t="s">
        <v>6780</v>
      </c>
      <c r="R1868" t="s">
        <v>6799</v>
      </c>
      <c r="U1868">
        <v>0</v>
      </c>
      <c r="V1868" t="s">
        <v>6835</v>
      </c>
      <c r="Y1868" t="s">
        <v>8591</v>
      </c>
      <c r="AA1868" t="s">
        <v>10622</v>
      </c>
      <c r="AB1868">
        <v>0</v>
      </c>
      <c r="AE1868">
        <v>0</v>
      </c>
      <c r="AF1868">
        <v>3</v>
      </c>
      <c r="AG1868">
        <v>0</v>
      </c>
      <c r="AH1868">
        <v>590.47</v>
      </c>
      <c r="AL1868">
        <v>125947.54</v>
      </c>
      <c r="AR1868">
        <v>4.3</v>
      </c>
      <c r="AS1868" t="s">
        <v>6820</v>
      </c>
      <c r="AT1868" t="s">
        <v>128</v>
      </c>
      <c r="AV1868" t="s">
        <v>11231</v>
      </c>
      <c r="AW1868" t="s">
        <v>6809</v>
      </c>
    </row>
    <row r="1869" spans="1:49">
      <c r="A1869" s="1">
        <f>HYPERLINK("https://lsnyc.legalserver.org/matter/dynamic-profile/view/1899134","19-1899134")</f>
        <v>0</v>
      </c>
      <c r="B1869" t="s">
        <v>116</v>
      </c>
      <c r="C1869" t="s">
        <v>1465</v>
      </c>
      <c r="D1869" t="s">
        <v>2853</v>
      </c>
      <c r="E1869" t="s">
        <v>4752</v>
      </c>
      <c r="G1869" t="s">
        <v>5640</v>
      </c>
      <c r="H1869">
        <v>11421</v>
      </c>
      <c r="I1869" t="s">
        <v>5696</v>
      </c>
      <c r="J1869" t="s">
        <v>5696</v>
      </c>
      <c r="O1869" t="s">
        <v>6767</v>
      </c>
      <c r="R1869" t="s">
        <v>6798</v>
      </c>
      <c r="U1869">
        <v>0</v>
      </c>
      <c r="V1869" t="s">
        <v>6837</v>
      </c>
      <c r="Y1869" t="s">
        <v>8592</v>
      </c>
      <c r="AA1869" t="s">
        <v>10623</v>
      </c>
      <c r="AB1869">
        <v>0</v>
      </c>
      <c r="AE1869">
        <v>0</v>
      </c>
      <c r="AF1869">
        <v>1</v>
      </c>
      <c r="AG1869">
        <v>1</v>
      </c>
      <c r="AH1869">
        <v>255.47</v>
      </c>
      <c r="AK1869" t="s">
        <v>10966</v>
      </c>
      <c r="AL1869">
        <v>43200</v>
      </c>
      <c r="AR1869">
        <v>2.65</v>
      </c>
      <c r="AS1869" t="s">
        <v>6816</v>
      </c>
      <c r="AT1869" t="s">
        <v>11180</v>
      </c>
      <c r="AV1869" t="s">
        <v>11231</v>
      </c>
      <c r="AW1869" t="s">
        <v>11134</v>
      </c>
    </row>
    <row r="1870" spans="1:49">
      <c r="A1870" s="1">
        <f>HYPERLINK("https://lsnyc.legalserver.org/matter/dynamic-profile/view/1902799","19-1902799")</f>
        <v>0</v>
      </c>
      <c r="B1870" t="s">
        <v>116</v>
      </c>
      <c r="C1870" t="s">
        <v>1466</v>
      </c>
      <c r="D1870" t="s">
        <v>2854</v>
      </c>
      <c r="E1870" t="s">
        <v>4753</v>
      </c>
      <c r="G1870" t="s">
        <v>5672</v>
      </c>
      <c r="H1870">
        <v>11411</v>
      </c>
      <c r="I1870" t="s">
        <v>5696</v>
      </c>
      <c r="J1870" t="s">
        <v>5696</v>
      </c>
      <c r="O1870" t="s">
        <v>6778</v>
      </c>
      <c r="R1870" t="s">
        <v>6798</v>
      </c>
      <c r="U1870">
        <v>0</v>
      </c>
      <c r="V1870" t="s">
        <v>6837</v>
      </c>
      <c r="Y1870" t="s">
        <v>8593</v>
      </c>
      <c r="AA1870" t="s">
        <v>10624</v>
      </c>
      <c r="AB1870">
        <v>0</v>
      </c>
      <c r="AE1870">
        <v>0</v>
      </c>
      <c r="AF1870">
        <v>2</v>
      </c>
      <c r="AG1870">
        <v>0</v>
      </c>
      <c r="AH1870">
        <v>153.76</v>
      </c>
      <c r="AK1870" t="s">
        <v>10966</v>
      </c>
      <c r="AL1870">
        <v>26000</v>
      </c>
      <c r="AR1870">
        <v>5</v>
      </c>
      <c r="AS1870" t="s">
        <v>6827</v>
      </c>
      <c r="AT1870" t="s">
        <v>11210</v>
      </c>
      <c r="AV1870" t="s">
        <v>11231</v>
      </c>
      <c r="AW1870" t="s">
        <v>11133</v>
      </c>
    </row>
    <row r="1871" spans="1:49">
      <c r="A1871" s="1">
        <f>HYPERLINK("https://lsnyc.legalserver.org/matter/dynamic-profile/view/1901064","19-1901064")</f>
        <v>0</v>
      </c>
      <c r="B1871" t="s">
        <v>260</v>
      </c>
      <c r="C1871" t="s">
        <v>663</v>
      </c>
      <c r="D1871" t="s">
        <v>2855</v>
      </c>
      <c r="E1871" t="s">
        <v>4754</v>
      </c>
      <c r="G1871" t="s">
        <v>5644</v>
      </c>
      <c r="H1871">
        <v>11434</v>
      </c>
      <c r="I1871" t="s">
        <v>5696</v>
      </c>
      <c r="J1871" t="s">
        <v>5696</v>
      </c>
      <c r="O1871" t="s">
        <v>6778</v>
      </c>
      <c r="R1871" t="s">
        <v>6798</v>
      </c>
      <c r="U1871">
        <v>0</v>
      </c>
      <c r="V1871" t="s">
        <v>6837</v>
      </c>
      <c r="Y1871" t="s">
        <v>8594</v>
      </c>
      <c r="AA1871" t="s">
        <v>10625</v>
      </c>
      <c r="AB1871">
        <v>0</v>
      </c>
      <c r="AE1871">
        <v>0</v>
      </c>
      <c r="AF1871">
        <v>1</v>
      </c>
      <c r="AG1871">
        <v>0</v>
      </c>
      <c r="AH1871">
        <v>68.02</v>
      </c>
      <c r="AK1871" t="s">
        <v>10966</v>
      </c>
      <c r="AL1871">
        <v>8496</v>
      </c>
      <c r="AR1871">
        <v>5.9</v>
      </c>
      <c r="AS1871" t="s">
        <v>6826</v>
      </c>
      <c r="AT1871" t="s">
        <v>260</v>
      </c>
      <c r="AV1871" t="s">
        <v>11231</v>
      </c>
      <c r="AW1871" t="s">
        <v>11120</v>
      </c>
    </row>
    <row r="1872" spans="1:49">
      <c r="A1872" s="1">
        <f>HYPERLINK("https://lsnyc.legalserver.org/matter/dynamic-profile/view/1905974","19-1905974")</f>
        <v>0</v>
      </c>
      <c r="B1872" t="s">
        <v>68</v>
      </c>
      <c r="C1872" t="s">
        <v>419</v>
      </c>
      <c r="D1872" t="s">
        <v>2856</v>
      </c>
      <c r="E1872" t="s">
        <v>4755</v>
      </c>
      <c r="F1872" t="s">
        <v>5593</v>
      </c>
      <c r="G1872" t="s">
        <v>5637</v>
      </c>
      <c r="H1872">
        <v>11225</v>
      </c>
      <c r="I1872" t="s">
        <v>5696</v>
      </c>
      <c r="J1872" t="s">
        <v>5696</v>
      </c>
      <c r="O1872" t="s">
        <v>6748</v>
      </c>
      <c r="R1872" t="s">
        <v>6795</v>
      </c>
      <c r="U1872">
        <v>700</v>
      </c>
      <c r="V1872" t="s">
        <v>6835</v>
      </c>
      <c r="W1872" t="s">
        <v>6853</v>
      </c>
      <c r="Y1872" t="s">
        <v>7569</v>
      </c>
      <c r="AA1872" t="s">
        <v>10626</v>
      </c>
      <c r="AB1872">
        <v>192</v>
      </c>
      <c r="AC1872" t="s">
        <v>10934</v>
      </c>
      <c r="AD1872" t="s">
        <v>10944</v>
      </c>
      <c r="AE1872">
        <v>18</v>
      </c>
      <c r="AF1872">
        <v>2</v>
      </c>
      <c r="AG1872">
        <v>0</v>
      </c>
      <c r="AH1872">
        <v>49.53</v>
      </c>
      <c r="AK1872" t="s">
        <v>10966</v>
      </c>
      <c r="AL1872">
        <v>8376</v>
      </c>
      <c r="AR1872">
        <v>0.5</v>
      </c>
      <c r="AS1872" t="s">
        <v>6826</v>
      </c>
      <c r="AT1872" t="s">
        <v>11183</v>
      </c>
      <c r="AV1872" t="s">
        <v>11231</v>
      </c>
      <c r="AW1872" t="s">
        <v>6826</v>
      </c>
    </row>
    <row r="1873" spans="1:49">
      <c r="A1873" s="1">
        <f>HYPERLINK("https://lsnyc.legalserver.org/matter/dynamic-profile/view/1901751","19-1901751")</f>
        <v>0</v>
      </c>
      <c r="B1873" t="s">
        <v>294</v>
      </c>
      <c r="C1873" t="s">
        <v>1467</v>
      </c>
      <c r="D1873" t="s">
        <v>2857</v>
      </c>
      <c r="E1873" t="s">
        <v>4756</v>
      </c>
      <c r="F1873" t="s">
        <v>5180</v>
      </c>
      <c r="G1873" t="s">
        <v>5635</v>
      </c>
      <c r="H1873">
        <v>10456</v>
      </c>
      <c r="I1873" t="s">
        <v>5696</v>
      </c>
      <c r="J1873" t="s">
        <v>5696</v>
      </c>
      <c r="O1873" t="s">
        <v>6789</v>
      </c>
      <c r="R1873" t="s">
        <v>6793</v>
      </c>
      <c r="U1873">
        <v>0</v>
      </c>
      <c r="V1873" t="s">
        <v>6836</v>
      </c>
      <c r="Y1873" t="s">
        <v>8595</v>
      </c>
      <c r="AA1873" t="s">
        <v>10627</v>
      </c>
      <c r="AB1873">
        <v>0</v>
      </c>
      <c r="AE1873">
        <v>0</v>
      </c>
      <c r="AF1873">
        <v>1</v>
      </c>
      <c r="AG1873">
        <v>1</v>
      </c>
      <c r="AH1873">
        <v>16.46</v>
      </c>
      <c r="AK1873" t="s">
        <v>10967</v>
      </c>
      <c r="AL1873">
        <v>2784</v>
      </c>
      <c r="AR1873">
        <v>0.1</v>
      </c>
      <c r="AS1873" t="s">
        <v>11175</v>
      </c>
      <c r="AT1873" t="s">
        <v>11194</v>
      </c>
      <c r="AV1873" t="s">
        <v>11231</v>
      </c>
      <c r="AW1873" t="s">
        <v>11149</v>
      </c>
    </row>
    <row r="1874" spans="1:49">
      <c r="A1874" s="1">
        <f>HYPERLINK("https://lsnyc.legalserver.org/matter/dynamic-profile/view/1906011","19-1906011")</f>
        <v>0</v>
      </c>
      <c r="B1874" t="s">
        <v>116</v>
      </c>
      <c r="C1874" t="s">
        <v>1468</v>
      </c>
      <c r="D1874" t="s">
        <v>2858</v>
      </c>
      <c r="E1874" t="s">
        <v>4757</v>
      </c>
      <c r="G1874" t="s">
        <v>5675</v>
      </c>
      <c r="H1874">
        <v>11429</v>
      </c>
      <c r="I1874" t="s">
        <v>5696</v>
      </c>
      <c r="J1874" t="s">
        <v>5696</v>
      </c>
      <c r="O1874" t="s">
        <v>6778</v>
      </c>
      <c r="R1874" t="s">
        <v>6798</v>
      </c>
      <c r="U1874">
        <v>0</v>
      </c>
      <c r="V1874" t="s">
        <v>6837</v>
      </c>
      <c r="Y1874" t="s">
        <v>8596</v>
      </c>
      <c r="AA1874" t="s">
        <v>10628</v>
      </c>
      <c r="AB1874">
        <v>0</v>
      </c>
      <c r="AE1874">
        <v>0</v>
      </c>
      <c r="AF1874">
        <v>1</v>
      </c>
      <c r="AG1874">
        <v>0</v>
      </c>
      <c r="AH1874">
        <v>48.04</v>
      </c>
      <c r="AK1874" t="s">
        <v>10966</v>
      </c>
      <c r="AL1874">
        <v>6000</v>
      </c>
      <c r="AR1874">
        <v>3.1</v>
      </c>
      <c r="AS1874" t="s">
        <v>6827</v>
      </c>
      <c r="AT1874" t="s">
        <v>11203</v>
      </c>
      <c r="AV1874" t="s">
        <v>11231</v>
      </c>
      <c r="AW1874" t="s">
        <v>6826</v>
      </c>
    </row>
    <row r="1875" spans="1:49">
      <c r="A1875" s="1">
        <f>HYPERLINK("https://lsnyc.legalserver.org/matter/dynamic-profile/view/1903315","19-1903315")</f>
        <v>0</v>
      </c>
      <c r="B1875" t="s">
        <v>137</v>
      </c>
      <c r="C1875" t="s">
        <v>1469</v>
      </c>
      <c r="D1875" t="s">
        <v>1976</v>
      </c>
      <c r="E1875" t="s">
        <v>4758</v>
      </c>
      <c r="F1875" t="s">
        <v>5594</v>
      </c>
      <c r="G1875" t="s">
        <v>5635</v>
      </c>
      <c r="H1875">
        <v>10461</v>
      </c>
      <c r="I1875" t="s">
        <v>5696</v>
      </c>
      <c r="J1875" t="s">
        <v>5696</v>
      </c>
      <c r="O1875" t="s">
        <v>6758</v>
      </c>
      <c r="R1875" t="s">
        <v>6793</v>
      </c>
      <c r="U1875">
        <v>1350</v>
      </c>
      <c r="V1875" t="s">
        <v>6833</v>
      </c>
      <c r="W1875" t="s">
        <v>6841</v>
      </c>
      <c r="Y1875" t="s">
        <v>8597</v>
      </c>
      <c r="AA1875" t="s">
        <v>10629</v>
      </c>
      <c r="AB1875">
        <v>3</v>
      </c>
      <c r="AE1875">
        <v>13</v>
      </c>
      <c r="AF1875">
        <v>2</v>
      </c>
      <c r="AG1875">
        <v>0</v>
      </c>
      <c r="AH1875">
        <v>110.14</v>
      </c>
      <c r="AK1875" t="s">
        <v>10966</v>
      </c>
      <c r="AL1875">
        <v>18624</v>
      </c>
      <c r="AR1875">
        <v>0.6</v>
      </c>
      <c r="AS1875" t="s">
        <v>11147</v>
      </c>
      <c r="AT1875" t="s">
        <v>11181</v>
      </c>
      <c r="AV1875" t="s">
        <v>11231</v>
      </c>
      <c r="AW1875" t="s">
        <v>11139</v>
      </c>
    </row>
    <row r="1876" spans="1:49">
      <c r="A1876" s="1">
        <f>HYPERLINK("https://lsnyc.legalserver.org/matter/dynamic-profile/view/1897675","19-1897675")</f>
        <v>0</v>
      </c>
      <c r="B1876" t="s">
        <v>116</v>
      </c>
      <c r="C1876" t="s">
        <v>1470</v>
      </c>
      <c r="D1876" t="s">
        <v>2515</v>
      </c>
      <c r="E1876" t="s">
        <v>4759</v>
      </c>
      <c r="F1876" t="s">
        <v>5263</v>
      </c>
      <c r="G1876" t="s">
        <v>5656</v>
      </c>
      <c r="H1876">
        <v>11413</v>
      </c>
      <c r="I1876" t="s">
        <v>5696</v>
      </c>
      <c r="J1876" t="s">
        <v>5696</v>
      </c>
      <c r="O1876" t="s">
        <v>6778</v>
      </c>
      <c r="R1876" t="s">
        <v>6798</v>
      </c>
      <c r="U1876">
        <v>0</v>
      </c>
      <c r="V1876" t="s">
        <v>6837</v>
      </c>
      <c r="Y1876" t="s">
        <v>8598</v>
      </c>
      <c r="AA1876" t="s">
        <v>10630</v>
      </c>
      <c r="AB1876">
        <v>0</v>
      </c>
      <c r="AE1876">
        <v>0</v>
      </c>
      <c r="AF1876">
        <v>1</v>
      </c>
      <c r="AG1876">
        <v>0</v>
      </c>
      <c r="AH1876">
        <v>163.33</v>
      </c>
      <c r="AK1876" t="s">
        <v>10966</v>
      </c>
      <c r="AL1876">
        <v>20400</v>
      </c>
      <c r="AR1876">
        <v>6.3</v>
      </c>
      <c r="AS1876" t="s">
        <v>6821</v>
      </c>
      <c r="AT1876" t="s">
        <v>11180</v>
      </c>
      <c r="AV1876" t="s">
        <v>11231</v>
      </c>
      <c r="AW1876" t="s">
        <v>11159</v>
      </c>
    </row>
    <row r="1877" spans="1:49">
      <c r="A1877" s="1">
        <f>HYPERLINK("https://lsnyc.legalserver.org/matter/dynamic-profile/view/1899648","19-1899648")</f>
        <v>0</v>
      </c>
      <c r="B1877" t="s">
        <v>205</v>
      </c>
      <c r="C1877" t="s">
        <v>334</v>
      </c>
      <c r="D1877" t="s">
        <v>2681</v>
      </c>
      <c r="E1877" t="s">
        <v>4492</v>
      </c>
      <c r="F1877" t="s">
        <v>5116</v>
      </c>
      <c r="G1877" t="s">
        <v>5637</v>
      </c>
      <c r="H1877">
        <v>11212</v>
      </c>
      <c r="I1877" t="s">
        <v>5696</v>
      </c>
      <c r="J1877" t="s">
        <v>5696</v>
      </c>
      <c r="O1877" t="s">
        <v>6748</v>
      </c>
      <c r="R1877" t="s">
        <v>6793</v>
      </c>
      <c r="U1877">
        <v>1800</v>
      </c>
      <c r="V1877" t="s">
        <v>6835</v>
      </c>
      <c r="Y1877" t="s">
        <v>8323</v>
      </c>
      <c r="AA1877" t="s">
        <v>10631</v>
      </c>
      <c r="AB1877">
        <v>4</v>
      </c>
      <c r="AE1877">
        <v>4</v>
      </c>
      <c r="AF1877">
        <v>4</v>
      </c>
      <c r="AG1877">
        <v>0</v>
      </c>
      <c r="AH1877">
        <v>111.01</v>
      </c>
      <c r="AK1877" t="s">
        <v>10966</v>
      </c>
      <c r="AL1877">
        <v>28584</v>
      </c>
      <c r="AR1877">
        <v>1.2</v>
      </c>
      <c r="AS1877" t="s">
        <v>11148</v>
      </c>
      <c r="AT1877" t="s">
        <v>11192</v>
      </c>
      <c r="AV1877" t="s">
        <v>11231</v>
      </c>
      <c r="AW1877" t="s">
        <v>11128</v>
      </c>
    </row>
    <row r="1878" spans="1:49">
      <c r="A1878" s="1">
        <f>HYPERLINK("https://lsnyc.legalserver.org/matter/dynamic-profile/view/1905035","19-1905035")</f>
        <v>0</v>
      </c>
      <c r="B1878" t="s">
        <v>242</v>
      </c>
      <c r="C1878" t="s">
        <v>745</v>
      </c>
      <c r="D1878" t="s">
        <v>2383</v>
      </c>
      <c r="E1878" t="s">
        <v>4760</v>
      </c>
      <c r="F1878" t="s">
        <v>5595</v>
      </c>
      <c r="G1878" t="s">
        <v>5637</v>
      </c>
      <c r="H1878">
        <v>11226</v>
      </c>
      <c r="I1878" t="s">
        <v>5696</v>
      </c>
      <c r="J1878" t="s">
        <v>5696</v>
      </c>
      <c r="O1878" t="s">
        <v>6755</v>
      </c>
      <c r="R1878" t="s">
        <v>6793</v>
      </c>
      <c r="U1878">
        <v>0</v>
      </c>
      <c r="V1878" t="s">
        <v>6835</v>
      </c>
      <c r="Y1878" t="s">
        <v>8599</v>
      </c>
      <c r="AA1878" t="s">
        <v>10632</v>
      </c>
      <c r="AB1878">
        <v>0</v>
      </c>
      <c r="AE1878">
        <v>0</v>
      </c>
      <c r="AF1878">
        <v>2</v>
      </c>
      <c r="AG1878">
        <v>0</v>
      </c>
      <c r="AH1878">
        <v>1.42</v>
      </c>
      <c r="AK1878" t="s">
        <v>10966</v>
      </c>
      <c r="AL1878">
        <v>240</v>
      </c>
      <c r="AR1878">
        <v>0</v>
      </c>
      <c r="AT1878" t="s">
        <v>280</v>
      </c>
      <c r="AV1878" t="s">
        <v>11231</v>
      </c>
      <c r="AW1878" t="s">
        <v>6814</v>
      </c>
    </row>
    <row r="1879" spans="1:49">
      <c r="A1879" s="1">
        <f>HYPERLINK("https://lsnyc.legalserver.org/matter/dynamic-profile/view/1902772","19-1902772")</f>
        <v>0</v>
      </c>
      <c r="B1879" t="s">
        <v>205</v>
      </c>
      <c r="C1879" t="s">
        <v>1471</v>
      </c>
      <c r="D1879" t="s">
        <v>2859</v>
      </c>
      <c r="E1879" t="s">
        <v>4761</v>
      </c>
      <c r="F1879" t="s">
        <v>5151</v>
      </c>
      <c r="G1879" t="s">
        <v>5637</v>
      </c>
      <c r="H1879">
        <v>11207</v>
      </c>
      <c r="I1879" t="s">
        <v>5696</v>
      </c>
      <c r="J1879" t="s">
        <v>5696</v>
      </c>
      <c r="O1879" t="s">
        <v>6748</v>
      </c>
      <c r="R1879" t="s">
        <v>6794</v>
      </c>
      <c r="U1879">
        <v>147</v>
      </c>
      <c r="V1879" t="s">
        <v>6835</v>
      </c>
      <c r="W1879" t="s">
        <v>6848</v>
      </c>
      <c r="Y1879" t="s">
        <v>8600</v>
      </c>
      <c r="AA1879" t="s">
        <v>10633</v>
      </c>
      <c r="AB1879">
        <v>97</v>
      </c>
      <c r="AE1879">
        <v>7</v>
      </c>
      <c r="AF1879">
        <v>1</v>
      </c>
      <c r="AG1879">
        <v>1</v>
      </c>
      <c r="AH1879">
        <v>81.79000000000001</v>
      </c>
      <c r="AK1879" t="s">
        <v>10966</v>
      </c>
      <c r="AL1879">
        <v>13830</v>
      </c>
      <c r="AR1879">
        <v>0.6</v>
      </c>
      <c r="AS1879" t="s">
        <v>11131</v>
      </c>
      <c r="AT1879" t="s">
        <v>11181</v>
      </c>
      <c r="AV1879" t="s">
        <v>11231</v>
      </c>
      <c r="AW1879" t="s">
        <v>11133</v>
      </c>
    </row>
    <row r="1880" spans="1:49">
      <c r="A1880" s="1">
        <f>HYPERLINK("https://lsnyc.legalserver.org/matter/dynamic-profile/view/1905493","19-1905493")</f>
        <v>0</v>
      </c>
      <c r="B1880" t="s">
        <v>116</v>
      </c>
      <c r="C1880" t="s">
        <v>1472</v>
      </c>
      <c r="D1880" t="s">
        <v>2860</v>
      </c>
      <c r="E1880" t="s">
        <v>4762</v>
      </c>
      <c r="G1880" t="s">
        <v>5642</v>
      </c>
      <c r="H1880">
        <v>11422</v>
      </c>
      <c r="I1880" t="s">
        <v>5696</v>
      </c>
      <c r="J1880" t="s">
        <v>5696</v>
      </c>
      <c r="O1880" t="s">
        <v>6778</v>
      </c>
      <c r="R1880" t="s">
        <v>6798</v>
      </c>
      <c r="U1880">
        <v>0</v>
      </c>
      <c r="V1880" t="s">
        <v>6837</v>
      </c>
      <c r="Y1880" t="s">
        <v>8601</v>
      </c>
      <c r="AA1880" t="s">
        <v>10634</v>
      </c>
      <c r="AB1880">
        <v>0</v>
      </c>
      <c r="AE1880">
        <v>0</v>
      </c>
      <c r="AF1880">
        <v>2</v>
      </c>
      <c r="AG1880">
        <v>0</v>
      </c>
      <c r="AH1880">
        <v>378.47</v>
      </c>
      <c r="AK1880" t="s">
        <v>10966</v>
      </c>
      <c r="AL1880">
        <v>64000</v>
      </c>
      <c r="AR1880">
        <v>4.1</v>
      </c>
      <c r="AS1880" t="s">
        <v>6827</v>
      </c>
      <c r="AT1880" t="s">
        <v>11180</v>
      </c>
      <c r="AV1880" t="s">
        <v>11231</v>
      </c>
      <c r="AW1880" t="s">
        <v>6822</v>
      </c>
    </row>
    <row r="1881" spans="1:49">
      <c r="A1881" s="1">
        <f>HYPERLINK("https://lsnyc.legalserver.org/matter/dynamic-profile/view/1906233","19-1906233")</f>
        <v>0</v>
      </c>
      <c r="B1881" t="s">
        <v>161</v>
      </c>
      <c r="C1881" t="s">
        <v>1473</v>
      </c>
      <c r="D1881" t="s">
        <v>1642</v>
      </c>
      <c r="E1881" t="s">
        <v>4763</v>
      </c>
      <c r="G1881" t="s">
        <v>5675</v>
      </c>
      <c r="H1881">
        <v>11429</v>
      </c>
      <c r="I1881" t="s">
        <v>5696</v>
      </c>
      <c r="J1881" t="s">
        <v>5696</v>
      </c>
      <c r="O1881" t="s">
        <v>6778</v>
      </c>
      <c r="R1881" t="s">
        <v>6798</v>
      </c>
      <c r="U1881">
        <v>0</v>
      </c>
      <c r="V1881" t="s">
        <v>6837</v>
      </c>
      <c r="Y1881" t="s">
        <v>8602</v>
      </c>
      <c r="AA1881" t="s">
        <v>10635</v>
      </c>
      <c r="AB1881">
        <v>0</v>
      </c>
      <c r="AE1881">
        <v>0</v>
      </c>
      <c r="AF1881">
        <v>1</v>
      </c>
      <c r="AG1881">
        <v>2</v>
      </c>
      <c r="AH1881">
        <v>93.11</v>
      </c>
      <c r="AK1881" t="s">
        <v>10966</v>
      </c>
      <c r="AL1881">
        <v>19860</v>
      </c>
      <c r="AR1881">
        <v>0.6</v>
      </c>
      <c r="AS1881" t="s">
        <v>6827</v>
      </c>
      <c r="AT1881" t="s">
        <v>11180</v>
      </c>
      <c r="AV1881" t="s">
        <v>11231</v>
      </c>
      <c r="AW1881" t="s">
        <v>6821</v>
      </c>
    </row>
    <row r="1882" spans="1:49">
      <c r="A1882" s="1">
        <f>HYPERLINK("https://lsnyc.legalserver.org/matter/dynamic-profile/view/1904586","19-1904586")</f>
        <v>0</v>
      </c>
      <c r="B1882" t="s">
        <v>116</v>
      </c>
      <c r="C1882" t="s">
        <v>945</v>
      </c>
      <c r="D1882" t="s">
        <v>2324</v>
      </c>
      <c r="E1882" t="s">
        <v>4764</v>
      </c>
      <c r="G1882" t="s">
        <v>5659</v>
      </c>
      <c r="H1882">
        <v>11413</v>
      </c>
      <c r="I1882" t="s">
        <v>5696</v>
      </c>
      <c r="J1882" t="s">
        <v>5696</v>
      </c>
      <c r="O1882" t="s">
        <v>6778</v>
      </c>
      <c r="R1882" t="s">
        <v>6798</v>
      </c>
      <c r="U1882">
        <v>0</v>
      </c>
      <c r="V1882" t="s">
        <v>6837</v>
      </c>
      <c r="Y1882" t="s">
        <v>7110</v>
      </c>
      <c r="AA1882" t="s">
        <v>10636</v>
      </c>
      <c r="AB1882">
        <v>0</v>
      </c>
      <c r="AE1882">
        <v>0</v>
      </c>
      <c r="AF1882">
        <v>4</v>
      </c>
      <c r="AG1882">
        <v>1</v>
      </c>
      <c r="AH1882">
        <v>270.47</v>
      </c>
      <c r="AK1882" t="s">
        <v>10966</v>
      </c>
      <c r="AL1882">
        <v>81600</v>
      </c>
      <c r="AR1882">
        <v>1.85</v>
      </c>
      <c r="AS1882" t="s">
        <v>6827</v>
      </c>
      <c r="AT1882" t="s">
        <v>11213</v>
      </c>
      <c r="AV1882" t="s">
        <v>11231</v>
      </c>
      <c r="AW1882" t="s">
        <v>6810</v>
      </c>
    </row>
    <row r="1883" spans="1:49">
      <c r="A1883" s="1">
        <f>HYPERLINK("https://lsnyc.legalserver.org/matter/dynamic-profile/view/1902855","19-1902855")</f>
        <v>0</v>
      </c>
      <c r="B1883" t="s">
        <v>295</v>
      </c>
      <c r="C1883" t="s">
        <v>471</v>
      </c>
      <c r="D1883" t="s">
        <v>2861</v>
      </c>
      <c r="E1883" t="s">
        <v>4765</v>
      </c>
      <c r="G1883" t="s">
        <v>5687</v>
      </c>
      <c r="H1883">
        <v>8840</v>
      </c>
      <c r="I1883" t="s">
        <v>5696</v>
      </c>
      <c r="J1883" t="s">
        <v>5696</v>
      </c>
      <c r="O1883" t="s">
        <v>6748</v>
      </c>
      <c r="R1883" t="s">
        <v>6793</v>
      </c>
      <c r="U1883">
        <v>0</v>
      </c>
      <c r="V1883" t="s">
        <v>6836</v>
      </c>
      <c r="Y1883" t="s">
        <v>8603</v>
      </c>
      <c r="AA1883" t="s">
        <v>10637</v>
      </c>
      <c r="AB1883">
        <v>24</v>
      </c>
      <c r="AE1883">
        <v>0</v>
      </c>
      <c r="AF1883">
        <v>1</v>
      </c>
      <c r="AG1883">
        <v>0</v>
      </c>
      <c r="AH1883">
        <v>0</v>
      </c>
      <c r="AK1883" t="s">
        <v>10966</v>
      </c>
      <c r="AL1883">
        <v>0</v>
      </c>
      <c r="AR1883">
        <v>3.6</v>
      </c>
      <c r="AS1883" t="s">
        <v>6808</v>
      </c>
      <c r="AT1883" t="s">
        <v>11181</v>
      </c>
      <c r="AV1883" t="s">
        <v>11231</v>
      </c>
      <c r="AW1883" t="s">
        <v>11131</v>
      </c>
    </row>
    <row r="1884" spans="1:49">
      <c r="A1884" s="1">
        <f>HYPERLINK("https://lsnyc.legalserver.org/matter/dynamic-profile/view/1903018","19-1903018")</f>
        <v>0</v>
      </c>
      <c r="B1884" t="s">
        <v>116</v>
      </c>
      <c r="C1884" t="s">
        <v>683</v>
      </c>
      <c r="D1884" t="s">
        <v>2862</v>
      </c>
      <c r="E1884" t="s">
        <v>4766</v>
      </c>
      <c r="G1884" t="s">
        <v>5675</v>
      </c>
      <c r="H1884">
        <v>11429</v>
      </c>
      <c r="I1884" t="s">
        <v>5696</v>
      </c>
      <c r="J1884" t="s">
        <v>5696</v>
      </c>
      <c r="O1884" t="s">
        <v>6778</v>
      </c>
      <c r="R1884" t="s">
        <v>6798</v>
      </c>
      <c r="U1884">
        <v>0</v>
      </c>
      <c r="V1884" t="s">
        <v>6837</v>
      </c>
      <c r="Y1884" t="s">
        <v>7733</v>
      </c>
      <c r="AA1884" t="s">
        <v>10638</v>
      </c>
      <c r="AB1884">
        <v>0</v>
      </c>
      <c r="AE1884">
        <v>0</v>
      </c>
      <c r="AF1884">
        <v>1</v>
      </c>
      <c r="AG1884">
        <v>0</v>
      </c>
      <c r="AH1884">
        <v>187.35</v>
      </c>
      <c r="AK1884" t="s">
        <v>10966</v>
      </c>
      <c r="AL1884">
        <v>23400</v>
      </c>
      <c r="AR1884">
        <v>3.55</v>
      </c>
      <c r="AS1884" t="s">
        <v>6809</v>
      </c>
      <c r="AT1884" t="s">
        <v>11210</v>
      </c>
      <c r="AV1884" t="s">
        <v>11231</v>
      </c>
      <c r="AW1884" t="s">
        <v>11138</v>
      </c>
    </row>
    <row r="1885" spans="1:49">
      <c r="A1885" s="1">
        <f>HYPERLINK("https://lsnyc.legalserver.org/matter/dynamic-profile/view/1904496","19-1904496")</f>
        <v>0</v>
      </c>
      <c r="B1885" t="s">
        <v>261</v>
      </c>
      <c r="C1885" t="s">
        <v>1474</v>
      </c>
      <c r="D1885" t="s">
        <v>1818</v>
      </c>
      <c r="E1885" t="s">
        <v>4767</v>
      </c>
      <c r="G1885" t="s">
        <v>5688</v>
      </c>
      <c r="H1885">
        <v>11420</v>
      </c>
      <c r="I1885" t="s">
        <v>5696</v>
      </c>
      <c r="J1885" t="s">
        <v>5696</v>
      </c>
      <c r="O1885" t="s">
        <v>6790</v>
      </c>
      <c r="R1885" t="s">
        <v>6797</v>
      </c>
      <c r="U1885">
        <v>0</v>
      </c>
      <c r="V1885" t="s">
        <v>6837</v>
      </c>
      <c r="Y1885" t="s">
        <v>8604</v>
      </c>
      <c r="AA1885" t="s">
        <v>10639</v>
      </c>
      <c r="AB1885">
        <v>0</v>
      </c>
      <c r="AE1885">
        <v>0</v>
      </c>
      <c r="AF1885">
        <v>3</v>
      </c>
      <c r="AG1885">
        <v>0</v>
      </c>
      <c r="AH1885">
        <v>261.6</v>
      </c>
      <c r="AK1885" t="s">
        <v>10966</v>
      </c>
      <c r="AL1885">
        <v>55800</v>
      </c>
      <c r="AR1885">
        <v>0.4</v>
      </c>
      <c r="AS1885" t="s">
        <v>6826</v>
      </c>
      <c r="AT1885" t="s">
        <v>146</v>
      </c>
      <c r="AV1885" t="s">
        <v>11231</v>
      </c>
      <c r="AW1885" t="s">
        <v>6810</v>
      </c>
    </row>
    <row r="1886" spans="1:49">
      <c r="A1886" s="1">
        <f>HYPERLINK("https://lsnyc.legalserver.org/matter/dynamic-profile/view/1904215","19-1904215")</f>
        <v>0</v>
      </c>
      <c r="B1886" t="s">
        <v>163</v>
      </c>
      <c r="C1886" t="s">
        <v>372</v>
      </c>
      <c r="D1886" t="s">
        <v>1043</v>
      </c>
      <c r="E1886" t="s">
        <v>4768</v>
      </c>
      <c r="G1886" t="s">
        <v>5637</v>
      </c>
      <c r="H1886">
        <v>11207</v>
      </c>
      <c r="I1886" t="s">
        <v>5696</v>
      </c>
      <c r="J1886" t="s">
        <v>5696</v>
      </c>
      <c r="O1886" t="s">
        <v>6775</v>
      </c>
      <c r="R1886" t="s">
        <v>6798</v>
      </c>
      <c r="U1886">
        <v>0</v>
      </c>
      <c r="V1886" t="s">
        <v>6835</v>
      </c>
      <c r="Y1886" t="s">
        <v>8605</v>
      </c>
      <c r="AA1886" t="s">
        <v>10640</v>
      </c>
      <c r="AB1886">
        <v>0</v>
      </c>
      <c r="AE1886">
        <v>0</v>
      </c>
      <c r="AF1886">
        <v>4</v>
      </c>
      <c r="AG1886">
        <v>1</v>
      </c>
      <c r="AH1886">
        <v>59.66</v>
      </c>
      <c r="AL1886">
        <v>18000</v>
      </c>
      <c r="AR1886">
        <v>3.3</v>
      </c>
      <c r="AS1886" t="s">
        <v>6823</v>
      </c>
      <c r="AT1886" t="s">
        <v>128</v>
      </c>
      <c r="AV1886" t="s">
        <v>11231</v>
      </c>
      <c r="AW1886" t="s">
        <v>6809</v>
      </c>
    </row>
    <row r="1887" spans="1:49">
      <c r="A1887" s="1">
        <f>HYPERLINK("https://lsnyc.legalserver.org/matter/dynamic-profile/view/1904562","19-1904562")</f>
        <v>0</v>
      </c>
      <c r="B1887" t="s">
        <v>227</v>
      </c>
      <c r="C1887" t="s">
        <v>900</v>
      </c>
      <c r="D1887" t="s">
        <v>2863</v>
      </c>
      <c r="E1887" t="s">
        <v>4769</v>
      </c>
      <c r="F1887" t="s">
        <v>5102</v>
      </c>
      <c r="G1887" t="s">
        <v>5646</v>
      </c>
      <c r="H1887">
        <v>11367</v>
      </c>
      <c r="I1887" t="s">
        <v>5696</v>
      </c>
      <c r="J1887" t="s">
        <v>5696</v>
      </c>
      <c r="O1887" t="s">
        <v>6778</v>
      </c>
      <c r="R1887" t="s">
        <v>6798</v>
      </c>
      <c r="U1887">
        <v>0</v>
      </c>
      <c r="V1887" t="s">
        <v>6837</v>
      </c>
      <c r="Y1887" t="s">
        <v>8244</v>
      </c>
      <c r="AA1887" t="s">
        <v>10641</v>
      </c>
      <c r="AB1887">
        <v>0</v>
      </c>
      <c r="AE1887">
        <v>0</v>
      </c>
      <c r="AF1887">
        <v>1</v>
      </c>
      <c r="AG1887">
        <v>0</v>
      </c>
      <c r="AH1887">
        <v>335.15</v>
      </c>
      <c r="AK1887" t="s">
        <v>10966</v>
      </c>
      <c r="AL1887">
        <v>41860</v>
      </c>
      <c r="AR1887">
        <v>3.9</v>
      </c>
      <c r="AS1887" t="s">
        <v>6823</v>
      </c>
      <c r="AT1887" t="s">
        <v>11181</v>
      </c>
      <c r="AV1887" t="s">
        <v>11231</v>
      </c>
      <c r="AW1887" t="s">
        <v>6810</v>
      </c>
    </row>
    <row r="1888" spans="1:49">
      <c r="A1888" s="1">
        <f>HYPERLINK("https://lsnyc.legalserver.org/matter/dynamic-profile/view/1905441","19-1905441")</f>
        <v>0</v>
      </c>
      <c r="B1888" t="s">
        <v>296</v>
      </c>
      <c r="C1888" t="s">
        <v>1031</v>
      </c>
      <c r="D1888" t="s">
        <v>2864</v>
      </c>
      <c r="E1888" t="s">
        <v>4770</v>
      </c>
      <c r="G1888" t="s">
        <v>5635</v>
      </c>
      <c r="H1888">
        <v>10473</v>
      </c>
      <c r="I1888" t="s">
        <v>5696</v>
      </c>
      <c r="J1888" t="s">
        <v>5696</v>
      </c>
      <c r="O1888" t="s">
        <v>6753</v>
      </c>
      <c r="R1888" t="s">
        <v>6798</v>
      </c>
      <c r="U1888">
        <v>0</v>
      </c>
      <c r="V1888" t="s">
        <v>6833</v>
      </c>
      <c r="Y1888" t="s">
        <v>8087</v>
      </c>
      <c r="AA1888" t="s">
        <v>10642</v>
      </c>
      <c r="AB1888">
        <v>0</v>
      </c>
      <c r="AE1888">
        <v>0</v>
      </c>
      <c r="AF1888">
        <v>2</v>
      </c>
      <c r="AG1888">
        <v>0</v>
      </c>
      <c r="AH1888">
        <v>596.1</v>
      </c>
      <c r="AK1888" t="s">
        <v>10966</v>
      </c>
      <c r="AL1888">
        <v>100800</v>
      </c>
      <c r="AR1888">
        <v>0.5</v>
      </c>
      <c r="AS1888" t="s">
        <v>6822</v>
      </c>
      <c r="AT1888" t="s">
        <v>11181</v>
      </c>
      <c r="AV1888" t="s">
        <v>11231</v>
      </c>
      <c r="AW1888" t="s">
        <v>6822</v>
      </c>
    </row>
    <row r="1889" spans="1:49">
      <c r="A1889" s="1">
        <f>HYPERLINK("https://lsnyc.legalserver.org/matter/dynamic-profile/view/1903619","19-1903619")</f>
        <v>0</v>
      </c>
      <c r="B1889" t="s">
        <v>269</v>
      </c>
      <c r="C1889" t="s">
        <v>731</v>
      </c>
      <c r="D1889" t="s">
        <v>1757</v>
      </c>
      <c r="E1889" t="s">
        <v>4771</v>
      </c>
      <c r="F1889" t="s">
        <v>5161</v>
      </c>
      <c r="G1889" t="s">
        <v>5636</v>
      </c>
      <c r="H1889">
        <v>10301</v>
      </c>
      <c r="I1889" t="s">
        <v>5696</v>
      </c>
      <c r="J1889" t="s">
        <v>5696</v>
      </c>
      <c r="O1889" t="s">
        <v>6745</v>
      </c>
      <c r="P1889" t="s">
        <v>5697</v>
      </c>
      <c r="R1889" t="s">
        <v>6793</v>
      </c>
      <c r="U1889">
        <v>807</v>
      </c>
      <c r="V1889" t="s">
        <v>6834</v>
      </c>
      <c r="Y1889" t="s">
        <v>8606</v>
      </c>
      <c r="AA1889" t="s">
        <v>9203</v>
      </c>
      <c r="AB1889">
        <v>27</v>
      </c>
      <c r="AC1889" t="s">
        <v>8953</v>
      </c>
      <c r="AD1889" t="s">
        <v>10945</v>
      </c>
      <c r="AE1889">
        <v>26</v>
      </c>
      <c r="AF1889">
        <v>1</v>
      </c>
      <c r="AG1889">
        <v>0</v>
      </c>
      <c r="AH1889">
        <v>105.68</v>
      </c>
      <c r="AK1889" t="s">
        <v>10966</v>
      </c>
      <c r="AL1889">
        <v>13200</v>
      </c>
      <c r="AR1889">
        <v>2</v>
      </c>
      <c r="AS1889" t="s">
        <v>6819</v>
      </c>
      <c r="AT1889" t="s">
        <v>11177</v>
      </c>
      <c r="AV1889" t="s">
        <v>11231</v>
      </c>
      <c r="AW1889" t="s">
        <v>6823</v>
      </c>
    </row>
    <row r="1890" spans="1:49">
      <c r="A1890" s="1">
        <f>HYPERLINK("https://lsnyc.legalserver.org/matter/dynamic-profile/view/1903758","19-1903758")</f>
        <v>0</v>
      </c>
      <c r="B1890" t="s">
        <v>260</v>
      </c>
      <c r="C1890" t="s">
        <v>1475</v>
      </c>
      <c r="D1890" t="s">
        <v>2534</v>
      </c>
      <c r="E1890" t="s">
        <v>4772</v>
      </c>
      <c r="G1890" t="s">
        <v>5657</v>
      </c>
      <c r="H1890">
        <v>11412</v>
      </c>
      <c r="I1890" t="s">
        <v>5696</v>
      </c>
      <c r="J1890" t="s">
        <v>5696</v>
      </c>
      <c r="O1890" t="s">
        <v>6778</v>
      </c>
      <c r="R1890" t="s">
        <v>6798</v>
      </c>
      <c r="U1890">
        <v>0</v>
      </c>
      <c r="V1890" t="s">
        <v>6837</v>
      </c>
      <c r="Y1890" t="s">
        <v>8607</v>
      </c>
      <c r="AA1890" t="s">
        <v>10643</v>
      </c>
      <c r="AB1890">
        <v>0</v>
      </c>
      <c r="AE1890">
        <v>0</v>
      </c>
      <c r="AF1890">
        <v>4</v>
      </c>
      <c r="AG1890">
        <v>1</v>
      </c>
      <c r="AH1890">
        <v>47.73</v>
      </c>
      <c r="AK1890" t="s">
        <v>10966</v>
      </c>
      <c r="AL1890">
        <v>14400</v>
      </c>
      <c r="AR1890">
        <v>3.9</v>
      </c>
      <c r="AS1890" t="s">
        <v>6811</v>
      </c>
      <c r="AT1890" t="s">
        <v>260</v>
      </c>
      <c r="AV1890" t="s">
        <v>11231</v>
      </c>
      <c r="AW1890" t="s">
        <v>6811</v>
      </c>
    </row>
    <row r="1891" spans="1:49">
      <c r="A1891" s="1">
        <f>HYPERLINK("https://lsnyc.legalserver.org/matter/dynamic-profile/view/1906085","19-1906085")</f>
        <v>0</v>
      </c>
      <c r="B1891" t="s">
        <v>50</v>
      </c>
      <c r="C1891" t="s">
        <v>1476</v>
      </c>
      <c r="D1891" t="s">
        <v>2000</v>
      </c>
      <c r="E1891" t="s">
        <v>3665</v>
      </c>
      <c r="F1891" t="s">
        <v>5144</v>
      </c>
      <c r="G1891" t="s">
        <v>5635</v>
      </c>
      <c r="H1891">
        <v>10474</v>
      </c>
      <c r="I1891" t="s">
        <v>5695</v>
      </c>
      <c r="J1891" t="s">
        <v>5696</v>
      </c>
      <c r="O1891" t="s">
        <v>6753</v>
      </c>
      <c r="P1891" t="s">
        <v>5695</v>
      </c>
      <c r="R1891" t="s">
        <v>6793</v>
      </c>
      <c r="U1891">
        <v>1350</v>
      </c>
      <c r="V1891" t="s">
        <v>6833</v>
      </c>
      <c r="W1891" t="s">
        <v>6838</v>
      </c>
      <c r="Y1891" t="s">
        <v>8608</v>
      </c>
      <c r="AA1891" t="s">
        <v>10644</v>
      </c>
      <c r="AB1891">
        <v>47</v>
      </c>
      <c r="AC1891" t="s">
        <v>10929</v>
      </c>
      <c r="AD1891" t="s">
        <v>5741</v>
      </c>
      <c r="AE1891">
        <v>2</v>
      </c>
      <c r="AF1891">
        <v>2</v>
      </c>
      <c r="AG1891">
        <v>0</v>
      </c>
      <c r="AH1891">
        <v>680.0700000000001</v>
      </c>
      <c r="AK1891" t="s">
        <v>10987</v>
      </c>
      <c r="AL1891">
        <v>115000</v>
      </c>
      <c r="AR1891">
        <v>0</v>
      </c>
      <c r="AT1891" t="s">
        <v>11196</v>
      </c>
      <c r="AV1891" t="s">
        <v>11231</v>
      </c>
      <c r="AW1891" t="s">
        <v>6820</v>
      </c>
    </row>
    <row r="1892" spans="1:49">
      <c r="A1892" s="1">
        <f>HYPERLINK("https://lsnyc.legalserver.org/matter/dynamic-profile/view/1906237","19-1906237")</f>
        <v>0</v>
      </c>
      <c r="B1892" t="s">
        <v>141</v>
      </c>
      <c r="C1892" t="s">
        <v>963</v>
      </c>
      <c r="D1892" t="s">
        <v>2865</v>
      </c>
      <c r="E1892" t="s">
        <v>4773</v>
      </c>
      <c r="F1892" t="s">
        <v>5109</v>
      </c>
      <c r="G1892" t="s">
        <v>5637</v>
      </c>
      <c r="H1892">
        <v>11237</v>
      </c>
      <c r="I1892" t="s">
        <v>5696</v>
      </c>
      <c r="J1892" t="s">
        <v>5696</v>
      </c>
      <c r="O1892" t="s">
        <v>6748</v>
      </c>
      <c r="R1892" t="s">
        <v>6793</v>
      </c>
      <c r="U1892">
        <v>1089</v>
      </c>
      <c r="V1892" t="s">
        <v>6835</v>
      </c>
      <c r="W1892" t="s">
        <v>6842</v>
      </c>
      <c r="Y1892" t="s">
        <v>8609</v>
      </c>
      <c r="AA1892" t="s">
        <v>10645</v>
      </c>
      <c r="AB1892">
        <v>6</v>
      </c>
      <c r="AC1892" t="s">
        <v>10929</v>
      </c>
      <c r="AD1892" t="s">
        <v>5741</v>
      </c>
      <c r="AE1892">
        <v>8</v>
      </c>
      <c r="AF1892">
        <v>1</v>
      </c>
      <c r="AG1892">
        <v>0</v>
      </c>
      <c r="AH1892">
        <v>152.12</v>
      </c>
      <c r="AK1892" t="s">
        <v>10966</v>
      </c>
      <c r="AL1892">
        <v>19000</v>
      </c>
      <c r="AR1892">
        <v>1.25</v>
      </c>
      <c r="AS1892" t="s">
        <v>6827</v>
      </c>
      <c r="AT1892" t="s">
        <v>11203</v>
      </c>
      <c r="AV1892" t="s">
        <v>11231</v>
      </c>
      <c r="AW1892" t="s">
        <v>6821</v>
      </c>
    </row>
    <row r="1893" spans="1:49">
      <c r="A1893" s="1">
        <f>HYPERLINK("https://lsnyc.legalserver.org/matter/dynamic-profile/view/1896666","19-1896666")</f>
        <v>0</v>
      </c>
      <c r="B1893" t="s">
        <v>152</v>
      </c>
      <c r="C1893" t="s">
        <v>935</v>
      </c>
      <c r="D1893" t="s">
        <v>2866</v>
      </c>
      <c r="E1893" t="s">
        <v>4774</v>
      </c>
      <c r="F1893" t="s">
        <v>5276</v>
      </c>
      <c r="G1893" t="s">
        <v>5635</v>
      </c>
      <c r="H1893">
        <v>10472</v>
      </c>
      <c r="I1893" t="s">
        <v>5696</v>
      </c>
      <c r="J1893" t="s">
        <v>5696</v>
      </c>
      <c r="O1893" t="s">
        <v>6767</v>
      </c>
      <c r="R1893" t="s">
        <v>6798</v>
      </c>
      <c r="U1893">
        <v>0</v>
      </c>
      <c r="V1893" t="s">
        <v>6833</v>
      </c>
      <c r="Y1893" t="s">
        <v>8610</v>
      </c>
      <c r="AA1893" t="s">
        <v>10646</v>
      </c>
      <c r="AB1893">
        <v>0</v>
      </c>
      <c r="AE1893">
        <v>0</v>
      </c>
      <c r="AF1893">
        <v>2</v>
      </c>
      <c r="AG1893">
        <v>0</v>
      </c>
      <c r="AH1893">
        <v>488.47</v>
      </c>
      <c r="AK1893" t="s">
        <v>10966</v>
      </c>
      <c r="AL1893">
        <v>82600</v>
      </c>
      <c r="AR1893">
        <v>4.75</v>
      </c>
      <c r="AS1893" t="s">
        <v>6820</v>
      </c>
      <c r="AT1893" t="s">
        <v>296</v>
      </c>
      <c r="AV1893" t="s">
        <v>11231</v>
      </c>
      <c r="AW1893" t="s">
        <v>11122</v>
      </c>
    </row>
    <row r="1894" spans="1:49">
      <c r="A1894" s="1">
        <f>HYPERLINK("https://lsnyc.legalserver.org/matter/dynamic-profile/view/1897826","19-1897826")</f>
        <v>0</v>
      </c>
      <c r="B1894" t="s">
        <v>293</v>
      </c>
      <c r="C1894" t="s">
        <v>1477</v>
      </c>
      <c r="D1894" t="s">
        <v>2867</v>
      </c>
      <c r="E1894" t="s">
        <v>4775</v>
      </c>
      <c r="G1894" t="s">
        <v>5636</v>
      </c>
      <c r="H1894">
        <v>10305</v>
      </c>
      <c r="I1894" t="s">
        <v>5696</v>
      </c>
      <c r="J1894" t="s">
        <v>5696</v>
      </c>
      <c r="O1894" t="s">
        <v>6779</v>
      </c>
      <c r="R1894" t="s">
        <v>6799</v>
      </c>
      <c r="U1894">
        <v>0</v>
      </c>
      <c r="V1894" t="s">
        <v>6834</v>
      </c>
      <c r="Y1894" t="s">
        <v>7509</v>
      </c>
      <c r="AA1894" t="s">
        <v>10647</v>
      </c>
      <c r="AB1894">
        <v>0</v>
      </c>
      <c r="AE1894">
        <v>0</v>
      </c>
      <c r="AF1894">
        <v>3</v>
      </c>
      <c r="AG1894">
        <v>0</v>
      </c>
      <c r="AH1894">
        <v>168.25</v>
      </c>
      <c r="AK1894" t="s">
        <v>10966</v>
      </c>
      <c r="AL1894">
        <v>35888.4</v>
      </c>
      <c r="AR1894">
        <v>2.5</v>
      </c>
      <c r="AS1894" t="s">
        <v>6823</v>
      </c>
      <c r="AT1894" t="s">
        <v>11211</v>
      </c>
      <c r="AV1894" t="s">
        <v>11231</v>
      </c>
      <c r="AW1894" t="s">
        <v>10957</v>
      </c>
    </row>
    <row r="1895" spans="1:49">
      <c r="A1895" s="1">
        <f>HYPERLINK("https://lsnyc.legalserver.org/matter/dynamic-profile/view/1900869","19-1900869")</f>
        <v>0</v>
      </c>
      <c r="B1895" t="s">
        <v>77</v>
      </c>
      <c r="C1895" t="s">
        <v>441</v>
      </c>
      <c r="D1895" t="s">
        <v>2868</v>
      </c>
      <c r="E1895" t="s">
        <v>4776</v>
      </c>
      <c r="F1895" t="s">
        <v>5140</v>
      </c>
      <c r="G1895" t="s">
        <v>5637</v>
      </c>
      <c r="H1895">
        <v>11237</v>
      </c>
      <c r="I1895" t="s">
        <v>5696</v>
      </c>
      <c r="J1895" t="s">
        <v>5696</v>
      </c>
      <c r="O1895" t="s">
        <v>6745</v>
      </c>
      <c r="R1895" t="s">
        <v>6793</v>
      </c>
      <c r="U1895">
        <v>0</v>
      </c>
      <c r="V1895" t="s">
        <v>6835</v>
      </c>
      <c r="Y1895" t="s">
        <v>8611</v>
      </c>
      <c r="AA1895" t="s">
        <v>10648</v>
      </c>
      <c r="AB1895">
        <v>0</v>
      </c>
      <c r="AE1895">
        <v>0</v>
      </c>
      <c r="AF1895">
        <v>1</v>
      </c>
      <c r="AG1895">
        <v>0</v>
      </c>
      <c r="AH1895">
        <v>0</v>
      </c>
      <c r="AK1895" t="s">
        <v>10966</v>
      </c>
      <c r="AL1895">
        <v>0</v>
      </c>
      <c r="AR1895">
        <v>0.7</v>
      </c>
      <c r="AS1895" t="s">
        <v>11116</v>
      </c>
      <c r="AT1895" t="s">
        <v>77</v>
      </c>
      <c r="AV1895" t="s">
        <v>11231</v>
      </c>
      <c r="AW1895" t="s">
        <v>11157</v>
      </c>
    </row>
    <row r="1896" spans="1:49">
      <c r="A1896" s="1">
        <f>HYPERLINK("https://lsnyc.legalserver.org/matter/dynamic-profile/view/1906199","19-1906199")</f>
        <v>0</v>
      </c>
      <c r="B1896" t="s">
        <v>278</v>
      </c>
      <c r="C1896" t="s">
        <v>1478</v>
      </c>
      <c r="D1896" t="s">
        <v>2869</v>
      </c>
      <c r="E1896" t="s">
        <v>4777</v>
      </c>
      <c r="F1896" t="s">
        <v>5596</v>
      </c>
      <c r="G1896" t="s">
        <v>5637</v>
      </c>
      <c r="H1896">
        <v>11215</v>
      </c>
      <c r="I1896" t="s">
        <v>5696</v>
      </c>
      <c r="J1896" t="s">
        <v>5696</v>
      </c>
      <c r="O1896" t="s">
        <v>6748</v>
      </c>
      <c r="R1896" t="s">
        <v>6793</v>
      </c>
      <c r="U1896">
        <v>265</v>
      </c>
      <c r="V1896" t="s">
        <v>6835</v>
      </c>
      <c r="W1896" t="s">
        <v>6844</v>
      </c>
      <c r="Y1896" t="s">
        <v>8612</v>
      </c>
      <c r="AA1896" t="s">
        <v>10649</v>
      </c>
      <c r="AB1896">
        <v>250</v>
      </c>
      <c r="AC1896" t="s">
        <v>10932</v>
      </c>
      <c r="AD1896" t="s">
        <v>10944</v>
      </c>
      <c r="AE1896">
        <v>19</v>
      </c>
      <c r="AF1896">
        <v>1</v>
      </c>
      <c r="AG1896">
        <v>0</v>
      </c>
      <c r="AH1896">
        <v>84.84</v>
      </c>
      <c r="AK1896" t="s">
        <v>10966</v>
      </c>
      <c r="AL1896">
        <v>10596</v>
      </c>
      <c r="AR1896">
        <v>1</v>
      </c>
      <c r="AS1896" t="s">
        <v>6821</v>
      </c>
      <c r="AT1896" t="s">
        <v>11203</v>
      </c>
      <c r="AV1896" t="s">
        <v>11231</v>
      </c>
      <c r="AW1896" t="s">
        <v>6821</v>
      </c>
    </row>
    <row r="1897" spans="1:49">
      <c r="A1897" s="1">
        <f>HYPERLINK("https://lsnyc.legalserver.org/matter/dynamic-profile/view/1900367","19-1900367")</f>
        <v>0</v>
      </c>
      <c r="B1897" t="s">
        <v>116</v>
      </c>
      <c r="C1897" t="s">
        <v>1479</v>
      </c>
      <c r="D1897" t="s">
        <v>2870</v>
      </c>
      <c r="E1897" t="s">
        <v>4778</v>
      </c>
      <c r="G1897" t="s">
        <v>5657</v>
      </c>
      <c r="H1897">
        <v>11412</v>
      </c>
      <c r="I1897" t="s">
        <v>5696</v>
      </c>
      <c r="J1897" t="s">
        <v>5696</v>
      </c>
      <c r="O1897" t="s">
        <v>6767</v>
      </c>
      <c r="R1897" t="s">
        <v>6799</v>
      </c>
      <c r="U1897">
        <v>0</v>
      </c>
      <c r="V1897" t="s">
        <v>6837</v>
      </c>
      <c r="Y1897" t="s">
        <v>8613</v>
      </c>
      <c r="AA1897" t="s">
        <v>10650</v>
      </c>
      <c r="AB1897">
        <v>0</v>
      </c>
      <c r="AE1897">
        <v>0</v>
      </c>
      <c r="AF1897">
        <v>2</v>
      </c>
      <c r="AG1897">
        <v>2</v>
      </c>
      <c r="AH1897">
        <v>260.97</v>
      </c>
      <c r="AK1897" t="s">
        <v>10966</v>
      </c>
      <c r="AL1897">
        <v>67200</v>
      </c>
      <c r="AR1897">
        <v>3</v>
      </c>
      <c r="AS1897" t="s">
        <v>6816</v>
      </c>
      <c r="AT1897" t="s">
        <v>11189</v>
      </c>
      <c r="AV1897" t="s">
        <v>11231</v>
      </c>
      <c r="AW1897" t="s">
        <v>11155</v>
      </c>
    </row>
    <row r="1898" spans="1:49">
      <c r="A1898" s="1">
        <f>HYPERLINK("https://lsnyc.legalserver.org/matter/dynamic-profile/view/1905252","19-1905252")</f>
        <v>0</v>
      </c>
      <c r="B1898" t="s">
        <v>116</v>
      </c>
      <c r="C1898" t="s">
        <v>1480</v>
      </c>
      <c r="D1898" t="s">
        <v>2871</v>
      </c>
      <c r="E1898" t="s">
        <v>4779</v>
      </c>
      <c r="G1898" t="s">
        <v>5646</v>
      </c>
      <c r="H1898">
        <v>11358</v>
      </c>
      <c r="I1898" t="s">
        <v>5696</v>
      </c>
      <c r="J1898" t="s">
        <v>5696</v>
      </c>
      <c r="O1898" t="s">
        <v>6778</v>
      </c>
      <c r="R1898" t="s">
        <v>6798</v>
      </c>
      <c r="U1898">
        <v>0</v>
      </c>
      <c r="V1898" t="s">
        <v>6837</v>
      </c>
      <c r="Y1898" t="s">
        <v>8614</v>
      </c>
      <c r="AA1898" t="s">
        <v>10651</v>
      </c>
      <c r="AB1898">
        <v>0</v>
      </c>
      <c r="AE1898">
        <v>0</v>
      </c>
      <c r="AF1898">
        <v>1</v>
      </c>
      <c r="AG1898">
        <v>0</v>
      </c>
      <c r="AH1898">
        <v>101.7</v>
      </c>
      <c r="AK1898" t="s">
        <v>10966</v>
      </c>
      <c r="AL1898">
        <v>12702.12</v>
      </c>
      <c r="AR1898">
        <v>2.9</v>
      </c>
      <c r="AS1898" t="s">
        <v>6827</v>
      </c>
      <c r="AT1898" t="s">
        <v>11188</v>
      </c>
      <c r="AV1898" t="s">
        <v>11231</v>
      </c>
      <c r="AW1898" t="s">
        <v>6808</v>
      </c>
    </row>
    <row r="1899" spans="1:49">
      <c r="A1899" s="1">
        <f>HYPERLINK("https://lsnyc.legalserver.org/matter/dynamic-profile/view/1902670","19-1902670")</f>
        <v>0</v>
      </c>
      <c r="B1899" t="s">
        <v>72</v>
      </c>
      <c r="C1899" t="s">
        <v>1481</v>
      </c>
      <c r="D1899" t="s">
        <v>1976</v>
      </c>
      <c r="E1899" t="s">
        <v>4780</v>
      </c>
      <c r="F1899" t="s">
        <v>5215</v>
      </c>
      <c r="G1899" t="s">
        <v>5637</v>
      </c>
      <c r="H1899">
        <v>11206</v>
      </c>
      <c r="I1899" t="s">
        <v>5696</v>
      </c>
      <c r="J1899" t="s">
        <v>5696</v>
      </c>
      <c r="O1899" t="s">
        <v>6773</v>
      </c>
      <c r="R1899" t="s">
        <v>6793</v>
      </c>
      <c r="U1899">
        <v>515</v>
      </c>
      <c r="V1899" t="s">
        <v>6835</v>
      </c>
      <c r="W1899" t="s">
        <v>6843</v>
      </c>
      <c r="Y1899" t="s">
        <v>8615</v>
      </c>
      <c r="AA1899" t="s">
        <v>10652</v>
      </c>
      <c r="AB1899">
        <v>6</v>
      </c>
      <c r="AC1899" t="s">
        <v>10936</v>
      </c>
      <c r="AD1899" t="s">
        <v>5741</v>
      </c>
      <c r="AE1899">
        <v>50</v>
      </c>
      <c r="AF1899">
        <v>2</v>
      </c>
      <c r="AG1899">
        <v>0</v>
      </c>
      <c r="AH1899">
        <v>169.13</v>
      </c>
      <c r="AK1899" t="s">
        <v>10966</v>
      </c>
      <c r="AL1899">
        <v>28600</v>
      </c>
      <c r="AR1899">
        <v>3</v>
      </c>
      <c r="AS1899" t="s">
        <v>6812</v>
      </c>
      <c r="AT1899" t="s">
        <v>11203</v>
      </c>
      <c r="AV1899" t="s">
        <v>11231</v>
      </c>
      <c r="AW1899" t="s">
        <v>11137</v>
      </c>
    </row>
    <row r="1900" spans="1:49">
      <c r="A1900" s="1">
        <f>HYPERLINK("https://lsnyc.legalserver.org/matter/dynamic-profile/view/1905691","19-1905691")</f>
        <v>0</v>
      </c>
      <c r="B1900" t="s">
        <v>69</v>
      </c>
      <c r="C1900" t="s">
        <v>1482</v>
      </c>
      <c r="D1900" t="s">
        <v>2469</v>
      </c>
      <c r="E1900" t="s">
        <v>4781</v>
      </c>
      <c r="F1900" t="s">
        <v>5139</v>
      </c>
      <c r="G1900" t="s">
        <v>5637</v>
      </c>
      <c r="H1900">
        <v>11239</v>
      </c>
      <c r="I1900" t="s">
        <v>5696</v>
      </c>
      <c r="J1900" t="s">
        <v>5696</v>
      </c>
      <c r="K1900" t="s">
        <v>6703</v>
      </c>
      <c r="O1900" t="s">
        <v>6753</v>
      </c>
      <c r="P1900" t="s">
        <v>5695</v>
      </c>
      <c r="R1900" t="s">
        <v>6795</v>
      </c>
      <c r="U1900">
        <v>844</v>
      </c>
      <c r="V1900" t="s">
        <v>6835</v>
      </c>
      <c r="Y1900" t="s">
        <v>8616</v>
      </c>
      <c r="AA1900" t="s">
        <v>10653</v>
      </c>
      <c r="AB1900">
        <v>60</v>
      </c>
      <c r="AC1900" t="s">
        <v>10929</v>
      </c>
      <c r="AE1900">
        <v>4</v>
      </c>
      <c r="AF1900">
        <v>1</v>
      </c>
      <c r="AG1900">
        <v>0</v>
      </c>
      <c r="AH1900">
        <v>291.43</v>
      </c>
      <c r="AK1900" t="s">
        <v>10966</v>
      </c>
      <c r="AL1900">
        <v>36400</v>
      </c>
      <c r="AR1900">
        <v>1</v>
      </c>
      <c r="AS1900" t="s">
        <v>6823</v>
      </c>
      <c r="AT1900" t="s">
        <v>11185</v>
      </c>
      <c r="AV1900" t="s">
        <v>11231</v>
      </c>
      <c r="AW1900" t="s">
        <v>6823</v>
      </c>
    </row>
    <row r="1901" spans="1:49">
      <c r="A1901" s="1">
        <f>HYPERLINK("https://lsnyc.legalserver.org/matter/dynamic-profile/view/1899970","19-1899970")</f>
        <v>0</v>
      </c>
      <c r="B1901" t="s">
        <v>152</v>
      </c>
      <c r="C1901" t="s">
        <v>1483</v>
      </c>
      <c r="D1901" t="s">
        <v>2629</v>
      </c>
      <c r="E1901" t="s">
        <v>4782</v>
      </c>
      <c r="G1901" t="s">
        <v>5635</v>
      </c>
      <c r="H1901">
        <v>10457</v>
      </c>
      <c r="I1901" t="s">
        <v>5696</v>
      </c>
      <c r="J1901" t="s">
        <v>5696</v>
      </c>
      <c r="O1901" t="s">
        <v>6784</v>
      </c>
      <c r="R1901" t="s">
        <v>6797</v>
      </c>
      <c r="U1901">
        <v>0</v>
      </c>
      <c r="V1901" t="s">
        <v>6833</v>
      </c>
      <c r="Y1901" t="s">
        <v>7836</v>
      </c>
      <c r="AA1901" t="s">
        <v>10654</v>
      </c>
      <c r="AB1901">
        <v>0</v>
      </c>
      <c r="AE1901">
        <v>0</v>
      </c>
      <c r="AF1901">
        <v>2</v>
      </c>
      <c r="AG1901">
        <v>3</v>
      </c>
      <c r="AH1901">
        <v>159.1</v>
      </c>
      <c r="AK1901" t="s">
        <v>10966</v>
      </c>
      <c r="AL1901">
        <v>48000</v>
      </c>
      <c r="AR1901">
        <v>3.5</v>
      </c>
      <c r="AS1901" t="s">
        <v>11127</v>
      </c>
      <c r="AT1901" t="s">
        <v>296</v>
      </c>
      <c r="AV1901" t="s">
        <v>11231</v>
      </c>
      <c r="AW1901" t="s">
        <v>10957</v>
      </c>
    </row>
    <row r="1902" spans="1:49">
      <c r="A1902" s="1">
        <f>HYPERLINK("https://lsnyc.legalserver.org/matter/dynamic-profile/view/1899674","19-1899674")</f>
        <v>0</v>
      </c>
      <c r="B1902" t="s">
        <v>239</v>
      </c>
      <c r="C1902" t="s">
        <v>350</v>
      </c>
      <c r="D1902" t="s">
        <v>2872</v>
      </c>
      <c r="E1902" t="s">
        <v>4783</v>
      </c>
      <c r="G1902" t="s">
        <v>5637</v>
      </c>
      <c r="H1902">
        <v>11236</v>
      </c>
      <c r="I1902" t="s">
        <v>5696</v>
      </c>
      <c r="J1902" t="s">
        <v>5696</v>
      </c>
      <c r="O1902" t="s">
        <v>6780</v>
      </c>
      <c r="R1902" t="s">
        <v>6799</v>
      </c>
      <c r="U1902">
        <v>0</v>
      </c>
      <c r="V1902" t="s">
        <v>6835</v>
      </c>
      <c r="Y1902" t="s">
        <v>8617</v>
      </c>
      <c r="AA1902" t="s">
        <v>10655</v>
      </c>
      <c r="AB1902">
        <v>0</v>
      </c>
      <c r="AE1902">
        <v>0</v>
      </c>
      <c r="AF1902">
        <v>5</v>
      </c>
      <c r="AG1902">
        <v>0</v>
      </c>
      <c r="AH1902">
        <v>185.55</v>
      </c>
      <c r="AK1902" t="s">
        <v>6841</v>
      </c>
      <c r="AL1902">
        <v>55980</v>
      </c>
      <c r="AR1902">
        <v>6.4</v>
      </c>
      <c r="AS1902" t="s">
        <v>11137</v>
      </c>
      <c r="AT1902" t="s">
        <v>239</v>
      </c>
      <c r="AV1902" t="s">
        <v>11231</v>
      </c>
      <c r="AW1902" t="s">
        <v>11128</v>
      </c>
    </row>
    <row r="1903" spans="1:49">
      <c r="A1903" s="1">
        <f>HYPERLINK("https://lsnyc.legalserver.org/matter/dynamic-profile/view/1901293","19-1901293")</f>
        <v>0</v>
      </c>
      <c r="B1903" t="s">
        <v>190</v>
      </c>
      <c r="C1903" t="s">
        <v>1484</v>
      </c>
      <c r="D1903" t="s">
        <v>2873</v>
      </c>
      <c r="E1903" t="s">
        <v>4408</v>
      </c>
      <c r="F1903" t="s">
        <v>5490</v>
      </c>
      <c r="G1903" t="s">
        <v>5635</v>
      </c>
      <c r="H1903">
        <v>10457</v>
      </c>
      <c r="I1903" t="s">
        <v>5695</v>
      </c>
      <c r="J1903" t="s">
        <v>5696</v>
      </c>
      <c r="K1903" t="s">
        <v>6704</v>
      </c>
      <c r="O1903" t="s">
        <v>6763</v>
      </c>
      <c r="R1903" t="s">
        <v>6793</v>
      </c>
      <c r="U1903">
        <v>2175</v>
      </c>
      <c r="V1903" t="s">
        <v>6833</v>
      </c>
      <c r="Y1903" t="s">
        <v>8618</v>
      </c>
      <c r="AA1903" t="s">
        <v>10656</v>
      </c>
      <c r="AB1903">
        <v>0</v>
      </c>
      <c r="AE1903">
        <v>7</v>
      </c>
      <c r="AF1903">
        <v>3</v>
      </c>
      <c r="AG1903">
        <v>3</v>
      </c>
      <c r="AH1903">
        <v>85.76000000000001</v>
      </c>
      <c r="AK1903" t="s">
        <v>10966</v>
      </c>
      <c r="AL1903">
        <v>29666</v>
      </c>
      <c r="AR1903">
        <v>2.5</v>
      </c>
      <c r="AS1903" t="s">
        <v>6819</v>
      </c>
      <c r="AT1903" t="s">
        <v>288</v>
      </c>
      <c r="AU1903" t="s">
        <v>11228</v>
      </c>
      <c r="AV1903" t="s">
        <v>11231</v>
      </c>
      <c r="AW1903" t="s">
        <v>11162</v>
      </c>
    </row>
    <row r="1904" spans="1:49">
      <c r="A1904" s="1">
        <f>HYPERLINK("https://lsnyc.legalserver.org/matter/dynamic-profile/view/1904542","19-1904542")</f>
        <v>0</v>
      </c>
      <c r="B1904" t="s">
        <v>146</v>
      </c>
      <c r="C1904" t="s">
        <v>1485</v>
      </c>
      <c r="D1904" t="s">
        <v>1845</v>
      </c>
      <c r="E1904" t="s">
        <v>4784</v>
      </c>
      <c r="G1904" t="s">
        <v>5652</v>
      </c>
      <c r="H1904">
        <v>11692</v>
      </c>
      <c r="I1904" t="s">
        <v>5696</v>
      </c>
      <c r="J1904" t="s">
        <v>5696</v>
      </c>
      <c r="O1904" t="s">
        <v>6778</v>
      </c>
      <c r="R1904" t="s">
        <v>6797</v>
      </c>
      <c r="U1904">
        <v>0</v>
      </c>
      <c r="V1904" t="s">
        <v>6837</v>
      </c>
      <c r="Y1904" t="s">
        <v>8619</v>
      </c>
      <c r="AA1904" t="s">
        <v>10657</v>
      </c>
      <c r="AB1904">
        <v>0</v>
      </c>
      <c r="AE1904">
        <v>0</v>
      </c>
      <c r="AF1904">
        <v>2</v>
      </c>
      <c r="AG1904">
        <v>3</v>
      </c>
      <c r="AH1904">
        <v>404.38</v>
      </c>
      <c r="AK1904" t="s">
        <v>10966</v>
      </c>
      <c r="AL1904">
        <v>122000</v>
      </c>
      <c r="AR1904">
        <v>1.7</v>
      </c>
      <c r="AS1904" t="s">
        <v>6812</v>
      </c>
      <c r="AT1904" t="s">
        <v>11186</v>
      </c>
      <c r="AV1904" t="s">
        <v>11231</v>
      </c>
      <c r="AW1904" t="s">
        <v>6810</v>
      </c>
    </row>
    <row r="1905" spans="1:49">
      <c r="A1905" s="1">
        <f>HYPERLINK("https://lsnyc.legalserver.org/matter/dynamic-profile/view/1905466","19-1905466")</f>
        <v>0</v>
      </c>
      <c r="B1905" t="s">
        <v>172</v>
      </c>
      <c r="C1905" t="s">
        <v>1486</v>
      </c>
      <c r="D1905" t="s">
        <v>2874</v>
      </c>
      <c r="E1905" t="s">
        <v>4404</v>
      </c>
      <c r="F1905" t="s">
        <v>5280</v>
      </c>
      <c r="G1905" t="s">
        <v>5635</v>
      </c>
      <c r="H1905">
        <v>10468</v>
      </c>
      <c r="I1905" t="s">
        <v>5696</v>
      </c>
      <c r="J1905" t="s">
        <v>5696</v>
      </c>
      <c r="O1905" t="s">
        <v>6777</v>
      </c>
      <c r="R1905" t="s">
        <v>6796</v>
      </c>
      <c r="U1905">
        <v>0</v>
      </c>
      <c r="V1905" t="s">
        <v>6836</v>
      </c>
      <c r="Y1905" t="s">
        <v>8620</v>
      </c>
      <c r="AA1905" t="s">
        <v>10658</v>
      </c>
      <c r="AB1905">
        <v>0</v>
      </c>
      <c r="AE1905">
        <v>0</v>
      </c>
      <c r="AF1905">
        <v>1</v>
      </c>
      <c r="AG1905">
        <v>0</v>
      </c>
      <c r="AH1905">
        <v>89.01000000000001</v>
      </c>
      <c r="AK1905" t="s">
        <v>10966</v>
      </c>
      <c r="AL1905">
        <v>11116.8</v>
      </c>
      <c r="AR1905">
        <v>3.5</v>
      </c>
      <c r="AS1905" t="s">
        <v>6824</v>
      </c>
      <c r="AT1905" t="s">
        <v>229</v>
      </c>
      <c r="AV1905" t="s">
        <v>11231</v>
      </c>
      <c r="AW1905" t="s">
        <v>6808</v>
      </c>
    </row>
    <row r="1906" spans="1:49">
      <c r="A1906" s="1">
        <f>HYPERLINK("https://lsnyc.legalserver.org/matter/dynamic-profile/view/1905935","19-1905935")</f>
        <v>0</v>
      </c>
      <c r="B1906" t="s">
        <v>297</v>
      </c>
      <c r="C1906" t="s">
        <v>1321</v>
      </c>
      <c r="D1906" t="s">
        <v>945</v>
      </c>
      <c r="E1906" t="s">
        <v>4785</v>
      </c>
      <c r="G1906" t="s">
        <v>5636</v>
      </c>
      <c r="H1906">
        <v>10312</v>
      </c>
      <c r="I1906" t="s">
        <v>5696</v>
      </c>
      <c r="J1906" t="s">
        <v>5696</v>
      </c>
      <c r="O1906" t="s">
        <v>6779</v>
      </c>
      <c r="R1906" t="s">
        <v>6799</v>
      </c>
      <c r="U1906">
        <v>0</v>
      </c>
      <c r="V1906" t="s">
        <v>6834</v>
      </c>
      <c r="Y1906" t="s">
        <v>8621</v>
      </c>
      <c r="AA1906" t="s">
        <v>10659</v>
      </c>
      <c r="AB1906">
        <v>0</v>
      </c>
      <c r="AE1906">
        <v>0</v>
      </c>
      <c r="AF1906">
        <v>2</v>
      </c>
      <c r="AG1906">
        <v>2</v>
      </c>
      <c r="AH1906">
        <v>308.35</v>
      </c>
      <c r="AK1906" t="s">
        <v>10966</v>
      </c>
      <c r="AL1906">
        <v>79400</v>
      </c>
      <c r="AR1906">
        <v>1.3</v>
      </c>
      <c r="AS1906" t="s">
        <v>6820</v>
      </c>
      <c r="AT1906" t="s">
        <v>11211</v>
      </c>
      <c r="AV1906" t="s">
        <v>11231</v>
      </c>
      <c r="AW1906" t="s">
        <v>6820</v>
      </c>
    </row>
    <row r="1907" spans="1:49">
      <c r="A1907" s="1">
        <f>HYPERLINK("https://lsnyc.legalserver.org/matter/dynamic-profile/view/1905887","19-1905887")</f>
        <v>0</v>
      </c>
      <c r="B1907" t="s">
        <v>254</v>
      </c>
      <c r="C1907" t="s">
        <v>1303</v>
      </c>
      <c r="D1907" t="s">
        <v>2875</v>
      </c>
      <c r="E1907" t="s">
        <v>4786</v>
      </c>
      <c r="F1907" t="s">
        <v>5305</v>
      </c>
      <c r="G1907" t="s">
        <v>5635</v>
      </c>
      <c r="H1907">
        <v>10453</v>
      </c>
      <c r="I1907" t="s">
        <v>5696</v>
      </c>
      <c r="J1907" t="s">
        <v>5696</v>
      </c>
      <c r="O1907" t="s">
        <v>6745</v>
      </c>
      <c r="R1907" t="s">
        <v>6793</v>
      </c>
      <c r="U1907">
        <v>1126</v>
      </c>
      <c r="V1907" t="s">
        <v>6833</v>
      </c>
      <c r="W1907" t="s">
        <v>6849</v>
      </c>
      <c r="Y1907" t="s">
        <v>8622</v>
      </c>
      <c r="AA1907" t="s">
        <v>10660</v>
      </c>
      <c r="AB1907">
        <v>35</v>
      </c>
      <c r="AD1907" t="s">
        <v>5741</v>
      </c>
      <c r="AE1907">
        <v>16</v>
      </c>
      <c r="AF1907">
        <v>1</v>
      </c>
      <c r="AG1907">
        <v>0</v>
      </c>
      <c r="AH1907">
        <v>80.7</v>
      </c>
      <c r="AK1907" t="s">
        <v>10966</v>
      </c>
      <c r="AL1907">
        <v>10080</v>
      </c>
      <c r="AR1907">
        <v>1</v>
      </c>
      <c r="AS1907" t="s">
        <v>6824</v>
      </c>
      <c r="AT1907" t="s">
        <v>11203</v>
      </c>
      <c r="AV1907" t="s">
        <v>11231</v>
      </c>
      <c r="AW1907" t="s">
        <v>6824</v>
      </c>
    </row>
    <row r="1908" spans="1:49">
      <c r="A1908" s="1">
        <f>HYPERLINK("https://lsnyc.legalserver.org/matter/dynamic-profile/view/1898798","19-1898798")</f>
        <v>0</v>
      </c>
      <c r="B1908" t="s">
        <v>158</v>
      </c>
      <c r="C1908" t="s">
        <v>1487</v>
      </c>
      <c r="D1908" t="s">
        <v>1812</v>
      </c>
      <c r="E1908" t="s">
        <v>4787</v>
      </c>
      <c r="F1908" t="s">
        <v>5183</v>
      </c>
      <c r="G1908" t="s">
        <v>5637</v>
      </c>
      <c r="H1908">
        <v>11217</v>
      </c>
      <c r="I1908" t="s">
        <v>5696</v>
      </c>
      <c r="J1908" t="s">
        <v>5696</v>
      </c>
      <c r="O1908" t="s">
        <v>6756</v>
      </c>
      <c r="R1908" t="s">
        <v>6793</v>
      </c>
      <c r="U1908">
        <v>0</v>
      </c>
      <c r="V1908" t="s">
        <v>6835</v>
      </c>
      <c r="Y1908" t="s">
        <v>8623</v>
      </c>
      <c r="AA1908" t="s">
        <v>10661</v>
      </c>
      <c r="AB1908">
        <v>0</v>
      </c>
      <c r="AE1908">
        <v>0</v>
      </c>
      <c r="AF1908">
        <v>1</v>
      </c>
      <c r="AG1908">
        <v>0</v>
      </c>
      <c r="AH1908">
        <v>86.47</v>
      </c>
      <c r="AL1908">
        <v>10800</v>
      </c>
      <c r="AR1908">
        <v>0.8</v>
      </c>
      <c r="AS1908" t="s">
        <v>11152</v>
      </c>
      <c r="AT1908" t="s">
        <v>158</v>
      </c>
      <c r="AV1908" t="s">
        <v>11231</v>
      </c>
      <c r="AW1908" t="s">
        <v>11152</v>
      </c>
    </row>
    <row r="1909" spans="1:49">
      <c r="A1909" s="1">
        <f>HYPERLINK("https://lsnyc.legalserver.org/matter/dynamic-profile/view/1903988","19-1903988")</f>
        <v>0</v>
      </c>
      <c r="B1909" t="s">
        <v>85</v>
      </c>
      <c r="C1909" t="s">
        <v>412</v>
      </c>
      <c r="D1909" t="s">
        <v>1815</v>
      </c>
      <c r="E1909" t="s">
        <v>3280</v>
      </c>
      <c r="F1909" t="s">
        <v>5205</v>
      </c>
      <c r="G1909" t="s">
        <v>5637</v>
      </c>
      <c r="H1909">
        <v>11218</v>
      </c>
      <c r="I1909" t="s">
        <v>5696</v>
      </c>
      <c r="J1909" t="s">
        <v>5696</v>
      </c>
      <c r="O1909" t="s">
        <v>6754</v>
      </c>
      <c r="R1909" t="s">
        <v>6795</v>
      </c>
      <c r="U1909">
        <v>0</v>
      </c>
      <c r="V1909" t="s">
        <v>6835</v>
      </c>
      <c r="Y1909" t="s">
        <v>7076</v>
      </c>
      <c r="AA1909" t="s">
        <v>9240</v>
      </c>
      <c r="AB1909">
        <v>0</v>
      </c>
      <c r="AE1909">
        <v>0</v>
      </c>
      <c r="AF1909">
        <v>2</v>
      </c>
      <c r="AG1909">
        <v>0</v>
      </c>
      <c r="AH1909">
        <v>131.85</v>
      </c>
      <c r="AL1909">
        <v>22296</v>
      </c>
      <c r="AR1909">
        <v>1</v>
      </c>
      <c r="AS1909" t="s">
        <v>6807</v>
      </c>
      <c r="AT1909" t="s">
        <v>85</v>
      </c>
      <c r="AV1909" t="s">
        <v>11231</v>
      </c>
      <c r="AW1909" t="s">
        <v>6807</v>
      </c>
    </row>
    <row r="1910" spans="1:49">
      <c r="A1910" s="1">
        <f>HYPERLINK("https://lsnyc.legalserver.org/matter/dynamic-profile/view/1903026","19-1903026")</f>
        <v>0</v>
      </c>
      <c r="B1910" t="s">
        <v>227</v>
      </c>
      <c r="C1910" t="s">
        <v>1488</v>
      </c>
      <c r="D1910" t="s">
        <v>2876</v>
      </c>
      <c r="E1910" t="s">
        <v>4788</v>
      </c>
      <c r="G1910" t="s">
        <v>5644</v>
      </c>
      <c r="H1910">
        <v>11434</v>
      </c>
      <c r="I1910" t="s">
        <v>5696</v>
      </c>
      <c r="J1910" t="s">
        <v>5696</v>
      </c>
      <c r="O1910" t="s">
        <v>6778</v>
      </c>
      <c r="R1910" t="s">
        <v>6798</v>
      </c>
      <c r="U1910">
        <v>0</v>
      </c>
      <c r="V1910" t="s">
        <v>6837</v>
      </c>
      <c r="Y1910" t="s">
        <v>8624</v>
      </c>
      <c r="AA1910" t="s">
        <v>10662</v>
      </c>
      <c r="AB1910">
        <v>0</v>
      </c>
      <c r="AE1910">
        <v>0</v>
      </c>
      <c r="AF1910">
        <v>1</v>
      </c>
      <c r="AG1910">
        <v>0</v>
      </c>
      <c r="AH1910">
        <v>308.31</v>
      </c>
      <c r="AK1910" t="s">
        <v>10966</v>
      </c>
      <c r="AL1910">
        <v>38508</v>
      </c>
      <c r="AR1910">
        <v>3.9</v>
      </c>
      <c r="AS1910" t="s">
        <v>6814</v>
      </c>
      <c r="AT1910" t="s">
        <v>11181</v>
      </c>
      <c r="AV1910" t="s">
        <v>11231</v>
      </c>
      <c r="AW1910" t="s">
        <v>11138</v>
      </c>
    </row>
    <row r="1911" spans="1:49">
      <c r="A1911" s="1">
        <f>HYPERLINK("https://lsnyc.legalserver.org/matter/dynamic-profile/view/1896594","19-1896594")</f>
        <v>0</v>
      </c>
      <c r="B1911" t="s">
        <v>225</v>
      </c>
      <c r="C1911" t="s">
        <v>519</v>
      </c>
      <c r="D1911" t="s">
        <v>2877</v>
      </c>
      <c r="E1911" t="s">
        <v>4789</v>
      </c>
      <c r="G1911" t="s">
        <v>5660</v>
      </c>
      <c r="H1911">
        <v>11423</v>
      </c>
      <c r="I1911" t="s">
        <v>5696</v>
      </c>
      <c r="J1911" t="s">
        <v>5696</v>
      </c>
      <c r="O1911" t="s">
        <v>6778</v>
      </c>
      <c r="R1911" t="s">
        <v>6798</v>
      </c>
      <c r="U1911">
        <v>0</v>
      </c>
      <c r="V1911" t="s">
        <v>6837</v>
      </c>
      <c r="Y1911" t="s">
        <v>8625</v>
      </c>
      <c r="AA1911" t="s">
        <v>10663</v>
      </c>
      <c r="AB1911">
        <v>0</v>
      </c>
      <c r="AE1911">
        <v>0</v>
      </c>
      <c r="AF1911">
        <v>1</v>
      </c>
      <c r="AG1911">
        <v>0</v>
      </c>
      <c r="AH1911">
        <v>760.61</v>
      </c>
      <c r="AK1911" t="s">
        <v>10966</v>
      </c>
      <c r="AL1911">
        <v>95000</v>
      </c>
      <c r="AR1911">
        <v>7.7</v>
      </c>
      <c r="AS1911" t="s">
        <v>6826</v>
      </c>
      <c r="AT1911" t="s">
        <v>146</v>
      </c>
      <c r="AV1911" t="s">
        <v>11231</v>
      </c>
      <c r="AW1911" t="s">
        <v>11154</v>
      </c>
    </row>
    <row r="1912" spans="1:49">
      <c r="A1912" s="1">
        <f>HYPERLINK("https://lsnyc.legalserver.org/matter/dynamic-profile/view/1897313","19-1897313")</f>
        <v>0</v>
      </c>
      <c r="B1912" t="s">
        <v>85</v>
      </c>
      <c r="C1912" t="s">
        <v>684</v>
      </c>
      <c r="D1912" t="s">
        <v>441</v>
      </c>
      <c r="E1912" t="s">
        <v>4790</v>
      </c>
      <c r="F1912" t="s">
        <v>5290</v>
      </c>
      <c r="G1912" t="s">
        <v>5637</v>
      </c>
      <c r="H1912">
        <v>11218</v>
      </c>
      <c r="I1912" t="s">
        <v>5696</v>
      </c>
      <c r="J1912" t="s">
        <v>5696</v>
      </c>
      <c r="O1912" t="s">
        <v>6754</v>
      </c>
      <c r="R1912" t="s">
        <v>6793</v>
      </c>
      <c r="U1912">
        <v>0</v>
      </c>
      <c r="V1912" t="s">
        <v>6835</v>
      </c>
      <c r="Y1912" t="s">
        <v>6919</v>
      </c>
      <c r="AA1912" t="s">
        <v>10664</v>
      </c>
      <c r="AB1912">
        <v>0</v>
      </c>
      <c r="AE1912">
        <v>0</v>
      </c>
      <c r="AF1912">
        <v>2</v>
      </c>
      <c r="AG1912">
        <v>1</v>
      </c>
      <c r="AH1912">
        <v>74.20999999999999</v>
      </c>
      <c r="AK1912" t="s">
        <v>10966</v>
      </c>
      <c r="AL1912">
        <v>15828</v>
      </c>
      <c r="AR1912">
        <v>3.25</v>
      </c>
      <c r="AS1912" t="s">
        <v>11135</v>
      </c>
      <c r="AT1912" t="s">
        <v>85</v>
      </c>
      <c r="AV1912" t="s">
        <v>11231</v>
      </c>
      <c r="AW1912" t="s">
        <v>11130</v>
      </c>
    </row>
    <row r="1913" spans="1:49">
      <c r="A1913" s="1">
        <f>HYPERLINK("https://lsnyc.legalserver.org/matter/dynamic-profile/view/1897553","19-1897553")</f>
        <v>0</v>
      </c>
      <c r="B1913" t="s">
        <v>149</v>
      </c>
      <c r="C1913" t="s">
        <v>1489</v>
      </c>
      <c r="D1913" t="s">
        <v>2878</v>
      </c>
      <c r="E1913" t="s">
        <v>4791</v>
      </c>
      <c r="G1913" t="s">
        <v>5636</v>
      </c>
      <c r="H1913">
        <v>10312</v>
      </c>
      <c r="I1913" t="s">
        <v>5696</v>
      </c>
      <c r="J1913" t="s">
        <v>5696</v>
      </c>
      <c r="O1913" t="s">
        <v>6779</v>
      </c>
      <c r="R1913" t="s">
        <v>6799</v>
      </c>
      <c r="U1913">
        <v>0</v>
      </c>
      <c r="V1913" t="s">
        <v>6834</v>
      </c>
      <c r="Y1913" t="s">
        <v>8626</v>
      </c>
      <c r="AA1913" t="s">
        <v>10665</v>
      </c>
      <c r="AB1913">
        <v>0</v>
      </c>
      <c r="AE1913">
        <v>0</v>
      </c>
      <c r="AF1913">
        <v>4</v>
      </c>
      <c r="AG1913">
        <v>0</v>
      </c>
      <c r="AH1913">
        <v>291.26</v>
      </c>
      <c r="AK1913" t="s">
        <v>10966</v>
      </c>
      <c r="AL1913">
        <v>75000</v>
      </c>
      <c r="AR1913">
        <v>10.2</v>
      </c>
      <c r="AS1913" t="s">
        <v>6822</v>
      </c>
      <c r="AT1913" t="s">
        <v>11211</v>
      </c>
      <c r="AV1913" t="s">
        <v>11231</v>
      </c>
      <c r="AW1913" t="s">
        <v>11159</v>
      </c>
    </row>
    <row r="1914" spans="1:49">
      <c r="A1914" s="1">
        <f>HYPERLINK("https://lsnyc.legalserver.org/matter/dynamic-profile/view/1905286","19-1905286")</f>
        <v>0</v>
      </c>
      <c r="B1914" t="s">
        <v>77</v>
      </c>
      <c r="C1914" t="s">
        <v>441</v>
      </c>
      <c r="D1914" t="s">
        <v>2879</v>
      </c>
      <c r="E1914" t="s">
        <v>4792</v>
      </c>
      <c r="F1914">
        <v>4</v>
      </c>
      <c r="G1914" t="s">
        <v>5637</v>
      </c>
      <c r="H1914">
        <v>11206</v>
      </c>
      <c r="I1914" t="s">
        <v>5696</v>
      </c>
      <c r="J1914" t="s">
        <v>5696</v>
      </c>
      <c r="O1914" t="s">
        <v>6745</v>
      </c>
      <c r="R1914" t="s">
        <v>6793</v>
      </c>
      <c r="U1914">
        <v>0</v>
      </c>
      <c r="V1914" t="s">
        <v>6835</v>
      </c>
      <c r="Y1914" t="s">
        <v>8627</v>
      </c>
      <c r="AA1914" t="s">
        <v>10666</v>
      </c>
      <c r="AB1914">
        <v>0</v>
      </c>
      <c r="AE1914">
        <v>0</v>
      </c>
      <c r="AF1914">
        <v>2</v>
      </c>
      <c r="AG1914">
        <v>0</v>
      </c>
      <c r="AH1914">
        <v>0</v>
      </c>
      <c r="AK1914" t="s">
        <v>10966</v>
      </c>
      <c r="AL1914">
        <v>0</v>
      </c>
      <c r="AR1914">
        <v>0.9</v>
      </c>
      <c r="AS1914" t="s">
        <v>6823</v>
      </c>
      <c r="AT1914" t="s">
        <v>77</v>
      </c>
      <c r="AV1914" t="s">
        <v>11231</v>
      </c>
      <c r="AW1914" t="s">
        <v>6808</v>
      </c>
    </row>
    <row r="1915" spans="1:49">
      <c r="A1915" s="1">
        <f>HYPERLINK("https://lsnyc.legalserver.org/matter/dynamic-profile/view/1904480","19-1904480")</f>
        <v>0</v>
      </c>
      <c r="B1915" t="s">
        <v>150</v>
      </c>
      <c r="C1915" t="s">
        <v>343</v>
      </c>
      <c r="D1915" t="s">
        <v>2880</v>
      </c>
      <c r="E1915" t="s">
        <v>4793</v>
      </c>
      <c r="G1915" t="s">
        <v>5636</v>
      </c>
      <c r="H1915">
        <v>10301</v>
      </c>
      <c r="I1915" t="s">
        <v>5696</v>
      </c>
      <c r="J1915" t="s">
        <v>5696</v>
      </c>
      <c r="O1915" t="s">
        <v>6754</v>
      </c>
      <c r="R1915" t="s">
        <v>6799</v>
      </c>
      <c r="U1915">
        <v>0</v>
      </c>
      <c r="V1915" t="s">
        <v>6834</v>
      </c>
      <c r="Y1915" t="s">
        <v>8628</v>
      </c>
      <c r="AA1915" t="s">
        <v>10667</v>
      </c>
      <c r="AB1915">
        <v>0</v>
      </c>
      <c r="AE1915">
        <v>0</v>
      </c>
      <c r="AF1915">
        <v>2</v>
      </c>
      <c r="AG1915">
        <v>0</v>
      </c>
      <c r="AH1915">
        <v>191.6</v>
      </c>
      <c r="AK1915" t="s">
        <v>10966</v>
      </c>
      <c r="AL1915">
        <v>32400</v>
      </c>
      <c r="AR1915">
        <v>5.3</v>
      </c>
      <c r="AS1915" t="s">
        <v>6820</v>
      </c>
      <c r="AT1915" t="s">
        <v>11211</v>
      </c>
      <c r="AV1915" t="s">
        <v>11231</v>
      </c>
      <c r="AW1915" t="s">
        <v>6810</v>
      </c>
    </row>
    <row r="1916" spans="1:49">
      <c r="A1916" s="1">
        <f>HYPERLINK("https://lsnyc.legalserver.org/matter/dynamic-profile/view/1905439","19-1905439")</f>
        <v>0</v>
      </c>
      <c r="B1916" t="s">
        <v>86</v>
      </c>
      <c r="C1916" t="s">
        <v>549</v>
      </c>
      <c r="D1916" t="s">
        <v>1869</v>
      </c>
      <c r="E1916" t="s">
        <v>3348</v>
      </c>
      <c r="F1916" t="s">
        <v>5154</v>
      </c>
      <c r="G1916" t="s">
        <v>5638</v>
      </c>
      <c r="H1916">
        <v>10011</v>
      </c>
      <c r="I1916" t="s">
        <v>5696</v>
      </c>
      <c r="J1916" t="s">
        <v>5696</v>
      </c>
      <c r="O1916" t="s">
        <v>6777</v>
      </c>
      <c r="R1916" t="s">
        <v>6793</v>
      </c>
      <c r="U1916">
        <v>0</v>
      </c>
      <c r="V1916" t="s">
        <v>6836</v>
      </c>
      <c r="Y1916" t="s">
        <v>7142</v>
      </c>
      <c r="AA1916" t="s">
        <v>10668</v>
      </c>
      <c r="AB1916">
        <v>0</v>
      </c>
      <c r="AE1916">
        <v>0</v>
      </c>
      <c r="AF1916">
        <v>1</v>
      </c>
      <c r="AG1916">
        <v>0</v>
      </c>
      <c r="AH1916">
        <v>224.72</v>
      </c>
      <c r="AK1916" t="s">
        <v>10966</v>
      </c>
      <c r="AL1916">
        <v>28068</v>
      </c>
      <c r="AR1916">
        <v>6</v>
      </c>
      <c r="AS1916" t="s">
        <v>6827</v>
      </c>
      <c r="AT1916" t="s">
        <v>229</v>
      </c>
      <c r="AV1916" t="s">
        <v>11231</v>
      </c>
      <c r="AW1916" t="s">
        <v>6822</v>
      </c>
    </row>
    <row r="1917" spans="1:49">
      <c r="A1917" s="1">
        <f>HYPERLINK("https://lsnyc.legalserver.org/matter/dynamic-profile/view/1900611","19-1900611")</f>
        <v>0</v>
      </c>
      <c r="B1917" t="s">
        <v>152</v>
      </c>
      <c r="C1917" t="s">
        <v>366</v>
      </c>
      <c r="D1917" t="s">
        <v>1836</v>
      </c>
      <c r="E1917" t="s">
        <v>4794</v>
      </c>
      <c r="F1917" t="s">
        <v>5597</v>
      </c>
      <c r="G1917" t="s">
        <v>5635</v>
      </c>
      <c r="H1917">
        <v>10474</v>
      </c>
      <c r="I1917" t="s">
        <v>5696</v>
      </c>
      <c r="J1917" t="s">
        <v>5696</v>
      </c>
      <c r="O1917" t="s">
        <v>6783</v>
      </c>
      <c r="R1917" t="s">
        <v>6797</v>
      </c>
      <c r="U1917">
        <v>0</v>
      </c>
      <c r="V1917" t="s">
        <v>6833</v>
      </c>
      <c r="Y1917" t="s">
        <v>8629</v>
      </c>
      <c r="AA1917" t="s">
        <v>10669</v>
      </c>
      <c r="AB1917">
        <v>0</v>
      </c>
      <c r="AE1917">
        <v>0</v>
      </c>
      <c r="AF1917">
        <v>2</v>
      </c>
      <c r="AG1917">
        <v>0</v>
      </c>
      <c r="AH1917">
        <v>514.96</v>
      </c>
      <c r="AK1917" t="s">
        <v>10966</v>
      </c>
      <c r="AL1917">
        <v>87080</v>
      </c>
      <c r="AR1917">
        <v>2</v>
      </c>
      <c r="AS1917" t="s">
        <v>10958</v>
      </c>
      <c r="AT1917" t="s">
        <v>296</v>
      </c>
      <c r="AV1917" t="s">
        <v>11231</v>
      </c>
      <c r="AW1917" t="s">
        <v>6895</v>
      </c>
    </row>
    <row r="1918" spans="1:49">
      <c r="A1918" s="1">
        <f>HYPERLINK("https://lsnyc.legalserver.org/matter/dynamic-profile/view/1898674","19-1898674")</f>
        <v>0</v>
      </c>
      <c r="B1918" t="s">
        <v>152</v>
      </c>
      <c r="C1918" t="s">
        <v>409</v>
      </c>
      <c r="D1918" t="s">
        <v>2881</v>
      </c>
      <c r="E1918" t="s">
        <v>4795</v>
      </c>
      <c r="F1918" t="s">
        <v>5243</v>
      </c>
      <c r="G1918" t="s">
        <v>5635</v>
      </c>
      <c r="H1918">
        <v>10473</v>
      </c>
      <c r="I1918" t="s">
        <v>5696</v>
      </c>
      <c r="J1918" t="s">
        <v>5696</v>
      </c>
      <c r="O1918" t="s">
        <v>6784</v>
      </c>
      <c r="R1918" t="s">
        <v>6798</v>
      </c>
      <c r="U1918">
        <v>0</v>
      </c>
      <c r="V1918" t="s">
        <v>6833</v>
      </c>
      <c r="Y1918" t="s">
        <v>8630</v>
      </c>
      <c r="AA1918" t="s">
        <v>10670</v>
      </c>
      <c r="AB1918">
        <v>0</v>
      </c>
      <c r="AE1918">
        <v>0</v>
      </c>
      <c r="AF1918">
        <v>2</v>
      </c>
      <c r="AG1918">
        <v>0</v>
      </c>
      <c r="AH1918">
        <v>299.23</v>
      </c>
      <c r="AK1918" t="s">
        <v>10966</v>
      </c>
      <c r="AL1918">
        <v>50600</v>
      </c>
      <c r="AR1918">
        <v>5</v>
      </c>
      <c r="AS1918" t="s">
        <v>6815</v>
      </c>
      <c r="AT1918" t="s">
        <v>296</v>
      </c>
      <c r="AV1918" t="s">
        <v>11231</v>
      </c>
      <c r="AW1918" t="s">
        <v>11152</v>
      </c>
    </row>
    <row r="1919" spans="1:49">
      <c r="A1919" s="1">
        <f>HYPERLINK("https://lsnyc.legalserver.org/matter/dynamic-profile/view/1905004","19-1905004")</f>
        <v>0</v>
      </c>
      <c r="B1919" t="s">
        <v>206</v>
      </c>
      <c r="C1919" t="s">
        <v>1490</v>
      </c>
      <c r="D1919" t="s">
        <v>2882</v>
      </c>
      <c r="E1919" t="s">
        <v>4796</v>
      </c>
      <c r="G1919" t="s">
        <v>5638</v>
      </c>
      <c r="H1919">
        <v>10039</v>
      </c>
      <c r="I1919" t="s">
        <v>5696</v>
      </c>
      <c r="J1919" t="s">
        <v>5696</v>
      </c>
      <c r="O1919" t="s">
        <v>6749</v>
      </c>
      <c r="R1919" t="s">
        <v>6794</v>
      </c>
      <c r="U1919">
        <v>0</v>
      </c>
      <c r="V1919" t="s">
        <v>6836</v>
      </c>
      <c r="Y1919" t="s">
        <v>8631</v>
      </c>
      <c r="AA1919" t="s">
        <v>10671</v>
      </c>
      <c r="AB1919">
        <v>0</v>
      </c>
      <c r="AE1919">
        <v>0</v>
      </c>
      <c r="AF1919">
        <v>2</v>
      </c>
      <c r="AG1919">
        <v>2</v>
      </c>
      <c r="AH1919">
        <v>77.45</v>
      </c>
      <c r="AK1919" t="s">
        <v>10966</v>
      </c>
      <c r="AL1919">
        <v>19944</v>
      </c>
      <c r="AR1919">
        <v>0</v>
      </c>
      <c r="AT1919" t="s">
        <v>301</v>
      </c>
      <c r="AV1919" t="s">
        <v>11231</v>
      </c>
      <c r="AW1919" t="s">
        <v>6812</v>
      </c>
    </row>
    <row r="1920" spans="1:49">
      <c r="A1920" s="1">
        <f>HYPERLINK("https://lsnyc.legalserver.org/matter/dynamic-profile/view/1902790","19-1902790")</f>
        <v>0</v>
      </c>
      <c r="B1920" t="s">
        <v>151</v>
      </c>
      <c r="C1920" t="s">
        <v>321</v>
      </c>
      <c r="D1920" t="s">
        <v>2883</v>
      </c>
      <c r="E1920" t="s">
        <v>4797</v>
      </c>
      <c r="G1920" t="s">
        <v>5637</v>
      </c>
      <c r="H1920">
        <v>11236</v>
      </c>
      <c r="I1920" t="s">
        <v>5696</v>
      </c>
      <c r="J1920" t="s">
        <v>5696</v>
      </c>
      <c r="O1920" t="s">
        <v>6775</v>
      </c>
      <c r="R1920" t="s">
        <v>6799</v>
      </c>
      <c r="U1920">
        <v>0</v>
      </c>
      <c r="V1920" t="s">
        <v>6835</v>
      </c>
      <c r="Y1920" t="s">
        <v>7176</v>
      </c>
      <c r="AA1920" t="s">
        <v>10672</v>
      </c>
      <c r="AB1920">
        <v>0</v>
      </c>
      <c r="AE1920">
        <v>0</v>
      </c>
      <c r="AF1920">
        <v>2</v>
      </c>
      <c r="AG1920">
        <v>1</v>
      </c>
      <c r="AH1920">
        <v>97.52</v>
      </c>
      <c r="AK1920" t="s">
        <v>10966</v>
      </c>
      <c r="AL1920">
        <v>20800</v>
      </c>
      <c r="AR1920">
        <v>8</v>
      </c>
      <c r="AS1920" t="s">
        <v>6813</v>
      </c>
      <c r="AT1920" t="s">
        <v>144</v>
      </c>
      <c r="AV1920" t="s">
        <v>11231</v>
      </c>
      <c r="AW1920" t="s">
        <v>11139</v>
      </c>
    </row>
    <row r="1921" spans="1:49">
      <c r="A1921" s="1">
        <f>HYPERLINK("https://lsnyc.legalserver.org/matter/dynamic-profile/view/1900932","19-1900932")</f>
        <v>0</v>
      </c>
      <c r="B1921" t="s">
        <v>158</v>
      </c>
      <c r="C1921" t="s">
        <v>1491</v>
      </c>
      <c r="D1921" t="s">
        <v>2884</v>
      </c>
      <c r="E1921" t="s">
        <v>4656</v>
      </c>
      <c r="F1921" t="s">
        <v>5262</v>
      </c>
      <c r="G1921" t="s">
        <v>5637</v>
      </c>
      <c r="H1921">
        <v>11226</v>
      </c>
      <c r="I1921" t="s">
        <v>5696</v>
      </c>
      <c r="J1921" t="s">
        <v>5696</v>
      </c>
      <c r="O1921" t="s">
        <v>6755</v>
      </c>
      <c r="R1921" t="s">
        <v>6793</v>
      </c>
      <c r="U1921">
        <v>0</v>
      </c>
      <c r="V1921" t="s">
        <v>6835</v>
      </c>
      <c r="Y1921" t="s">
        <v>8632</v>
      </c>
      <c r="AA1921" t="s">
        <v>10673</v>
      </c>
      <c r="AB1921">
        <v>0</v>
      </c>
      <c r="AE1921">
        <v>0</v>
      </c>
      <c r="AF1921">
        <v>3</v>
      </c>
      <c r="AG1921">
        <v>0</v>
      </c>
      <c r="AH1921">
        <v>196.4</v>
      </c>
      <c r="AK1921" t="s">
        <v>10966</v>
      </c>
      <c r="AL1921">
        <v>41892</v>
      </c>
      <c r="AR1921">
        <v>3.65</v>
      </c>
      <c r="AS1921" t="s">
        <v>6809</v>
      </c>
      <c r="AT1921" t="s">
        <v>141</v>
      </c>
      <c r="AV1921" t="s">
        <v>11231</v>
      </c>
      <c r="AW1921" t="s">
        <v>11157</v>
      </c>
    </row>
    <row r="1922" spans="1:49">
      <c r="A1922" s="1">
        <f>HYPERLINK("https://lsnyc.legalserver.org/matter/dynamic-profile/view/1901192","19-1901192")</f>
        <v>0</v>
      </c>
      <c r="B1922" t="s">
        <v>261</v>
      </c>
      <c r="C1922" t="s">
        <v>453</v>
      </c>
      <c r="D1922" t="s">
        <v>2885</v>
      </c>
      <c r="E1922" t="s">
        <v>4798</v>
      </c>
      <c r="G1922" t="s">
        <v>5642</v>
      </c>
      <c r="H1922">
        <v>11422</v>
      </c>
      <c r="I1922" t="s">
        <v>5696</v>
      </c>
      <c r="J1922" t="s">
        <v>5696</v>
      </c>
      <c r="O1922" t="s">
        <v>6778</v>
      </c>
      <c r="R1922" t="s">
        <v>6798</v>
      </c>
      <c r="U1922">
        <v>0</v>
      </c>
      <c r="V1922" t="s">
        <v>6837</v>
      </c>
      <c r="Y1922" t="s">
        <v>8633</v>
      </c>
      <c r="AA1922" t="s">
        <v>10674</v>
      </c>
      <c r="AB1922">
        <v>0</v>
      </c>
      <c r="AE1922">
        <v>0</v>
      </c>
      <c r="AF1922">
        <v>4</v>
      </c>
      <c r="AG1922">
        <v>0</v>
      </c>
      <c r="AH1922">
        <v>258.77</v>
      </c>
      <c r="AK1922" t="s">
        <v>10967</v>
      </c>
      <c r="AL1922">
        <v>66632</v>
      </c>
      <c r="AR1922">
        <v>2.2</v>
      </c>
      <c r="AS1922" t="s">
        <v>6820</v>
      </c>
      <c r="AT1922" t="s">
        <v>146</v>
      </c>
      <c r="AV1922" t="s">
        <v>11231</v>
      </c>
      <c r="AW1922" t="s">
        <v>11162</v>
      </c>
    </row>
    <row r="1923" spans="1:49">
      <c r="A1923" s="1">
        <f>HYPERLINK("https://lsnyc.legalserver.org/matter/dynamic-profile/view/1900241","19-1900241")</f>
        <v>0</v>
      </c>
      <c r="B1923" t="s">
        <v>198</v>
      </c>
      <c r="C1923" t="s">
        <v>1492</v>
      </c>
      <c r="D1923" t="s">
        <v>2886</v>
      </c>
      <c r="E1923" t="s">
        <v>4146</v>
      </c>
      <c r="F1923" t="s">
        <v>5165</v>
      </c>
      <c r="G1923" t="s">
        <v>5635</v>
      </c>
      <c r="H1923">
        <v>10467</v>
      </c>
      <c r="I1923" t="s">
        <v>5695</v>
      </c>
      <c r="J1923" t="s">
        <v>5696</v>
      </c>
      <c r="O1923" t="s">
        <v>6763</v>
      </c>
      <c r="R1923" t="s">
        <v>6793</v>
      </c>
      <c r="U1923">
        <v>0</v>
      </c>
      <c r="V1923" t="s">
        <v>6833</v>
      </c>
      <c r="Y1923" t="s">
        <v>8634</v>
      </c>
      <c r="Z1923" t="s">
        <v>9087</v>
      </c>
      <c r="AA1923" t="s">
        <v>10675</v>
      </c>
      <c r="AB1923">
        <v>0</v>
      </c>
      <c r="AE1923">
        <v>0</v>
      </c>
      <c r="AF1923">
        <v>1</v>
      </c>
      <c r="AG1923">
        <v>1</v>
      </c>
      <c r="AH1923">
        <v>59.04</v>
      </c>
      <c r="AK1923" t="s">
        <v>10966</v>
      </c>
      <c r="AL1923">
        <v>9984</v>
      </c>
      <c r="AR1923">
        <v>0.5</v>
      </c>
      <c r="AS1923" t="s">
        <v>11160</v>
      </c>
      <c r="AT1923" t="s">
        <v>288</v>
      </c>
      <c r="AU1923" t="s">
        <v>11229</v>
      </c>
      <c r="AV1923" t="s">
        <v>11231</v>
      </c>
      <c r="AW1923" t="s">
        <v>11127</v>
      </c>
    </row>
    <row r="1924" spans="1:49">
      <c r="A1924" s="1">
        <f>HYPERLINK("https://lsnyc.legalserver.org/matter/dynamic-profile/view/1902752","19-1902752")</f>
        <v>0</v>
      </c>
      <c r="B1924" t="s">
        <v>152</v>
      </c>
      <c r="C1924" t="s">
        <v>716</v>
      </c>
      <c r="D1924" t="s">
        <v>2252</v>
      </c>
      <c r="E1924" t="s">
        <v>4799</v>
      </c>
      <c r="G1924" t="s">
        <v>5635</v>
      </c>
      <c r="H1924">
        <v>10469</v>
      </c>
      <c r="I1924" t="s">
        <v>5696</v>
      </c>
      <c r="J1924" t="s">
        <v>5696</v>
      </c>
      <c r="O1924" t="s">
        <v>6784</v>
      </c>
      <c r="R1924" t="s">
        <v>6797</v>
      </c>
      <c r="U1924">
        <v>0</v>
      </c>
      <c r="V1924" t="s">
        <v>6833</v>
      </c>
      <c r="Y1924" t="s">
        <v>8635</v>
      </c>
      <c r="AA1924" t="s">
        <v>10676</v>
      </c>
      <c r="AB1924">
        <v>0</v>
      </c>
      <c r="AE1924">
        <v>0</v>
      </c>
      <c r="AF1924">
        <v>1</v>
      </c>
      <c r="AG1924">
        <v>0</v>
      </c>
      <c r="AH1924">
        <v>520.42</v>
      </c>
      <c r="AL1924">
        <v>65000</v>
      </c>
      <c r="AR1924">
        <v>17</v>
      </c>
      <c r="AS1924" t="s">
        <v>6823</v>
      </c>
      <c r="AT1924" t="s">
        <v>296</v>
      </c>
      <c r="AV1924" t="s">
        <v>11231</v>
      </c>
      <c r="AW1924" t="s">
        <v>11133</v>
      </c>
    </row>
    <row r="1925" spans="1:49">
      <c r="A1925" s="1">
        <f>HYPERLINK("https://lsnyc.legalserver.org/matter/dynamic-profile/view/1895694","19-1895694")</f>
        <v>0</v>
      </c>
      <c r="B1925" t="s">
        <v>179</v>
      </c>
      <c r="C1925" t="s">
        <v>1493</v>
      </c>
      <c r="D1925" t="s">
        <v>2887</v>
      </c>
      <c r="E1925" t="s">
        <v>4800</v>
      </c>
      <c r="G1925" t="s">
        <v>5635</v>
      </c>
      <c r="H1925">
        <v>10461</v>
      </c>
      <c r="I1925" t="s">
        <v>5696</v>
      </c>
      <c r="J1925" t="s">
        <v>5696</v>
      </c>
      <c r="O1925" t="s">
        <v>6770</v>
      </c>
      <c r="R1925" t="s">
        <v>6795</v>
      </c>
      <c r="U1925">
        <v>0</v>
      </c>
      <c r="V1925" t="s">
        <v>6833</v>
      </c>
      <c r="Y1925" t="s">
        <v>8636</v>
      </c>
      <c r="Z1925" t="s">
        <v>9088</v>
      </c>
      <c r="AA1925" t="s">
        <v>10677</v>
      </c>
      <c r="AB1925">
        <v>0</v>
      </c>
      <c r="AE1925">
        <v>0</v>
      </c>
      <c r="AF1925">
        <v>1</v>
      </c>
      <c r="AG1925">
        <v>1</v>
      </c>
      <c r="AH1925">
        <v>0</v>
      </c>
      <c r="AK1925" t="s">
        <v>10966</v>
      </c>
      <c r="AL1925">
        <v>0</v>
      </c>
      <c r="AR1925">
        <v>12.05</v>
      </c>
      <c r="AS1925" t="s">
        <v>6808</v>
      </c>
      <c r="AT1925" t="s">
        <v>179</v>
      </c>
      <c r="AV1925" t="s">
        <v>11231</v>
      </c>
      <c r="AW1925" t="s">
        <v>11167</v>
      </c>
    </row>
    <row r="1926" spans="1:49">
      <c r="A1926" s="1">
        <f>HYPERLINK("https://lsnyc.legalserver.org/matter/dynamic-profile/view/1900170","19-1900170")</f>
        <v>0</v>
      </c>
      <c r="B1926" t="s">
        <v>150</v>
      </c>
      <c r="C1926" t="s">
        <v>876</v>
      </c>
      <c r="D1926" t="s">
        <v>1717</v>
      </c>
      <c r="E1926" t="s">
        <v>4801</v>
      </c>
      <c r="G1926" t="s">
        <v>5636</v>
      </c>
      <c r="H1926">
        <v>10303</v>
      </c>
      <c r="I1926" t="s">
        <v>5696</v>
      </c>
      <c r="J1926" t="s">
        <v>5696</v>
      </c>
      <c r="O1926" t="s">
        <v>6779</v>
      </c>
      <c r="R1926" t="s">
        <v>6799</v>
      </c>
      <c r="U1926">
        <v>0</v>
      </c>
      <c r="V1926" t="s">
        <v>6834</v>
      </c>
      <c r="Y1926" t="s">
        <v>8637</v>
      </c>
      <c r="AA1926" t="s">
        <v>10678</v>
      </c>
      <c r="AB1926">
        <v>0</v>
      </c>
      <c r="AE1926">
        <v>0</v>
      </c>
      <c r="AF1926">
        <v>2</v>
      </c>
      <c r="AG1926">
        <v>3</v>
      </c>
      <c r="AH1926">
        <v>79.55</v>
      </c>
      <c r="AL1926">
        <v>24000</v>
      </c>
      <c r="AR1926">
        <v>7.8</v>
      </c>
      <c r="AS1926" t="s">
        <v>6808</v>
      </c>
      <c r="AT1926" t="s">
        <v>11211</v>
      </c>
      <c r="AV1926" t="s">
        <v>11231</v>
      </c>
      <c r="AW1926" t="s">
        <v>11157</v>
      </c>
    </row>
    <row r="1927" spans="1:49">
      <c r="A1927" s="1">
        <f>HYPERLINK("https://lsnyc.legalserver.org/matter/dynamic-profile/view/1902692","19-1902692")</f>
        <v>0</v>
      </c>
      <c r="B1927" t="s">
        <v>278</v>
      </c>
      <c r="C1927" t="s">
        <v>1494</v>
      </c>
      <c r="D1927" t="s">
        <v>2888</v>
      </c>
      <c r="E1927" t="s">
        <v>4802</v>
      </c>
      <c r="F1927" t="s">
        <v>5139</v>
      </c>
      <c r="G1927" t="s">
        <v>5637</v>
      </c>
      <c r="H1927">
        <v>11203</v>
      </c>
      <c r="I1927" t="s">
        <v>5696</v>
      </c>
      <c r="J1927" t="s">
        <v>5696</v>
      </c>
      <c r="O1927" t="s">
        <v>6748</v>
      </c>
      <c r="R1927" t="s">
        <v>6793</v>
      </c>
      <c r="U1927">
        <v>800</v>
      </c>
      <c r="V1927" t="s">
        <v>6835</v>
      </c>
      <c r="W1927" t="s">
        <v>6844</v>
      </c>
      <c r="Y1927" t="s">
        <v>8638</v>
      </c>
      <c r="AA1927" t="s">
        <v>10679</v>
      </c>
      <c r="AB1927">
        <v>36</v>
      </c>
      <c r="AC1927" t="s">
        <v>10929</v>
      </c>
      <c r="AD1927" t="s">
        <v>5741</v>
      </c>
      <c r="AE1927">
        <v>8</v>
      </c>
      <c r="AF1927">
        <v>1</v>
      </c>
      <c r="AG1927">
        <v>0</v>
      </c>
      <c r="AH1927">
        <v>0</v>
      </c>
      <c r="AK1927" t="s">
        <v>10966</v>
      </c>
      <c r="AL1927">
        <v>0</v>
      </c>
      <c r="AR1927">
        <v>1</v>
      </c>
      <c r="AS1927" t="s">
        <v>11137</v>
      </c>
      <c r="AT1927" t="s">
        <v>11203</v>
      </c>
      <c r="AV1927" t="s">
        <v>11231</v>
      </c>
      <c r="AW1927" t="s">
        <v>11137</v>
      </c>
    </row>
    <row r="1928" spans="1:49">
      <c r="A1928" s="1">
        <f>HYPERLINK("https://lsnyc.legalserver.org/matter/dynamic-profile/view/1897612","19-1897612")</f>
        <v>0</v>
      </c>
      <c r="B1928" t="s">
        <v>136</v>
      </c>
      <c r="C1928" t="s">
        <v>450</v>
      </c>
      <c r="D1928" t="s">
        <v>2766</v>
      </c>
      <c r="E1928" t="s">
        <v>4608</v>
      </c>
      <c r="F1928" t="s">
        <v>5315</v>
      </c>
      <c r="G1928" t="s">
        <v>5637</v>
      </c>
      <c r="H1928">
        <v>11210</v>
      </c>
      <c r="I1928" t="s">
        <v>5696</v>
      </c>
      <c r="J1928" t="s">
        <v>5696</v>
      </c>
      <c r="O1928" t="s">
        <v>6771</v>
      </c>
      <c r="R1928" t="s">
        <v>6800</v>
      </c>
      <c r="U1928">
        <v>0</v>
      </c>
      <c r="V1928" t="s">
        <v>6835</v>
      </c>
      <c r="Y1928" t="s">
        <v>8441</v>
      </c>
      <c r="AA1928" t="s">
        <v>10477</v>
      </c>
      <c r="AB1928">
        <v>0</v>
      </c>
      <c r="AE1928">
        <v>0</v>
      </c>
      <c r="AF1928">
        <v>3</v>
      </c>
      <c r="AG1928">
        <v>2</v>
      </c>
      <c r="AH1928">
        <v>71.79000000000001</v>
      </c>
      <c r="AK1928" t="s">
        <v>10966</v>
      </c>
      <c r="AL1928">
        <v>21660</v>
      </c>
      <c r="AR1928">
        <v>13.5</v>
      </c>
      <c r="AS1928" t="s">
        <v>6823</v>
      </c>
      <c r="AT1928" t="s">
        <v>11214</v>
      </c>
      <c r="AV1928" t="s">
        <v>11231</v>
      </c>
      <c r="AW1928" t="s">
        <v>10960</v>
      </c>
    </row>
    <row r="1929" spans="1:49">
      <c r="A1929" s="1">
        <f>HYPERLINK("https://lsnyc.legalserver.org/matter/dynamic-profile/view/1898094","19-1898094")</f>
        <v>0</v>
      </c>
      <c r="B1929" t="s">
        <v>261</v>
      </c>
      <c r="C1929" t="s">
        <v>803</v>
      </c>
      <c r="D1929" t="s">
        <v>2889</v>
      </c>
      <c r="E1929" t="s">
        <v>4803</v>
      </c>
      <c r="G1929" t="s">
        <v>5656</v>
      </c>
      <c r="H1929">
        <v>11413</v>
      </c>
      <c r="I1929" t="s">
        <v>5696</v>
      </c>
      <c r="J1929" t="s">
        <v>5696</v>
      </c>
      <c r="O1929" t="s">
        <v>6753</v>
      </c>
      <c r="R1929" t="s">
        <v>6799</v>
      </c>
      <c r="U1929">
        <v>0</v>
      </c>
      <c r="V1929" t="s">
        <v>6837</v>
      </c>
      <c r="Y1929" t="s">
        <v>8639</v>
      </c>
      <c r="AA1929" t="s">
        <v>10680</v>
      </c>
      <c r="AB1929">
        <v>0</v>
      </c>
      <c r="AE1929">
        <v>0</v>
      </c>
      <c r="AF1929">
        <v>2</v>
      </c>
      <c r="AG1929">
        <v>5</v>
      </c>
      <c r="AH1929">
        <v>271.73</v>
      </c>
      <c r="AK1929" t="s">
        <v>10966</v>
      </c>
      <c r="AL1929">
        <v>106000</v>
      </c>
      <c r="AR1929">
        <v>4.55</v>
      </c>
      <c r="AS1929" t="s">
        <v>6812</v>
      </c>
      <c r="AT1929" t="s">
        <v>11184</v>
      </c>
      <c r="AV1929" t="s">
        <v>11231</v>
      </c>
      <c r="AW1929" t="s">
        <v>10961</v>
      </c>
    </row>
    <row r="1930" spans="1:49">
      <c r="A1930" s="1">
        <f>HYPERLINK("https://lsnyc.legalserver.org/matter/dynamic-profile/view/1902279","19-1902279")</f>
        <v>0</v>
      </c>
      <c r="B1930" t="s">
        <v>278</v>
      </c>
      <c r="C1930" t="s">
        <v>1495</v>
      </c>
      <c r="D1930" t="s">
        <v>2890</v>
      </c>
      <c r="E1930" t="s">
        <v>4804</v>
      </c>
      <c r="F1930" t="s">
        <v>5598</v>
      </c>
      <c r="G1930" t="s">
        <v>5637</v>
      </c>
      <c r="H1930">
        <v>11226</v>
      </c>
      <c r="I1930" t="s">
        <v>5696</v>
      </c>
      <c r="J1930" t="s">
        <v>5696</v>
      </c>
      <c r="O1930" t="s">
        <v>6753</v>
      </c>
      <c r="R1930" t="s">
        <v>6793</v>
      </c>
      <c r="U1930">
        <v>1462</v>
      </c>
      <c r="V1930" t="s">
        <v>6835</v>
      </c>
      <c r="W1930" t="s">
        <v>6842</v>
      </c>
      <c r="Y1930" t="s">
        <v>8640</v>
      </c>
      <c r="AA1930" t="s">
        <v>10681</v>
      </c>
      <c r="AB1930">
        <v>42</v>
      </c>
      <c r="AC1930" t="s">
        <v>10929</v>
      </c>
      <c r="AD1930" t="s">
        <v>5741</v>
      </c>
      <c r="AE1930">
        <v>4</v>
      </c>
      <c r="AF1930">
        <v>1</v>
      </c>
      <c r="AG1930">
        <v>0</v>
      </c>
      <c r="AH1930">
        <v>364.29</v>
      </c>
      <c r="AK1930" t="s">
        <v>10966</v>
      </c>
      <c r="AL1930">
        <v>45500</v>
      </c>
      <c r="AR1930">
        <v>1</v>
      </c>
      <c r="AS1930" t="s">
        <v>11140</v>
      </c>
      <c r="AT1930" t="s">
        <v>11203</v>
      </c>
      <c r="AV1930" t="s">
        <v>11231</v>
      </c>
      <c r="AW1930" t="s">
        <v>11140</v>
      </c>
    </row>
    <row r="1931" spans="1:49">
      <c r="A1931" s="1">
        <f>HYPERLINK("https://lsnyc.legalserver.org/matter/dynamic-profile/view/1905773","19-1905773")</f>
        <v>0</v>
      </c>
      <c r="B1931" t="s">
        <v>246</v>
      </c>
      <c r="C1931" t="s">
        <v>760</v>
      </c>
      <c r="D1931" t="s">
        <v>2891</v>
      </c>
      <c r="E1931" t="s">
        <v>4805</v>
      </c>
      <c r="F1931" t="s">
        <v>5100</v>
      </c>
      <c r="G1931" t="s">
        <v>5652</v>
      </c>
      <c r="H1931">
        <v>11692</v>
      </c>
      <c r="I1931" t="s">
        <v>5697</v>
      </c>
      <c r="J1931" t="s">
        <v>5696</v>
      </c>
      <c r="O1931" t="s">
        <v>6748</v>
      </c>
      <c r="P1931" t="s">
        <v>5695</v>
      </c>
      <c r="R1931" t="s">
        <v>6794</v>
      </c>
      <c r="U1931">
        <v>897</v>
      </c>
      <c r="V1931" t="s">
        <v>6837</v>
      </c>
      <c r="W1931" t="s">
        <v>6852</v>
      </c>
      <c r="Y1931" t="s">
        <v>8641</v>
      </c>
      <c r="AA1931" t="s">
        <v>10682</v>
      </c>
      <c r="AB1931">
        <v>45</v>
      </c>
      <c r="AC1931" t="s">
        <v>10931</v>
      </c>
      <c r="AD1931" t="s">
        <v>10944</v>
      </c>
      <c r="AE1931">
        <v>10</v>
      </c>
      <c r="AF1931">
        <v>2</v>
      </c>
      <c r="AG1931">
        <v>1</v>
      </c>
      <c r="AH1931">
        <v>167.36</v>
      </c>
      <c r="AK1931" t="s">
        <v>10966</v>
      </c>
      <c r="AL1931">
        <v>35698</v>
      </c>
      <c r="AR1931">
        <v>0.33</v>
      </c>
      <c r="AS1931" t="s">
        <v>6823</v>
      </c>
      <c r="AT1931" t="s">
        <v>11184</v>
      </c>
      <c r="AU1931" t="s">
        <v>11228</v>
      </c>
      <c r="AV1931" t="s">
        <v>11231</v>
      </c>
      <c r="AW1931" t="s">
        <v>6823</v>
      </c>
    </row>
    <row r="1932" spans="1:49">
      <c r="A1932" s="1">
        <f>HYPERLINK("https://lsnyc.legalserver.org/matter/dynamic-profile/view/1905088","19-1905088")</f>
        <v>0</v>
      </c>
      <c r="B1932" t="s">
        <v>209</v>
      </c>
      <c r="C1932" t="s">
        <v>1022</v>
      </c>
      <c r="D1932" t="s">
        <v>1220</v>
      </c>
      <c r="E1932" t="s">
        <v>4806</v>
      </c>
      <c r="F1932" t="s">
        <v>5599</v>
      </c>
      <c r="G1932" t="s">
        <v>5635</v>
      </c>
      <c r="H1932">
        <v>10452</v>
      </c>
      <c r="I1932" t="s">
        <v>5696</v>
      </c>
      <c r="J1932" t="s">
        <v>5696</v>
      </c>
      <c r="O1932" t="s">
        <v>6745</v>
      </c>
      <c r="R1932" t="s">
        <v>6793</v>
      </c>
      <c r="U1932">
        <v>1270</v>
      </c>
      <c r="V1932" t="s">
        <v>6833</v>
      </c>
      <c r="Y1932" t="s">
        <v>8642</v>
      </c>
      <c r="AA1932" t="s">
        <v>10683</v>
      </c>
      <c r="AB1932">
        <v>40</v>
      </c>
      <c r="AE1932">
        <v>6</v>
      </c>
      <c r="AF1932">
        <v>2</v>
      </c>
      <c r="AG1932">
        <v>0</v>
      </c>
      <c r="AH1932">
        <v>20.58</v>
      </c>
      <c r="AK1932" t="s">
        <v>10967</v>
      </c>
      <c r="AL1932">
        <v>3480</v>
      </c>
      <c r="AR1932">
        <v>1.2</v>
      </c>
      <c r="AS1932" t="s">
        <v>6823</v>
      </c>
      <c r="AT1932" t="s">
        <v>11192</v>
      </c>
      <c r="AV1932" t="s">
        <v>11231</v>
      </c>
      <c r="AW1932" t="s">
        <v>6814</v>
      </c>
    </row>
    <row r="1933" spans="1:49">
      <c r="A1933" s="1">
        <f>HYPERLINK("https://lsnyc.legalserver.org/matter/dynamic-profile/view/1896014","19-1896014")</f>
        <v>0</v>
      </c>
      <c r="B1933" t="s">
        <v>290</v>
      </c>
      <c r="C1933" t="s">
        <v>679</v>
      </c>
      <c r="D1933" t="s">
        <v>2892</v>
      </c>
      <c r="E1933" t="s">
        <v>4807</v>
      </c>
      <c r="G1933" t="s">
        <v>5635</v>
      </c>
      <c r="H1933">
        <v>10466</v>
      </c>
      <c r="I1933" t="s">
        <v>5696</v>
      </c>
      <c r="J1933" t="s">
        <v>5696</v>
      </c>
      <c r="O1933" t="s">
        <v>6767</v>
      </c>
      <c r="R1933" t="s">
        <v>6797</v>
      </c>
      <c r="U1933">
        <v>0</v>
      </c>
      <c r="V1933" t="s">
        <v>6833</v>
      </c>
      <c r="Y1933" t="s">
        <v>8643</v>
      </c>
      <c r="AA1933" t="s">
        <v>10684</v>
      </c>
      <c r="AB1933">
        <v>0</v>
      </c>
      <c r="AE1933">
        <v>0</v>
      </c>
      <c r="AF1933">
        <v>4</v>
      </c>
      <c r="AG1933">
        <v>0</v>
      </c>
      <c r="AH1933">
        <v>161.55</v>
      </c>
      <c r="AK1933" t="s">
        <v>10966</v>
      </c>
      <c r="AL1933">
        <v>41600</v>
      </c>
      <c r="AR1933">
        <v>7.2</v>
      </c>
      <c r="AS1933" t="s">
        <v>6816</v>
      </c>
      <c r="AT1933" t="s">
        <v>296</v>
      </c>
      <c r="AV1933" t="s">
        <v>11231</v>
      </c>
      <c r="AW1933" t="s">
        <v>11170</v>
      </c>
    </row>
    <row r="1934" spans="1:49">
      <c r="A1934" s="1">
        <f>HYPERLINK("https://lsnyc.legalserver.org/matter/dynamic-profile/view/1903893","19-1903893")</f>
        <v>0</v>
      </c>
      <c r="B1934" t="s">
        <v>163</v>
      </c>
      <c r="C1934" t="s">
        <v>1496</v>
      </c>
      <c r="D1934" t="s">
        <v>2893</v>
      </c>
      <c r="E1934" t="s">
        <v>4808</v>
      </c>
      <c r="G1934" t="s">
        <v>5637</v>
      </c>
      <c r="H1934">
        <v>11236</v>
      </c>
      <c r="I1934" t="s">
        <v>5696</v>
      </c>
      <c r="J1934" t="s">
        <v>5696</v>
      </c>
      <c r="O1934" t="s">
        <v>6780</v>
      </c>
      <c r="R1934" t="s">
        <v>6799</v>
      </c>
      <c r="U1934">
        <v>0</v>
      </c>
      <c r="V1934" t="s">
        <v>6835</v>
      </c>
      <c r="Y1934" t="s">
        <v>8644</v>
      </c>
      <c r="AA1934" t="s">
        <v>10685</v>
      </c>
      <c r="AB1934">
        <v>0</v>
      </c>
      <c r="AE1934">
        <v>0</v>
      </c>
      <c r="AF1934">
        <v>4</v>
      </c>
      <c r="AG1934">
        <v>1</v>
      </c>
      <c r="AH1934">
        <v>124.45</v>
      </c>
      <c r="AK1934" t="s">
        <v>10966</v>
      </c>
      <c r="AL1934">
        <v>37548</v>
      </c>
      <c r="AR1934">
        <v>12</v>
      </c>
      <c r="AS1934" t="s">
        <v>6821</v>
      </c>
      <c r="AT1934" t="s">
        <v>163</v>
      </c>
      <c r="AV1934" t="s">
        <v>11231</v>
      </c>
      <c r="AW1934" t="s">
        <v>11235</v>
      </c>
    </row>
    <row r="1935" spans="1:49">
      <c r="A1935" s="1">
        <f>HYPERLINK("https://lsnyc.legalserver.org/matter/dynamic-profile/view/1905599","19-1905599")</f>
        <v>0</v>
      </c>
      <c r="B1935" t="s">
        <v>298</v>
      </c>
      <c r="C1935" t="s">
        <v>432</v>
      </c>
      <c r="D1935" t="s">
        <v>1757</v>
      </c>
      <c r="E1935" t="s">
        <v>4809</v>
      </c>
      <c r="F1935">
        <v>4</v>
      </c>
      <c r="G1935" t="s">
        <v>5635</v>
      </c>
      <c r="H1935">
        <v>10452</v>
      </c>
      <c r="I1935" t="s">
        <v>5697</v>
      </c>
      <c r="J1935" t="s">
        <v>5696</v>
      </c>
      <c r="O1935" t="s">
        <v>6764</v>
      </c>
      <c r="R1935" t="s">
        <v>6795</v>
      </c>
      <c r="U1935">
        <v>927.87</v>
      </c>
      <c r="V1935" t="s">
        <v>6833</v>
      </c>
      <c r="W1935" t="s">
        <v>6843</v>
      </c>
      <c r="Y1935" t="s">
        <v>8645</v>
      </c>
      <c r="AA1935" t="s">
        <v>10686</v>
      </c>
      <c r="AB1935">
        <v>0</v>
      </c>
      <c r="AC1935" t="s">
        <v>8953</v>
      </c>
      <c r="AD1935" t="s">
        <v>5741</v>
      </c>
      <c r="AE1935">
        <v>23</v>
      </c>
      <c r="AF1935">
        <v>2</v>
      </c>
      <c r="AG1935">
        <v>0</v>
      </c>
      <c r="AH1935">
        <v>55.07</v>
      </c>
      <c r="AK1935" t="s">
        <v>10967</v>
      </c>
      <c r="AL1935">
        <v>9312</v>
      </c>
      <c r="AR1935">
        <v>1.5</v>
      </c>
      <c r="AS1935" t="s">
        <v>6826</v>
      </c>
      <c r="AT1935" t="s">
        <v>11179</v>
      </c>
      <c r="AV1935" t="s">
        <v>11231</v>
      </c>
      <c r="AW1935" t="s">
        <v>6819</v>
      </c>
    </row>
    <row r="1936" spans="1:49">
      <c r="A1936" s="1">
        <f>HYPERLINK("https://lsnyc.legalserver.org/matter/dynamic-profile/view/1904653","19-1904653")</f>
        <v>0</v>
      </c>
      <c r="B1936" t="s">
        <v>261</v>
      </c>
      <c r="C1936" t="s">
        <v>335</v>
      </c>
      <c r="D1936" t="s">
        <v>2894</v>
      </c>
      <c r="E1936" t="s">
        <v>4810</v>
      </c>
      <c r="G1936" t="s">
        <v>5670</v>
      </c>
      <c r="H1936">
        <v>11103</v>
      </c>
      <c r="I1936" t="s">
        <v>5696</v>
      </c>
      <c r="J1936" t="s">
        <v>5696</v>
      </c>
      <c r="O1936" t="s">
        <v>6778</v>
      </c>
      <c r="R1936" t="s">
        <v>6798</v>
      </c>
      <c r="U1936">
        <v>0</v>
      </c>
      <c r="V1936" t="s">
        <v>6837</v>
      </c>
      <c r="Y1936" t="s">
        <v>8646</v>
      </c>
      <c r="AA1936" t="s">
        <v>10687</v>
      </c>
      <c r="AB1936">
        <v>0</v>
      </c>
      <c r="AE1936">
        <v>0</v>
      </c>
      <c r="AF1936">
        <v>1</v>
      </c>
      <c r="AG1936">
        <v>0</v>
      </c>
      <c r="AH1936">
        <v>52.84</v>
      </c>
      <c r="AK1936" t="s">
        <v>10988</v>
      </c>
      <c r="AL1936">
        <v>6600</v>
      </c>
      <c r="AR1936">
        <v>6.3</v>
      </c>
      <c r="AS1936" t="s">
        <v>6820</v>
      </c>
      <c r="AT1936" t="s">
        <v>261</v>
      </c>
      <c r="AV1936" t="s">
        <v>11231</v>
      </c>
      <c r="AW1936" t="s">
        <v>6809</v>
      </c>
    </row>
    <row r="1937" spans="1:49">
      <c r="A1937" s="1">
        <f>HYPERLINK("https://lsnyc.legalserver.org/matter/dynamic-profile/view/1903367","19-1903367")</f>
        <v>0</v>
      </c>
      <c r="B1937" t="s">
        <v>205</v>
      </c>
      <c r="C1937" t="s">
        <v>460</v>
      </c>
      <c r="D1937" t="s">
        <v>2526</v>
      </c>
      <c r="E1937" t="s">
        <v>4811</v>
      </c>
      <c r="F1937" t="s">
        <v>5096</v>
      </c>
      <c r="G1937" t="s">
        <v>5637</v>
      </c>
      <c r="H1937">
        <v>11208</v>
      </c>
      <c r="I1937" t="s">
        <v>5696</v>
      </c>
      <c r="J1937" t="s">
        <v>5696</v>
      </c>
      <c r="O1937" t="s">
        <v>6748</v>
      </c>
      <c r="R1937" t="s">
        <v>6793</v>
      </c>
      <c r="U1937">
        <v>1800</v>
      </c>
      <c r="V1937" t="s">
        <v>6835</v>
      </c>
      <c r="Y1937" t="s">
        <v>8647</v>
      </c>
      <c r="AA1937" t="s">
        <v>10688</v>
      </c>
      <c r="AB1937">
        <v>3</v>
      </c>
      <c r="AE1937">
        <v>0</v>
      </c>
      <c r="AF1937">
        <v>1</v>
      </c>
      <c r="AG1937">
        <v>1</v>
      </c>
      <c r="AH1937">
        <v>74.81999999999999</v>
      </c>
      <c r="AK1937" t="s">
        <v>10966</v>
      </c>
      <c r="AL1937">
        <v>12652</v>
      </c>
      <c r="AR1937">
        <v>0.5</v>
      </c>
      <c r="AS1937" t="s">
        <v>11136</v>
      </c>
      <c r="AT1937" t="s">
        <v>11181</v>
      </c>
      <c r="AV1937" t="s">
        <v>11231</v>
      </c>
      <c r="AW1937" t="s">
        <v>11136</v>
      </c>
    </row>
    <row r="1938" spans="1:49">
      <c r="A1938" s="1">
        <f>HYPERLINK("https://lsnyc.legalserver.org/matter/dynamic-profile/view/1904587","19-1904587")</f>
        <v>0</v>
      </c>
      <c r="B1938" t="s">
        <v>152</v>
      </c>
      <c r="C1938" t="s">
        <v>343</v>
      </c>
      <c r="D1938" t="s">
        <v>2895</v>
      </c>
      <c r="E1938" t="s">
        <v>4812</v>
      </c>
      <c r="F1938">
        <v>1</v>
      </c>
      <c r="G1938" t="s">
        <v>5635</v>
      </c>
      <c r="H1938">
        <v>10454</v>
      </c>
      <c r="I1938" t="s">
        <v>5696</v>
      </c>
      <c r="J1938" t="s">
        <v>5696</v>
      </c>
      <c r="O1938" t="s">
        <v>6784</v>
      </c>
      <c r="R1938" t="s">
        <v>6797</v>
      </c>
      <c r="U1938">
        <v>0</v>
      </c>
      <c r="V1938" t="s">
        <v>6833</v>
      </c>
      <c r="Y1938" t="s">
        <v>8648</v>
      </c>
      <c r="AA1938" t="s">
        <v>10689</v>
      </c>
      <c r="AB1938">
        <v>0</v>
      </c>
      <c r="AE1938">
        <v>0</v>
      </c>
      <c r="AF1938">
        <v>2</v>
      </c>
      <c r="AG1938">
        <v>0</v>
      </c>
      <c r="AH1938">
        <v>98.5</v>
      </c>
      <c r="AK1938" t="s">
        <v>10966</v>
      </c>
      <c r="AL1938">
        <v>16656</v>
      </c>
      <c r="AR1938">
        <v>2.25</v>
      </c>
      <c r="AS1938" t="s">
        <v>6816</v>
      </c>
      <c r="AT1938" t="s">
        <v>296</v>
      </c>
      <c r="AV1938" t="s">
        <v>11231</v>
      </c>
      <c r="AW1938" t="s">
        <v>6810</v>
      </c>
    </row>
    <row r="1939" spans="1:49">
      <c r="A1939" s="1">
        <f>HYPERLINK("https://lsnyc.legalserver.org/matter/dynamic-profile/view/1904031","19-1904031")</f>
        <v>0</v>
      </c>
      <c r="B1939" t="s">
        <v>145</v>
      </c>
      <c r="C1939" t="s">
        <v>519</v>
      </c>
      <c r="D1939" t="s">
        <v>2896</v>
      </c>
      <c r="E1939" t="s">
        <v>4813</v>
      </c>
      <c r="F1939" t="s">
        <v>5600</v>
      </c>
      <c r="G1939" t="s">
        <v>5638</v>
      </c>
      <c r="H1939">
        <v>10016</v>
      </c>
      <c r="I1939" t="s">
        <v>5696</v>
      </c>
      <c r="J1939" t="s">
        <v>5696</v>
      </c>
      <c r="O1939" t="s">
        <v>6777</v>
      </c>
      <c r="R1939" t="s">
        <v>6793</v>
      </c>
      <c r="U1939">
        <v>0</v>
      </c>
      <c r="V1939" t="s">
        <v>6836</v>
      </c>
      <c r="Y1939" t="s">
        <v>8649</v>
      </c>
      <c r="AA1939" t="s">
        <v>10690</v>
      </c>
      <c r="AB1939">
        <v>0</v>
      </c>
      <c r="AE1939">
        <v>0</v>
      </c>
      <c r="AF1939">
        <v>1</v>
      </c>
      <c r="AG1939">
        <v>0</v>
      </c>
      <c r="AH1939">
        <v>18.06</v>
      </c>
      <c r="AL1939">
        <v>2256</v>
      </c>
      <c r="AR1939">
        <v>16.08</v>
      </c>
      <c r="AS1939" t="s">
        <v>6827</v>
      </c>
      <c r="AT1939" t="s">
        <v>156</v>
      </c>
      <c r="AV1939" t="s">
        <v>11231</v>
      </c>
      <c r="AW1939" t="s">
        <v>6825</v>
      </c>
    </row>
    <row r="1940" spans="1:49">
      <c r="A1940" s="1">
        <f>HYPERLINK("https://lsnyc.legalserver.org/matter/dynamic-profile/view/1902857","19-1902857")</f>
        <v>0</v>
      </c>
      <c r="B1940" t="s">
        <v>152</v>
      </c>
      <c r="C1940" t="s">
        <v>1497</v>
      </c>
      <c r="D1940" t="s">
        <v>2897</v>
      </c>
      <c r="E1940" t="s">
        <v>4814</v>
      </c>
      <c r="G1940" t="s">
        <v>5635</v>
      </c>
      <c r="H1940">
        <v>10466</v>
      </c>
      <c r="I1940" t="s">
        <v>5696</v>
      </c>
      <c r="J1940" t="s">
        <v>5696</v>
      </c>
      <c r="O1940" t="s">
        <v>6784</v>
      </c>
      <c r="R1940" t="s">
        <v>6798</v>
      </c>
      <c r="U1940">
        <v>0</v>
      </c>
      <c r="V1940" t="s">
        <v>6833</v>
      </c>
      <c r="Y1940" t="s">
        <v>8650</v>
      </c>
      <c r="AA1940" t="s">
        <v>10691</v>
      </c>
      <c r="AB1940">
        <v>0</v>
      </c>
      <c r="AE1940">
        <v>0</v>
      </c>
      <c r="AF1940">
        <v>5</v>
      </c>
      <c r="AG1940">
        <v>0</v>
      </c>
      <c r="AH1940">
        <v>165.73</v>
      </c>
      <c r="AK1940" t="s">
        <v>10967</v>
      </c>
      <c r="AL1940">
        <v>50000</v>
      </c>
      <c r="AR1940">
        <v>4</v>
      </c>
      <c r="AS1940" t="s">
        <v>6808</v>
      </c>
      <c r="AT1940" t="s">
        <v>296</v>
      </c>
      <c r="AV1940" t="s">
        <v>11231</v>
      </c>
      <c r="AW1940" t="s">
        <v>11131</v>
      </c>
    </row>
    <row r="1941" spans="1:49">
      <c r="A1941" s="1">
        <f>HYPERLINK("https://lsnyc.legalserver.org/matter/dynamic-profile/view/1902297","19-1902297")</f>
        <v>0</v>
      </c>
      <c r="B1941" t="s">
        <v>76</v>
      </c>
      <c r="C1941" t="s">
        <v>1498</v>
      </c>
      <c r="D1941" t="s">
        <v>2112</v>
      </c>
      <c r="E1941" t="s">
        <v>4815</v>
      </c>
      <c r="F1941" t="s">
        <v>5103</v>
      </c>
      <c r="G1941" t="s">
        <v>5635</v>
      </c>
      <c r="H1941">
        <v>10461</v>
      </c>
      <c r="I1941" t="s">
        <v>5695</v>
      </c>
      <c r="J1941" t="s">
        <v>5696</v>
      </c>
      <c r="O1941" t="s">
        <v>6747</v>
      </c>
      <c r="P1941" t="s">
        <v>5697</v>
      </c>
      <c r="R1941" t="s">
        <v>6793</v>
      </c>
      <c r="U1941">
        <v>1500</v>
      </c>
      <c r="V1941" t="s">
        <v>6833</v>
      </c>
      <c r="W1941" t="s">
        <v>6852</v>
      </c>
      <c r="Y1941" t="s">
        <v>8651</v>
      </c>
      <c r="Z1941" t="s">
        <v>9089</v>
      </c>
      <c r="AA1941" t="s">
        <v>10692</v>
      </c>
      <c r="AB1941">
        <v>0</v>
      </c>
      <c r="AC1941" t="s">
        <v>10929</v>
      </c>
      <c r="AD1941" t="s">
        <v>5741</v>
      </c>
      <c r="AE1941">
        <v>10</v>
      </c>
      <c r="AF1941">
        <v>2</v>
      </c>
      <c r="AG1941">
        <v>1</v>
      </c>
      <c r="AH1941">
        <v>210.97</v>
      </c>
      <c r="AK1941" t="s">
        <v>10966</v>
      </c>
      <c r="AL1941">
        <v>45000</v>
      </c>
      <c r="AR1941">
        <v>0</v>
      </c>
      <c r="AT1941" t="s">
        <v>11222</v>
      </c>
      <c r="AU1941" t="s">
        <v>11229</v>
      </c>
      <c r="AV1941" t="s">
        <v>11231</v>
      </c>
      <c r="AW1941" t="s">
        <v>11140</v>
      </c>
    </row>
    <row r="1942" spans="1:49">
      <c r="A1942" s="1">
        <f>HYPERLINK("https://lsnyc.legalserver.org/matter/dynamic-profile/view/1901616","19-1901616")</f>
        <v>0</v>
      </c>
      <c r="B1942" t="s">
        <v>116</v>
      </c>
      <c r="C1942" t="s">
        <v>1499</v>
      </c>
      <c r="D1942" t="s">
        <v>2898</v>
      </c>
      <c r="E1942" t="s">
        <v>4816</v>
      </c>
      <c r="G1942" t="s">
        <v>5667</v>
      </c>
      <c r="H1942">
        <v>11419</v>
      </c>
      <c r="I1942" t="s">
        <v>5696</v>
      </c>
      <c r="J1942" t="s">
        <v>5696</v>
      </c>
      <c r="O1942" t="s">
        <v>6767</v>
      </c>
      <c r="R1942" t="s">
        <v>6798</v>
      </c>
      <c r="U1942">
        <v>0</v>
      </c>
      <c r="V1942" t="s">
        <v>6837</v>
      </c>
      <c r="Y1942" t="s">
        <v>8652</v>
      </c>
      <c r="AA1942" t="s">
        <v>10693</v>
      </c>
      <c r="AB1942">
        <v>0</v>
      </c>
      <c r="AE1942">
        <v>0</v>
      </c>
      <c r="AF1942">
        <v>5</v>
      </c>
      <c r="AG1942">
        <v>1</v>
      </c>
      <c r="AH1942">
        <v>204.68</v>
      </c>
      <c r="AK1942" t="s">
        <v>10966</v>
      </c>
      <c r="AL1942">
        <v>70800</v>
      </c>
      <c r="AR1942">
        <v>1.2</v>
      </c>
      <c r="AS1942" t="s">
        <v>6811</v>
      </c>
      <c r="AT1942" t="s">
        <v>11188</v>
      </c>
      <c r="AV1942" t="s">
        <v>11231</v>
      </c>
      <c r="AW1942" t="s">
        <v>11124</v>
      </c>
    </row>
    <row r="1943" spans="1:49">
      <c r="A1943" s="1">
        <f>HYPERLINK("https://lsnyc.legalserver.org/matter/dynamic-profile/view/1900566","19-1900566")</f>
        <v>0</v>
      </c>
      <c r="B1943" t="s">
        <v>148</v>
      </c>
      <c r="C1943" t="s">
        <v>674</v>
      </c>
      <c r="D1943" t="s">
        <v>2899</v>
      </c>
      <c r="E1943" t="s">
        <v>4817</v>
      </c>
      <c r="F1943" t="s">
        <v>5601</v>
      </c>
      <c r="G1943" t="s">
        <v>5635</v>
      </c>
      <c r="H1943">
        <v>10465</v>
      </c>
      <c r="I1943" t="s">
        <v>5696</v>
      </c>
      <c r="J1943" t="s">
        <v>5696</v>
      </c>
      <c r="O1943" t="s">
        <v>6784</v>
      </c>
      <c r="R1943" t="s">
        <v>6798</v>
      </c>
      <c r="U1943">
        <v>0</v>
      </c>
      <c r="V1943" t="s">
        <v>6833</v>
      </c>
      <c r="Y1943" t="s">
        <v>8653</v>
      </c>
      <c r="AA1943" t="s">
        <v>10694</v>
      </c>
      <c r="AB1943">
        <v>0</v>
      </c>
      <c r="AE1943">
        <v>0</v>
      </c>
      <c r="AF1943">
        <v>2</v>
      </c>
      <c r="AG1943">
        <v>2</v>
      </c>
      <c r="AH1943">
        <v>694.37</v>
      </c>
      <c r="AK1943" t="s">
        <v>10966</v>
      </c>
      <c r="AL1943">
        <v>178800</v>
      </c>
      <c r="AR1943">
        <v>3.5</v>
      </c>
      <c r="AS1943" t="s">
        <v>11137</v>
      </c>
      <c r="AT1943" t="s">
        <v>296</v>
      </c>
      <c r="AV1943" t="s">
        <v>11231</v>
      </c>
      <c r="AW1943" t="s">
        <v>6895</v>
      </c>
    </row>
    <row r="1944" spans="1:49">
      <c r="A1944" s="1">
        <f>HYPERLINK("https://lsnyc.legalserver.org/matter/dynamic-profile/view/1905115","19-1905115")</f>
        <v>0</v>
      </c>
      <c r="B1944" t="s">
        <v>267</v>
      </c>
      <c r="C1944" t="s">
        <v>1120</v>
      </c>
      <c r="D1944" t="s">
        <v>2900</v>
      </c>
      <c r="E1944" t="s">
        <v>4212</v>
      </c>
      <c r="F1944" t="s">
        <v>5097</v>
      </c>
      <c r="G1944" t="s">
        <v>5637</v>
      </c>
      <c r="H1944">
        <v>11220</v>
      </c>
      <c r="I1944" t="s">
        <v>5695</v>
      </c>
      <c r="J1944" t="s">
        <v>5696</v>
      </c>
      <c r="O1944" t="s">
        <v>6745</v>
      </c>
      <c r="P1944" t="s">
        <v>5695</v>
      </c>
      <c r="R1944" t="s">
        <v>6793</v>
      </c>
      <c r="T1944" t="s">
        <v>6812</v>
      </c>
      <c r="U1944">
        <v>0</v>
      </c>
      <c r="V1944" t="s">
        <v>6835</v>
      </c>
      <c r="Y1944" t="s">
        <v>7782</v>
      </c>
      <c r="AA1944" t="s">
        <v>10695</v>
      </c>
      <c r="AB1944">
        <v>0</v>
      </c>
      <c r="AD1944" t="s">
        <v>10945</v>
      </c>
      <c r="AE1944">
        <v>0</v>
      </c>
      <c r="AF1944">
        <v>3</v>
      </c>
      <c r="AG1944">
        <v>0</v>
      </c>
      <c r="AH1944">
        <v>88.05</v>
      </c>
      <c r="AK1944" t="s">
        <v>10966</v>
      </c>
      <c r="AL1944">
        <v>18780</v>
      </c>
      <c r="AR1944">
        <v>4.2</v>
      </c>
      <c r="AS1944" t="s">
        <v>6808</v>
      </c>
      <c r="AT1944" t="s">
        <v>77</v>
      </c>
      <c r="AV1944" t="s">
        <v>11231</v>
      </c>
      <c r="AW1944" t="s">
        <v>6814</v>
      </c>
    </row>
    <row r="1945" spans="1:49">
      <c r="A1945" s="1">
        <f>HYPERLINK("https://lsnyc.legalserver.org/matter/dynamic-profile/view/1901138","19-1901138")</f>
        <v>0</v>
      </c>
      <c r="B1945" t="s">
        <v>148</v>
      </c>
      <c r="C1945" t="s">
        <v>1500</v>
      </c>
      <c r="D1945" t="s">
        <v>2901</v>
      </c>
      <c r="E1945" t="s">
        <v>4818</v>
      </c>
      <c r="F1945" t="s">
        <v>5529</v>
      </c>
      <c r="G1945" t="s">
        <v>5635</v>
      </c>
      <c r="H1945">
        <v>10466</v>
      </c>
      <c r="I1945" t="s">
        <v>5696</v>
      </c>
      <c r="J1945" t="s">
        <v>5696</v>
      </c>
      <c r="O1945" t="s">
        <v>6784</v>
      </c>
      <c r="R1945" t="s">
        <v>6798</v>
      </c>
      <c r="U1945">
        <v>0</v>
      </c>
      <c r="V1945" t="s">
        <v>6833</v>
      </c>
      <c r="Y1945" t="s">
        <v>8654</v>
      </c>
      <c r="AA1945" t="s">
        <v>10696</v>
      </c>
      <c r="AB1945">
        <v>0</v>
      </c>
      <c r="AE1945">
        <v>0</v>
      </c>
      <c r="AF1945">
        <v>2</v>
      </c>
      <c r="AG1945">
        <v>0</v>
      </c>
      <c r="AH1945">
        <v>799.53</v>
      </c>
      <c r="AK1945" t="s">
        <v>10966</v>
      </c>
      <c r="AL1945">
        <v>135200</v>
      </c>
      <c r="AR1945">
        <v>10.74</v>
      </c>
      <c r="AS1945" t="s">
        <v>6828</v>
      </c>
      <c r="AT1945" t="s">
        <v>296</v>
      </c>
      <c r="AV1945" t="s">
        <v>11231</v>
      </c>
      <c r="AW1945" t="s">
        <v>11143</v>
      </c>
    </row>
    <row r="1946" spans="1:49">
      <c r="A1946" s="1">
        <f>HYPERLINK("https://lsnyc.legalserver.org/matter/dynamic-profile/view/1904504","19-1904504")</f>
        <v>0</v>
      </c>
      <c r="B1946" t="s">
        <v>142</v>
      </c>
      <c r="C1946" t="s">
        <v>379</v>
      </c>
      <c r="D1946" t="s">
        <v>2106</v>
      </c>
      <c r="E1946" t="s">
        <v>4278</v>
      </c>
      <c r="F1946" t="s">
        <v>5130</v>
      </c>
      <c r="G1946" t="s">
        <v>5635</v>
      </c>
      <c r="H1946">
        <v>10459</v>
      </c>
      <c r="I1946" t="s">
        <v>5696</v>
      </c>
      <c r="J1946" t="s">
        <v>5696</v>
      </c>
      <c r="O1946" t="s">
        <v>6745</v>
      </c>
      <c r="R1946" t="s">
        <v>6800</v>
      </c>
      <c r="U1946">
        <v>0</v>
      </c>
      <c r="V1946" t="s">
        <v>6833</v>
      </c>
      <c r="Y1946" t="s">
        <v>8655</v>
      </c>
      <c r="AA1946" t="s">
        <v>10697</v>
      </c>
      <c r="AB1946">
        <v>0</v>
      </c>
      <c r="AE1946">
        <v>0</v>
      </c>
      <c r="AF1946">
        <v>2</v>
      </c>
      <c r="AG1946">
        <v>0</v>
      </c>
      <c r="AH1946">
        <v>117.45</v>
      </c>
      <c r="AK1946" t="s">
        <v>10966</v>
      </c>
      <c r="AL1946">
        <v>19860</v>
      </c>
      <c r="AR1946">
        <v>3.3</v>
      </c>
      <c r="AS1946" t="s">
        <v>6819</v>
      </c>
      <c r="AT1946" t="s">
        <v>142</v>
      </c>
      <c r="AV1946" t="s">
        <v>11231</v>
      </c>
      <c r="AW1946" t="s">
        <v>6810</v>
      </c>
    </row>
    <row r="1947" spans="1:49">
      <c r="A1947" s="1">
        <f>HYPERLINK("https://lsnyc.legalserver.org/matter/dynamic-profile/view/1906280","19-1906280")</f>
        <v>0</v>
      </c>
      <c r="B1947" t="s">
        <v>50</v>
      </c>
      <c r="C1947" t="s">
        <v>901</v>
      </c>
      <c r="D1947" t="s">
        <v>2285</v>
      </c>
      <c r="E1947" t="s">
        <v>4819</v>
      </c>
      <c r="F1947">
        <v>508</v>
      </c>
      <c r="G1947" t="s">
        <v>5635</v>
      </c>
      <c r="H1947">
        <v>10457</v>
      </c>
      <c r="I1947" t="s">
        <v>5695</v>
      </c>
      <c r="J1947" t="s">
        <v>5696</v>
      </c>
      <c r="O1947" t="s">
        <v>6748</v>
      </c>
      <c r="P1947" t="s">
        <v>5695</v>
      </c>
      <c r="R1947" t="s">
        <v>6795</v>
      </c>
      <c r="U1947">
        <v>810</v>
      </c>
      <c r="V1947" t="s">
        <v>6833</v>
      </c>
      <c r="Y1947" t="s">
        <v>8656</v>
      </c>
      <c r="AA1947" t="s">
        <v>10698</v>
      </c>
      <c r="AB1947">
        <v>119</v>
      </c>
      <c r="AC1947" t="s">
        <v>10936</v>
      </c>
      <c r="AD1947" t="s">
        <v>10944</v>
      </c>
      <c r="AE1947">
        <v>22</v>
      </c>
      <c r="AF1947">
        <v>1</v>
      </c>
      <c r="AG1947">
        <v>0</v>
      </c>
      <c r="AH1947">
        <v>74.08</v>
      </c>
      <c r="AK1947" t="s">
        <v>10966</v>
      </c>
      <c r="AL1947">
        <v>9252</v>
      </c>
      <c r="AR1947">
        <v>1.2</v>
      </c>
      <c r="AS1947" t="s">
        <v>6827</v>
      </c>
      <c r="AT1947" t="s">
        <v>11185</v>
      </c>
      <c r="AV1947" t="s">
        <v>11231</v>
      </c>
      <c r="AW1947" t="s">
        <v>6827</v>
      </c>
    </row>
    <row r="1948" spans="1:49">
      <c r="A1948" s="1">
        <f>HYPERLINK("https://lsnyc.legalserver.org/matter/dynamic-profile/view/1900022","19-1900022")</f>
        <v>0</v>
      </c>
      <c r="B1948" t="s">
        <v>104</v>
      </c>
      <c r="C1948" t="s">
        <v>1501</v>
      </c>
      <c r="D1948" t="s">
        <v>2902</v>
      </c>
      <c r="E1948" t="s">
        <v>4820</v>
      </c>
      <c r="F1948" t="s">
        <v>5416</v>
      </c>
      <c r="G1948" t="s">
        <v>5635</v>
      </c>
      <c r="H1948">
        <v>10468</v>
      </c>
      <c r="I1948" t="s">
        <v>5696</v>
      </c>
      <c r="J1948" t="s">
        <v>5696</v>
      </c>
      <c r="O1948" t="s">
        <v>6764</v>
      </c>
      <c r="R1948" t="s">
        <v>6796</v>
      </c>
      <c r="U1948">
        <v>0</v>
      </c>
      <c r="V1948" t="s">
        <v>6833</v>
      </c>
      <c r="Y1948" t="s">
        <v>8657</v>
      </c>
      <c r="AA1948" t="s">
        <v>10699</v>
      </c>
      <c r="AB1948">
        <v>0</v>
      </c>
      <c r="AE1948">
        <v>0</v>
      </c>
      <c r="AF1948">
        <v>3</v>
      </c>
      <c r="AG1948">
        <v>2</v>
      </c>
      <c r="AH1948">
        <v>46.5</v>
      </c>
      <c r="AK1948" t="s">
        <v>10966</v>
      </c>
      <c r="AL1948">
        <v>14028</v>
      </c>
      <c r="AR1948">
        <v>2.5</v>
      </c>
      <c r="AS1948" t="s">
        <v>6811</v>
      </c>
      <c r="AT1948" t="s">
        <v>11215</v>
      </c>
      <c r="AV1948" t="s">
        <v>11231</v>
      </c>
      <c r="AW1948" t="s">
        <v>10957</v>
      </c>
    </row>
    <row r="1949" spans="1:49">
      <c r="A1949" s="1">
        <f>HYPERLINK("https://lsnyc.legalserver.org/matter/dynamic-profile/view/1901542","19-1901542")</f>
        <v>0</v>
      </c>
      <c r="B1949" t="s">
        <v>201</v>
      </c>
      <c r="C1949" t="s">
        <v>1502</v>
      </c>
      <c r="D1949" t="s">
        <v>2847</v>
      </c>
      <c r="E1949" t="s">
        <v>4821</v>
      </c>
      <c r="F1949" t="s">
        <v>5602</v>
      </c>
      <c r="G1949" t="s">
        <v>5635</v>
      </c>
      <c r="H1949">
        <v>10467</v>
      </c>
      <c r="I1949" t="s">
        <v>5695</v>
      </c>
      <c r="J1949" t="s">
        <v>5696</v>
      </c>
      <c r="K1949" t="s">
        <v>6705</v>
      </c>
      <c r="O1949" t="s">
        <v>6763</v>
      </c>
      <c r="P1949" t="s">
        <v>5697</v>
      </c>
      <c r="R1949" t="s">
        <v>6793</v>
      </c>
      <c r="U1949">
        <v>1178</v>
      </c>
      <c r="V1949" t="s">
        <v>6833</v>
      </c>
      <c r="W1949" t="s">
        <v>6843</v>
      </c>
      <c r="Y1949" t="s">
        <v>8658</v>
      </c>
      <c r="AA1949" t="s">
        <v>10700</v>
      </c>
      <c r="AB1949">
        <v>10</v>
      </c>
      <c r="AC1949" t="s">
        <v>10929</v>
      </c>
      <c r="AD1949" t="s">
        <v>5741</v>
      </c>
      <c r="AE1949">
        <v>19</v>
      </c>
      <c r="AF1949">
        <v>1</v>
      </c>
      <c r="AG1949">
        <v>0</v>
      </c>
      <c r="AH1949">
        <v>0</v>
      </c>
      <c r="AK1949" t="s">
        <v>10966</v>
      </c>
      <c r="AL1949">
        <v>0</v>
      </c>
      <c r="AR1949">
        <v>6.95</v>
      </c>
      <c r="AS1949" t="s">
        <v>10953</v>
      </c>
      <c r="AT1949" t="s">
        <v>11176</v>
      </c>
      <c r="AU1949" t="s">
        <v>11228</v>
      </c>
      <c r="AV1949" t="s">
        <v>11231</v>
      </c>
      <c r="AW1949" t="s">
        <v>11135</v>
      </c>
    </row>
    <row r="1950" spans="1:49">
      <c r="A1950" s="1">
        <f>HYPERLINK("https://lsnyc.legalserver.org/matter/dynamic-profile/view/1905181","19-1905181")</f>
        <v>0</v>
      </c>
      <c r="B1950" t="s">
        <v>152</v>
      </c>
      <c r="C1950" t="s">
        <v>1503</v>
      </c>
      <c r="D1950" t="s">
        <v>2903</v>
      </c>
      <c r="E1950" t="s">
        <v>4822</v>
      </c>
      <c r="G1950" t="s">
        <v>5635</v>
      </c>
      <c r="H1950">
        <v>10463</v>
      </c>
      <c r="I1950" t="s">
        <v>5696</v>
      </c>
      <c r="J1950" t="s">
        <v>5696</v>
      </c>
      <c r="O1950" t="s">
        <v>6784</v>
      </c>
      <c r="R1950" t="s">
        <v>6798</v>
      </c>
      <c r="U1950">
        <v>0</v>
      </c>
      <c r="V1950" t="s">
        <v>6833</v>
      </c>
      <c r="Y1950" t="s">
        <v>8659</v>
      </c>
      <c r="AA1950" t="s">
        <v>10701</v>
      </c>
      <c r="AB1950">
        <v>0</v>
      </c>
      <c r="AE1950">
        <v>0</v>
      </c>
      <c r="AF1950">
        <v>2</v>
      </c>
      <c r="AG1950">
        <v>0</v>
      </c>
      <c r="AH1950">
        <v>59.61</v>
      </c>
      <c r="AK1950" t="s">
        <v>10966</v>
      </c>
      <c r="AL1950">
        <v>10080</v>
      </c>
      <c r="AR1950">
        <v>3.75</v>
      </c>
      <c r="AS1950" t="s">
        <v>6822</v>
      </c>
      <c r="AT1950" t="s">
        <v>296</v>
      </c>
      <c r="AV1950" t="s">
        <v>11231</v>
      </c>
      <c r="AW1950" t="s">
        <v>6808</v>
      </c>
    </row>
    <row r="1951" spans="1:49">
      <c r="A1951" s="1">
        <f>HYPERLINK("https://lsnyc.legalserver.org/matter/dynamic-profile/view/1901866","19-1901866")</f>
        <v>0</v>
      </c>
      <c r="B1951" t="s">
        <v>72</v>
      </c>
      <c r="C1951" t="s">
        <v>1504</v>
      </c>
      <c r="D1951" t="s">
        <v>1934</v>
      </c>
      <c r="E1951" t="s">
        <v>4823</v>
      </c>
      <c r="F1951" t="s">
        <v>5116</v>
      </c>
      <c r="G1951" t="s">
        <v>5637</v>
      </c>
      <c r="H1951">
        <v>11208</v>
      </c>
      <c r="I1951" t="s">
        <v>5696</v>
      </c>
      <c r="J1951" t="s">
        <v>5696</v>
      </c>
      <c r="O1951" t="s">
        <v>6771</v>
      </c>
      <c r="R1951" t="s">
        <v>6793</v>
      </c>
      <c r="U1951">
        <v>0</v>
      </c>
      <c r="V1951" t="s">
        <v>6835</v>
      </c>
      <c r="Y1951" t="s">
        <v>8660</v>
      </c>
      <c r="AA1951" t="s">
        <v>10702</v>
      </c>
      <c r="AB1951">
        <v>0</v>
      </c>
      <c r="AE1951">
        <v>0</v>
      </c>
      <c r="AF1951">
        <v>1</v>
      </c>
      <c r="AG1951">
        <v>0</v>
      </c>
      <c r="AH1951">
        <v>102.61</v>
      </c>
      <c r="AK1951" t="s">
        <v>10966</v>
      </c>
      <c r="AL1951">
        <v>12816</v>
      </c>
      <c r="AR1951">
        <v>13.5</v>
      </c>
      <c r="AS1951" t="s">
        <v>6821</v>
      </c>
      <c r="AT1951" t="s">
        <v>141</v>
      </c>
      <c r="AV1951" t="s">
        <v>11231</v>
      </c>
      <c r="AW1951" t="s">
        <v>11124</v>
      </c>
    </row>
    <row r="1952" spans="1:49">
      <c r="A1952" s="1">
        <f>HYPERLINK("https://lsnyc.legalserver.org/matter/dynamic-profile/view/1902887","19-1902887")</f>
        <v>0</v>
      </c>
      <c r="B1952" t="s">
        <v>278</v>
      </c>
      <c r="C1952" t="s">
        <v>374</v>
      </c>
      <c r="D1952" t="s">
        <v>2438</v>
      </c>
      <c r="E1952" t="s">
        <v>4824</v>
      </c>
      <c r="F1952" t="s">
        <v>5215</v>
      </c>
      <c r="G1952" t="s">
        <v>5637</v>
      </c>
      <c r="H1952">
        <v>11237</v>
      </c>
      <c r="I1952" t="s">
        <v>5696</v>
      </c>
      <c r="J1952" t="s">
        <v>5696</v>
      </c>
      <c r="O1952" t="s">
        <v>6748</v>
      </c>
      <c r="R1952" t="s">
        <v>6793</v>
      </c>
      <c r="U1952">
        <v>819</v>
      </c>
      <c r="V1952" t="s">
        <v>6835</v>
      </c>
      <c r="Y1952" t="s">
        <v>8661</v>
      </c>
      <c r="AA1952" t="s">
        <v>10703</v>
      </c>
      <c r="AB1952">
        <v>6</v>
      </c>
      <c r="AD1952" t="s">
        <v>5741</v>
      </c>
      <c r="AE1952">
        <v>28</v>
      </c>
      <c r="AF1952">
        <v>3</v>
      </c>
      <c r="AG1952">
        <v>1</v>
      </c>
      <c r="AH1952">
        <v>153.48</v>
      </c>
      <c r="AK1952" t="s">
        <v>10966</v>
      </c>
      <c r="AL1952">
        <v>39519.96</v>
      </c>
      <c r="AR1952">
        <v>1</v>
      </c>
      <c r="AS1952" t="s">
        <v>11131</v>
      </c>
      <c r="AT1952" t="s">
        <v>11188</v>
      </c>
      <c r="AV1952" t="s">
        <v>11231</v>
      </c>
      <c r="AW1952" t="s">
        <v>11131</v>
      </c>
    </row>
    <row r="1953" spans="1:49">
      <c r="A1953" s="1">
        <f>HYPERLINK("https://lsnyc.legalserver.org/matter/dynamic-profile/view/1905470","19-1905470")</f>
        <v>0</v>
      </c>
      <c r="B1953" t="s">
        <v>77</v>
      </c>
      <c r="C1953" t="s">
        <v>438</v>
      </c>
      <c r="D1953" t="s">
        <v>2904</v>
      </c>
      <c r="E1953" t="s">
        <v>4595</v>
      </c>
      <c r="F1953" t="s">
        <v>5189</v>
      </c>
      <c r="G1953" t="s">
        <v>5637</v>
      </c>
      <c r="H1953">
        <v>11230</v>
      </c>
      <c r="I1953" t="s">
        <v>5696</v>
      </c>
      <c r="J1953" t="s">
        <v>5696</v>
      </c>
      <c r="O1953" t="s">
        <v>6745</v>
      </c>
      <c r="R1953" t="s">
        <v>6793</v>
      </c>
      <c r="U1953">
        <v>0</v>
      </c>
      <c r="V1953" t="s">
        <v>6835</v>
      </c>
      <c r="Y1953" t="s">
        <v>8429</v>
      </c>
      <c r="AA1953" t="s">
        <v>10704</v>
      </c>
      <c r="AB1953">
        <v>0</v>
      </c>
      <c r="AE1953">
        <v>0</v>
      </c>
      <c r="AF1953">
        <v>2</v>
      </c>
      <c r="AG1953">
        <v>0</v>
      </c>
      <c r="AH1953">
        <v>70.73</v>
      </c>
      <c r="AK1953" t="s">
        <v>10966</v>
      </c>
      <c r="AL1953">
        <v>11960</v>
      </c>
      <c r="AR1953">
        <v>0.7</v>
      </c>
      <c r="AS1953" t="s">
        <v>6823</v>
      </c>
      <c r="AT1953" t="s">
        <v>77</v>
      </c>
      <c r="AV1953" t="s">
        <v>11231</v>
      </c>
      <c r="AW1953" t="s">
        <v>6822</v>
      </c>
    </row>
    <row r="1954" spans="1:49">
      <c r="A1954" s="1">
        <f>HYPERLINK("https://lsnyc.legalserver.org/matter/dynamic-profile/view/1903902","19-1903902")</f>
        <v>0</v>
      </c>
      <c r="B1954" t="s">
        <v>163</v>
      </c>
      <c r="C1954" t="s">
        <v>469</v>
      </c>
      <c r="D1954" t="s">
        <v>1795</v>
      </c>
      <c r="E1954" t="s">
        <v>4825</v>
      </c>
      <c r="G1954" t="s">
        <v>5637</v>
      </c>
      <c r="H1954">
        <v>11234</v>
      </c>
      <c r="I1954" t="s">
        <v>5696</v>
      </c>
      <c r="J1954" t="s">
        <v>5696</v>
      </c>
      <c r="O1954" t="s">
        <v>6780</v>
      </c>
      <c r="R1954" t="s">
        <v>6799</v>
      </c>
      <c r="U1954">
        <v>0</v>
      </c>
      <c r="V1954" t="s">
        <v>6835</v>
      </c>
      <c r="Y1954" t="s">
        <v>8662</v>
      </c>
      <c r="AA1954" t="s">
        <v>10705</v>
      </c>
      <c r="AB1954">
        <v>0</v>
      </c>
      <c r="AE1954">
        <v>0</v>
      </c>
      <c r="AF1954">
        <v>2</v>
      </c>
      <c r="AG1954">
        <v>1</v>
      </c>
      <c r="AH1954">
        <v>93.76000000000001</v>
      </c>
      <c r="AK1954" t="s">
        <v>10966</v>
      </c>
      <c r="AL1954">
        <v>20000.04</v>
      </c>
      <c r="AR1954">
        <v>0.1</v>
      </c>
      <c r="AS1954" t="s">
        <v>6819</v>
      </c>
      <c r="AT1954" t="s">
        <v>163</v>
      </c>
      <c r="AV1954" t="s">
        <v>11231</v>
      </c>
      <c r="AW1954" t="s">
        <v>11235</v>
      </c>
    </row>
    <row r="1955" spans="1:49">
      <c r="A1955" s="1">
        <f>HYPERLINK("https://lsnyc.legalserver.org/matter/dynamic-profile/view/1902741","19-1902741")</f>
        <v>0</v>
      </c>
      <c r="B1955" t="s">
        <v>116</v>
      </c>
      <c r="C1955" t="s">
        <v>1505</v>
      </c>
      <c r="D1955" t="s">
        <v>2905</v>
      </c>
      <c r="E1955" t="s">
        <v>4826</v>
      </c>
      <c r="G1955" t="s">
        <v>5673</v>
      </c>
      <c r="H1955">
        <v>11420</v>
      </c>
      <c r="I1955" t="s">
        <v>5696</v>
      </c>
      <c r="J1955" t="s">
        <v>5696</v>
      </c>
      <c r="O1955" t="s">
        <v>6748</v>
      </c>
      <c r="R1955" t="s">
        <v>6798</v>
      </c>
      <c r="U1955">
        <v>0</v>
      </c>
      <c r="V1955" t="s">
        <v>6837</v>
      </c>
      <c r="Y1955" t="s">
        <v>8663</v>
      </c>
      <c r="AA1955" t="s">
        <v>10706</v>
      </c>
      <c r="AB1955">
        <v>0</v>
      </c>
      <c r="AE1955">
        <v>0</v>
      </c>
      <c r="AF1955">
        <v>2</v>
      </c>
      <c r="AG1955">
        <v>4</v>
      </c>
      <c r="AH1955">
        <v>101.19</v>
      </c>
      <c r="AK1955" t="s">
        <v>10966</v>
      </c>
      <c r="AL1955">
        <v>35000</v>
      </c>
      <c r="AR1955">
        <v>2.25</v>
      </c>
      <c r="AS1955" t="s">
        <v>11147</v>
      </c>
      <c r="AT1955" t="s">
        <v>11188</v>
      </c>
      <c r="AV1955" t="s">
        <v>11231</v>
      </c>
      <c r="AW1955" t="s">
        <v>11133</v>
      </c>
    </row>
    <row r="1956" spans="1:49">
      <c r="A1956" s="1">
        <f>HYPERLINK("https://lsnyc.legalserver.org/matter/dynamic-profile/view/1900704","19-1900704")</f>
        <v>0</v>
      </c>
      <c r="B1956" t="s">
        <v>142</v>
      </c>
      <c r="C1956" t="s">
        <v>321</v>
      </c>
      <c r="D1956" t="s">
        <v>2906</v>
      </c>
      <c r="E1956" t="s">
        <v>4827</v>
      </c>
      <c r="G1956" t="s">
        <v>5635</v>
      </c>
      <c r="H1956">
        <v>10457</v>
      </c>
      <c r="I1956" t="s">
        <v>5695</v>
      </c>
      <c r="J1956" t="s">
        <v>5696</v>
      </c>
      <c r="O1956" t="s">
        <v>6748</v>
      </c>
      <c r="R1956" t="s">
        <v>6793</v>
      </c>
      <c r="U1956">
        <v>1657</v>
      </c>
      <c r="V1956" t="s">
        <v>6833</v>
      </c>
      <c r="Y1956" t="s">
        <v>8664</v>
      </c>
      <c r="Z1956">
        <v>8477874</v>
      </c>
      <c r="AA1956" t="s">
        <v>10707</v>
      </c>
      <c r="AB1956">
        <v>110</v>
      </c>
      <c r="AC1956" t="s">
        <v>10942</v>
      </c>
      <c r="AD1956" t="s">
        <v>10949</v>
      </c>
      <c r="AE1956">
        <v>1</v>
      </c>
      <c r="AF1956">
        <v>1</v>
      </c>
      <c r="AG1956">
        <v>3</v>
      </c>
      <c r="AH1956">
        <v>50.33</v>
      </c>
      <c r="AK1956" t="s">
        <v>10966</v>
      </c>
      <c r="AL1956">
        <v>12960</v>
      </c>
      <c r="AR1956">
        <v>1</v>
      </c>
      <c r="AS1956" t="s">
        <v>10958</v>
      </c>
      <c r="AT1956" t="s">
        <v>11185</v>
      </c>
      <c r="AV1956" t="s">
        <v>11231</v>
      </c>
      <c r="AW1956" t="s">
        <v>10958</v>
      </c>
    </row>
    <row r="1957" spans="1:49">
      <c r="A1957" s="1">
        <f>HYPERLINK("https://lsnyc.legalserver.org/matter/dynamic-profile/view/1902311","19-1902311")</f>
        <v>0</v>
      </c>
      <c r="B1957" t="s">
        <v>152</v>
      </c>
      <c r="C1957" t="s">
        <v>1506</v>
      </c>
      <c r="D1957" t="s">
        <v>1836</v>
      </c>
      <c r="E1957" t="s">
        <v>4828</v>
      </c>
      <c r="F1957" t="s">
        <v>5158</v>
      </c>
      <c r="G1957" t="s">
        <v>5635</v>
      </c>
      <c r="H1957">
        <v>10472</v>
      </c>
      <c r="I1957" t="s">
        <v>5696</v>
      </c>
      <c r="J1957" t="s">
        <v>5696</v>
      </c>
      <c r="O1957" t="s">
        <v>6784</v>
      </c>
      <c r="R1957" t="s">
        <v>6798</v>
      </c>
      <c r="U1957">
        <v>0</v>
      </c>
      <c r="V1957" t="s">
        <v>6833</v>
      </c>
      <c r="Y1957" t="s">
        <v>8665</v>
      </c>
      <c r="AA1957" t="s">
        <v>10708</v>
      </c>
      <c r="AB1957">
        <v>0</v>
      </c>
      <c r="AE1957">
        <v>0</v>
      </c>
      <c r="AF1957">
        <v>4</v>
      </c>
      <c r="AG1957">
        <v>2</v>
      </c>
      <c r="AH1957">
        <v>257.59</v>
      </c>
      <c r="AK1957" t="s">
        <v>10967</v>
      </c>
      <c r="AL1957">
        <v>89100</v>
      </c>
      <c r="AR1957">
        <v>4.5</v>
      </c>
      <c r="AS1957" t="s">
        <v>6814</v>
      </c>
      <c r="AT1957" t="s">
        <v>296</v>
      </c>
      <c r="AV1957" t="s">
        <v>11231</v>
      </c>
      <c r="AW1957" t="s">
        <v>11140</v>
      </c>
    </row>
    <row r="1958" spans="1:49">
      <c r="A1958" s="1">
        <f>HYPERLINK("https://lsnyc.legalserver.org/matter/dynamic-profile/view/1903179","19-1903179")</f>
        <v>0</v>
      </c>
      <c r="B1958" t="s">
        <v>116</v>
      </c>
      <c r="C1958" t="s">
        <v>1507</v>
      </c>
      <c r="D1958" t="s">
        <v>2907</v>
      </c>
      <c r="E1958" t="s">
        <v>4829</v>
      </c>
      <c r="G1958" t="s">
        <v>5645</v>
      </c>
      <c r="H1958">
        <v>11103</v>
      </c>
      <c r="I1958" t="s">
        <v>5696</v>
      </c>
      <c r="J1958" t="s">
        <v>5696</v>
      </c>
      <c r="O1958" t="s">
        <v>6748</v>
      </c>
      <c r="R1958" t="s">
        <v>6798</v>
      </c>
      <c r="U1958">
        <v>0</v>
      </c>
      <c r="V1958" t="s">
        <v>6837</v>
      </c>
      <c r="Y1958" t="s">
        <v>8666</v>
      </c>
      <c r="AA1958" t="s">
        <v>10709</v>
      </c>
      <c r="AB1958">
        <v>0</v>
      </c>
      <c r="AE1958">
        <v>0</v>
      </c>
      <c r="AF1958">
        <v>1</v>
      </c>
      <c r="AG1958">
        <v>0</v>
      </c>
      <c r="AH1958">
        <v>113.37</v>
      </c>
      <c r="AK1958" t="s">
        <v>10989</v>
      </c>
      <c r="AL1958">
        <v>14160</v>
      </c>
      <c r="AR1958">
        <v>1.45</v>
      </c>
      <c r="AS1958" t="s">
        <v>6816</v>
      </c>
      <c r="AT1958" t="s">
        <v>11189</v>
      </c>
      <c r="AV1958" t="s">
        <v>11231</v>
      </c>
      <c r="AW1958" t="s">
        <v>10953</v>
      </c>
    </row>
    <row r="1959" spans="1:49">
      <c r="A1959" s="1">
        <f>HYPERLINK("https://lsnyc.legalserver.org/matter/dynamic-profile/view/1902716","19-1902716")</f>
        <v>0</v>
      </c>
      <c r="B1959" t="s">
        <v>151</v>
      </c>
      <c r="C1959" t="s">
        <v>1334</v>
      </c>
      <c r="D1959" t="s">
        <v>2908</v>
      </c>
      <c r="E1959" t="s">
        <v>4830</v>
      </c>
      <c r="G1959" t="s">
        <v>5637</v>
      </c>
      <c r="H1959">
        <v>11234</v>
      </c>
      <c r="I1959" t="s">
        <v>5696</v>
      </c>
      <c r="J1959" t="s">
        <v>5696</v>
      </c>
      <c r="O1959" t="s">
        <v>6775</v>
      </c>
      <c r="R1959" t="s">
        <v>6799</v>
      </c>
      <c r="U1959">
        <v>0</v>
      </c>
      <c r="V1959" t="s">
        <v>6835</v>
      </c>
      <c r="Y1959" t="s">
        <v>8667</v>
      </c>
      <c r="AA1959" t="s">
        <v>10710</v>
      </c>
      <c r="AB1959">
        <v>0</v>
      </c>
      <c r="AE1959">
        <v>0</v>
      </c>
      <c r="AF1959">
        <v>5</v>
      </c>
      <c r="AG1959">
        <v>1</v>
      </c>
      <c r="AH1959">
        <v>356.14</v>
      </c>
      <c r="AL1959">
        <v>123189</v>
      </c>
      <c r="AR1959">
        <v>2.6</v>
      </c>
      <c r="AS1959" t="s">
        <v>11137</v>
      </c>
      <c r="AT1959" t="s">
        <v>151</v>
      </c>
      <c r="AV1959" t="s">
        <v>11231</v>
      </c>
      <c r="AW1959" t="s">
        <v>11137</v>
      </c>
    </row>
    <row r="1960" spans="1:49">
      <c r="A1960" s="1">
        <f>HYPERLINK("https://lsnyc.legalserver.org/matter/dynamic-profile/view/1900882","19-1900882")</f>
        <v>0</v>
      </c>
      <c r="B1960" t="s">
        <v>151</v>
      </c>
      <c r="C1960" t="s">
        <v>560</v>
      </c>
      <c r="D1960" t="s">
        <v>2909</v>
      </c>
      <c r="E1960" t="s">
        <v>4831</v>
      </c>
      <c r="G1960" t="s">
        <v>5637</v>
      </c>
      <c r="H1960">
        <v>11236</v>
      </c>
      <c r="I1960" t="s">
        <v>5696</v>
      </c>
      <c r="J1960" t="s">
        <v>5696</v>
      </c>
      <c r="O1960" t="s">
        <v>6775</v>
      </c>
      <c r="R1960" t="s">
        <v>6799</v>
      </c>
      <c r="U1960">
        <v>0</v>
      </c>
      <c r="V1960" t="s">
        <v>6835</v>
      </c>
      <c r="Y1960" t="s">
        <v>8668</v>
      </c>
      <c r="AA1960" t="s">
        <v>10711</v>
      </c>
      <c r="AB1960">
        <v>0</v>
      </c>
      <c r="AE1960">
        <v>0</v>
      </c>
      <c r="AF1960">
        <v>2</v>
      </c>
      <c r="AG1960">
        <v>0</v>
      </c>
      <c r="AH1960">
        <v>393.85</v>
      </c>
      <c r="AL1960">
        <v>66600</v>
      </c>
      <c r="AR1960">
        <v>8.1</v>
      </c>
      <c r="AS1960" t="s">
        <v>6813</v>
      </c>
      <c r="AT1960" t="s">
        <v>144</v>
      </c>
      <c r="AV1960" t="s">
        <v>11231</v>
      </c>
      <c r="AW1960" t="s">
        <v>11163</v>
      </c>
    </row>
    <row r="1961" spans="1:49">
      <c r="A1961" s="1">
        <f>HYPERLINK("https://lsnyc.legalserver.org/matter/dynamic-profile/view/1905934","19-1905934")</f>
        <v>0</v>
      </c>
      <c r="B1961" t="s">
        <v>98</v>
      </c>
      <c r="C1961" t="s">
        <v>1240</v>
      </c>
      <c r="D1961" t="s">
        <v>2910</v>
      </c>
      <c r="E1961" t="s">
        <v>4832</v>
      </c>
      <c r="F1961">
        <v>44</v>
      </c>
      <c r="G1961" t="s">
        <v>5638</v>
      </c>
      <c r="H1961">
        <v>10031</v>
      </c>
      <c r="I1961" t="s">
        <v>5695</v>
      </c>
      <c r="J1961" t="s">
        <v>5696</v>
      </c>
      <c r="O1961" t="s">
        <v>6761</v>
      </c>
      <c r="P1961" t="s">
        <v>5697</v>
      </c>
      <c r="R1961" t="s">
        <v>6795</v>
      </c>
      <c r="U1961">
        <v>647.47</v>
      </c>
      <c r="V1961" t="s">
        <v>6836</v>
      </c>
      <c r="W1961" t="s">
        <v>6843</v>
      </c>
      <c r="Y1961" t="s">
        <v>8669</v>
      </c>
      <c r="AA1961" t="s">
        <v>10712</v>
      </c>
      <c r="AB1961">
        <v>0</v>
      </c>
      <c r="AD1961" t="s">
        <v>10945</v>
      </c>
      <c r="AE1961">
        <v>44</v>
      </c>
      <c r="AF1961">
        <v>1</v>
      </c>
      <c r="AG1961">
        <v>0</v>
      </c>
      <c r="AH1961">
        <v>101.46</v>
      </c>
      <c r="AK1961" t="s">
        <v>10967</v>
      </c>
      <c r="AL1961">
        <v>12672</v>
      </c>
      <c r="AR1961">
        <v>0.1</v>
      </c>
      <c r="AS1961" t="s">
        <v>6820</v>
      </c>
      <c r="AT1961" t="s">
        <v>229</v>
      </c>
      <c r="AU1961" t="s">
        <v>11228</v>
      </c>
      <c r="AV1961" t="s">
        <v>11231</v>
      </c>
      <c r="AW1961" t="s">
        <v>6810</v>
      </c>
    </row>
    <row r="1962" spans="1:49">
      <c r="A1962" s="1">
        <f>HYPERLINK("https://lsnyc.legalserver.org/matter/dynamic-profile/view/1905828","19-1905828")</f>
        <v>0</v>
      </c>
      <c r="B1962" t="s">
        <v>152</v>
      </c>
      <c r="C1962" t="s">
        <v>359</v>
      </c>
      <c r="D1962" t="s">
        <v>2911</v>
      </c>
      <c r="E1962" t="s">
        <v>4833</v>
      </c>
      <c r="G1962" t="s">
        <v>5635</v>
      </c>
      <c r="H1962">
        <v>10469</v>
      </c>
      <c r="I1962" t="s">
        <v>5696</v>
      </c>
      <c r="J1962" t="s">
        <v>5696</v>
      </c>
      <c r="O1962" t="s">
        <v>6784</v>
      </c>
      <c r="R1962" t="s">
        <v>6798</v>
      </c>
      <c r="U1962">
        <v>0</v>
      </c>
      <c r="V1962" t="s">
        <v>6833</v>
      </c>
      <c r="Y1962" t="s">
        <v>7463</v>
      </c>
      <c r="AA1962" t="s">
        <v>10713</v>
      </c>
      <c r="AB1962">
        <v>0</v>
      </c>
      <c r="AE1962">
        <v>0</v>
      </c>
      <c r="AF1962">
        <v>1</v>
      </c>
      <c r="AG1962">
        <v>0</v>
      </c>
      <c r="AH1962">
        <v>330.58</v>
      </c>
      <c r="AK1962" t="s">
        <v>10966</v>
      </c>
      <c r="AL1962">
        <v>41289.6</v>
      </c>
      <c r="AR1962">
        <v>3</v>
      </c>
      <c r="AS1962" t="s">
        <v>6827</v>
      </c>
      <c r="AT1962" t="s">
        <v>296</v>
      </c>
      <c r="AV1962" t="s">
        <v>11231</v>
      </c>
      <c r="AW1962" t="s">
        <v>6824</v>
      </c>
    </row>
    <row r="1963" spans="1:49">
      <c r="A1963" s="1">
        <f>HYPERLINK("https://lsnyc.legalserver.org/matter/dynamic-profile/view/1902089","19-1902089")</f>
        <v>0</v>
      </c>
      <c r="B1963" t="s">
        <v>163</v>
      </c>
      <c r="C1963" t="s">
        <v>1508</v>
      </c>
      <c r="D1963" t="s">
        <v>2052</v>
      </c>
      <c r="E1963" t="s">
        <v>4834</v>
      </c>
      <c r="G1963" t="s">
        <v>5637</v>
      </c>
      <c r="H1963">
        <v>11236</v>
      </c>
      <c r="I1963" t="s">
        <v>5696</v>
      </c>
      <c r="J1963" t="s">
        <v>5696</v>
      </c>
      <c r="O1963" t="s">
        <v>6775</v>
      </c>
      <c r="R1963" t="s">
        <v>6799</v>
      </c>
      <c r="U1963">
        <v>0</v>
      </c>
      <c r="V1963" t="s">
        <v>6835</v>
      </c>
      <c r="Y1963" t="s">
        <v>8670</v>
      </c>
      <c r="AA1963" t="s">
        <v>10714</v>
      </c>
      <c r="AB1963">
        <v>0</v>
      </c>
      <c r="AE1963">
        <v>0</v>
      </c>
      <c r="AF1963">
        <v>1</v>
      </c>
      <c r="AG1963">
        <v>2</v>
      </c>
      <c r="AH1963">
        <v>45.01</v>
      </c>
      <c r="AK1963" t="s">
        <v>10966</v>
      </c>
      <c r="AL1963">
        <v>9600</v>
      </c>
      <c r="AR1963">
        <v>6.85</v>
      </c>
      <c r="AS1963" t="s">
        <v>6815</v>
      </c>
      <c r="AT1963" t="s">
        <v>144</v>
      </c>
      <c r="AV1963" t="s">
        <v>11231</v>
      </c>
      <c r="AW1963" t="s">
        <v>11131</v>
      </c>
    </row>
    <row r="1964" spans="1:49">
      <c r="A1964" s="1">
        <f>HYPERLINK("https://lsnyc.legalserver.org/matter/dynamic-profile/view/1904746","19-1904746")</f>
        <v>0</v>
      </c>
      <c r="B1964" t="s">
        <v>206</v>
      </c>
      <c r="C1964" t="s">
        <v>800</v>
      </c>
      <c r="D1964" t="s">
        <v>2912</v>
      </c>
      <c r="E1964" t="s">
        <v>4835</v>
      </c>
      <c r="F1964" t="s">
        <v>5142</v>
      </c>
      <c r="G1964" t="s">
        <v>5638</v>
      </c>
      <c r="H1964">
        <v>10031</v>
      </c>
      <c r="I1964" t="s">
        <v>5695</v>
      </c>
      <c r="J1964" t="s">
        <v>5696</v>
      </c>
      <c r="O1964" t="s">
        <v>6761</v>
      </c>
      <c r="P1964" t="s">
        <v>5697</v>
      </c>
      <c r="R1964" t="s">
        <v>6795</v>
      </c>
      <c r="U1964">
        <v>842</v>
      </c>
      <c r="V1964" t="s">
        <v>6836</v>
      </c>
      <c r="W1964" t="s">
        <v>6843</v>
      </c>
      <c r="Y1964" t="s">
        <v>8671</v>
      </c>
      <c r="AA1964" t="s">
        <v>10715</v>
      </c>
      <c r="AB1964">
        <v>0</v>
      </c>
      <c r="AC1964" t="s">
        <v>10936</v>
      </c>
      <c r="AE1964">
        <v>40</v>
      </c>
      <c r="AF1964">
        <v>1</v>
      </c>
      <c r="AG1964">
        <v>0</v>
      </c>
      <c r="AH1964">
        <v>278.62</v>
      </c>
      <c r="AL1964">
        <v>34800</v>
      </c>
      <c r="AR1964">
        <v>0</v>
      </c>
      <c r="AT1964" t="s">
        <v>229</v>
      </c>
      <c r="AU1964" t="s">
        <v>11228</v>
      </c>
      <c r="AV1964" t="s">
        <v>11231</v>
      </c>
      <c r="AW1964" t="s">
        <v>6815</v>
      </c>
    </row>
    <row r="1965" spans="1:49">
      <c r="A1965" s="1">
        <f>HYPERLINK("https://lsnyc.legalserver.org/matter/dynamic-profile/view/1900886","19-1900886")</f>
        <v>0</v>
      </c>
      <c r="B1965" t="s">
        <v>71</v>
      </c>
      <c r="C1965" t="s">
        <v>506</v>
      </c>
      <c r="D1965" t="s">
        <v>2514</v>
      </c>
      <c r="E1965" t="s">
        <v>4836</v>
      </c>
      <c r="F1965" t="s">
        <v>5603</v>
      </c>
      <c r="G1965" t="s">
        <v>5637</v>
      </c>
      <c r="H1965">
        <v>11221</v>
      </c>
      <c r="I1965" t="s">
        <v>5695</v>
      </c>
      <c r="J1965" t="s">
        <v>5696</v>
      </c>
      <c r="O1965" t="s">
        <v>6756</v>
      </c>
      <c r="P1965" t="s">
        <v>5695</v>
      </c>
      <c r="R1965" t="s">
        <v>6796</v>
      </c>
      <c r="S1965" t="s">
        <v>6801</v>
      </c>
      <c r="U1965">
        <v>0</v>
      </c>
      <c r="V1965" t="s">
        <v>6835</v>
      </c>
      <c r="W1965" t="s">
        <v>6848</v>
      </c>
      <c r="Y1965" t="s">
        <v>8672</v>
      </c>
      <c r="AA1965" t="s">
        <v>10716</v>
      </c>
      <c r="AB1965">
        <v>36</v>
      </c>
      <c r="AC1965" t="s">
        <v>10934</v>
      </c>
      <c r="AE1965">
        <v>0</v>
      </c>
      <c r="AF1965">
        <v>1</v>
      </c>
      <c r="AG1965">
        <v>3</v>
      </c>
      <c r="AH1965">
        <v>0</v>
      </c>
      <c r="AL1965">
        <v>0</v>
      </c>
      <c r="AR1965">
        <v>6.2</v>
      </c>
      <c r="AS1965" t="s">
        <v>6828</v>
      </c>
      <c r="AT1965" t="s">
        <v>11204</v>
      </c>
      <c r="AV1965" t="s">
        <v>11231</v>
      </c>
      <c r="AW1965" t="s">
        <v>11157</v>
      </c>
    </row>
    <row r="1966" spans="1:49">
      <c r="A1966" s="1">
        <f>HYPERLINK("https://lsnyc.legalserver.org/matter/dynamic-profile/view/1897851","19-1897851")</f>
        <v>0</v>
      </c>
      <c r="B1966" t="s">
        <v>150</v>
      </c>
      <c r="C1966" t="s">
        <v>995</v>
      </c>
      <c r="D1966" t="s">
        <v>2913</v>
      </c>
      <c r="E1966" t="s">
        <v>4837</v>
      </c>
      <c r="G1966" t="s">
        <v>5636</v>
      </c>
      <c r="H1966">
        <v>10306</v>
      </c>
      <c r="I1966" t="s">
        <v>5696</v>
      </c>
      <c r="J1966" t="s">
        <v>5696</v>
      </c>
      <c r="O1966" t="s">
        <v>6779</v>
      </c>
      <c r="R1966" t="s">
        <v>6799</v>
      </c>
      <c r="U1966">
        <v>0</v>
      </c>
      <c r="V1966" t="s">
        <v>6834</v>
      </c>
      <c r="Y1966" t="s">
        <v>8673</v>
      </c>
      <c r="AA1966" t="s">
        <v>10717</v>
      </c>
      <c r="AB1966">
        <v>0</v>
      </c>
      <c r="AE1966">
        <v>0</v>
      </c>
      <c r="AF1966">
        <v>1</v>
      </c>
      <c r="AG1966">
        <v>2</v>
      </c>
      <c r="AH1966">
        <v>219.41</v>
      </c>
      <c r="AK1966" t="s">
        <v>10966</v>
      </c>
      <c r="AL1966">
        <v>46800</v>
      </c>
      <c r="AR1966">
        <v>9.6</v>
      </c>
      <c r="AS1966" t="s">
        <v>6828</v>
      </c>
      <c r="AT1966" t="s">
        <v>11211</v>
      </c>
      <c r="AV1966" t="s">
        <v>11231</v>
      </c>
      <c r="AW1966" t="s">
        <v>11156</v>
      </c>
    </row>
    <row r="1967" spans="1:49">
      <c r="A1967" s="1">
        <f>HYPERLINK("https://lsnyc.legalserver.org/matter/dynamic-profile/view/1902525","19-1902525")</f>
        <v>0</v>
      </c>
      <c r="B1967" t="s">
        <v>227</v>
      </c>
      <c r="C1967" t="s">
        <v>1071</v>
      </c>
      <c r="D1967" t="s">
        <v>1739</v>
      </c>
      <c r="E1967" t="s">
        <v>4838</v>
      </c>
      <c r="G1967" t="s">
        <v>5660</v>
      </c>
      <c r="H1967">
        <v>11423</v>
      </c>
      <c r="I1967" t="s">
        <v>5696</v>
      </c>
      <c r="J1967" t="s">
        <v>5696</v>
      </c>
      <c r="O1967" t="s">
        <v>6767</v>
      </c>
      <c r="R1967" t="s">
        <v>6798</v>
      </c>
      <c r="U1967">
        <v>0</v>
      </c>
      <c r="V1967" t="s">
        <v>6837</v>
      </c>
      <c r="Y1967" t="s">
        <v>8674</v>
      </c>
      <c r="AA1967" t="s">
        <v>10718</v>
      </c>
      <c r="AB1967">
        <v>0</v>
      </c>
      <c r="AE1967">
        <v>0</v>
      </c>
      <c r="AF1967">
        <v>2</v>
      </c>
      <c r="AG1967">
        <v>0</v>
      </c>
      <c r="AH1967">
        <v>274.54</v>
      </c>
      <c r="AK1967" t="s">
        <v>10966</v>
      </c>
      <c r="AL1967">
        <v>46424</v>
      </c>
      <c r="AR1967">
        <v>8.6</v>
      </c>
      <c r="AS1967" t="s">
        <v>6811</v>
      </c>
      <c r="AT1967" t="s">
        <v>11183</v>
      </c>
      <c r="AV1967" t="s">
        <v>11231</v>
      </c>
      <c r="AW1967" t="s">
        <v>11116</v>
      </c>
    </row>
    <row r="1968" spans="1:49">
      <c r="A1968" s="1">
        <f>HYPERLINK("https://lsnyc.legalserver.org/matter/dynamic-profile/view/0780991","15-0780991")</f>
        <v>0</v>
      </c>
      <c r="B1968" t="s">
        <v>150</v>
      </c>
      <c r="C1968" t="s">
        <v>963</v>
      </c>
      <c r="D1968" t="s">
        <v>2914</v>
      </c>
      <c r="E1968" t="s">
        <v>4839</v>
      </c>
      <c r="G1968" t="s">
        <v>5689</v>
      </c>
      <c r="H1968">
        <v>10307</v>
      </c>
      <c r="I1968" t="s">
        <v>5696</v>
      </c>
      <c r="J1968" t="s">
        <v>5696</v>
      </c>
      <c r="O1968" t="s">
        <v>6754</v>
      </c>
      <c r="R1968" t="s">
        <v>6799</v>
      </c>
      <c r="U1968">
        <v>0</v>
      </c>
      <c r="V1968" t="s">
        <v>6834</v>
      </c>
      <c r="Y1968" t="s">
        <v>8675</v>
      </c>
      <c r="AA1968" t="s">
        <v>10719</v>
      </c>
      <c r="AB1968">
        <v>0</v>
      </c>
      <c r="AE1968">
        <v>0</v>
      </c>
      <c r="AF1968">
        <v>1</v>
      </c>
      <c r="AG1968">
        <v>0</v>
      </c>
      <c r="AH1968">
        <v>105.68</v>
      </c>
      <c r="AK1968" t="s">
        <v>10966</v>
      </c>
      <c r="AL1968">
        <v>13200</v>
      </c>
      <c r="AR1968">
        <v>0.5</v>
      </c>
      <c r="AS1968" t="s">
        <v>6825</v>
      </c>
      <c r="AT1968" t="s">
        <v>11226</v>
      </c>
      <c r="AV1968" t="s">
        <v>11231</v>
      </c>
      <c r="AW1968" t="s">
        <v>6825</v>
      </c>
    </row>
    <row r="1969" spans="1:49">
      <c r="A1969" s="1">
        <f>HYPERLINK("https://lsnyc.legalserver.org/matter/dynamic-profile/view/1900660","19-1900660")</f>
        <v>0</v>
      </c>
      <c r="B1969" t="s">
        <v>152</v>
      </c>
      <c r="C1969" t="s">
        <v>1131</v>
      </c>
      <c r="D1969" t="s">
        <v>2915</v>
      </c>
      <c r="E1969" t="s">
        <v>4840</v>
      </c>
      <c r="G1969" t="s">
        <v>5635</v>
      </c>
      <c r="H1969">
        <v>10473</v>
      </c>
      <c r="I1969" t="s">
        <v>5696</v>
      </c>
      <c r="J1969" t="s">
        <v>5696</v>
      </c>
      <c r="O1969" t="s">
        <v>6784</v>
      </c>
      <c r="R1969" t="s">
        <v>6798</v>
      </c>
      <c r="U1969">
        <v>0</v>
      </c>
      <c r="V1969" t="s">
        <v>6833</v>
      </c>
      <c r="Y1969" t="s">
        <v>8676</v>
      </c>
      <c r="AA1969" t="s">
        <v>10720</v>
      </c>
      <c r="AB1969">
        <v>0</v>
      </c>
      <c r="AE1969">
        <v>0</v>
      </c>
      <c r="AF1969">
        <v>1</v>
      </c>
      <c r="AG1969">
        <v>0</v>
      </c>
      <c r="AH1969">
        <v>880.7</v>
      </c>
      <c r="AK1969" t="s">
        <v>10966</v>
      </c>
      <c r="AL1969">
        <v>110000</v>
      </c>
      <c r="AR1969">
        <v>3</v>
      </c>
      <c r="AS1969" t="s">
        <v>11120</v>
      </c>
      <c r="AT1969" t="s">
        <v>296</v>
      </c>
      <c r="AV1969" t="s">
        <v>11231</v>
      </c>
      <c r="AW1969" t="s">
        <v>6895</v>
      </c>
    </row>
    <row r="1970" spans="1:49">
      <c r="A1970" s="1">
        <f>HYPERLINK("https://lsnyc.legalserver.org/matter/dynamic-profile/view/1904827","19-1904827")</f>
        <v>0</v>
      </c>
      <c r="B1970" t="s">
        <v>116</v>
      </c>
      <c r="C1970" t="s">
        <v>584</v>
      </c>
      <c r="D1970" t="s">
        <v>2916</v>
      </c>
      <c r="E1970" t="s">
        <v>4841</v>
      </c>
      <c r="G1970" t="s">
        <v>5644</v>
      </c>
      <c r="H1970">
        <v>11434</v>
      </c>
      <c r="I1970" t="s">
        <v>5696</v>
      </c>
      <c r="J1970" t="s">
        <v>5696</v>
      </c>
      <c r="O1970" t="s">
        <v>6778</v>
      </c>
      <c r="R1970" t="s">
        <v>6798</v>
      </c>
      <c r="U1970">
        <v>0</v>
      </c>
      <c r="V1970" t="s">
        <v>6837</v>
      </c>
      <c r="Y1970" t="s">
        <v>7465</v>
      </c>
      <c r="AA1970" t="s">
        <v>10721</v>
      </c>
      <c r="AB1970">
        <v>0</v>
      </c>
      <c r="AE1970">
        <v>0</v>
      </c>
      <c r="AF1970">
        <v>1</v>
      </c>
      <c r="AG1970">
        <v>0</v>
      </c>
      <c r="AH1970">
        <v>536.4299999999999</v>
      </c>
      <c r="AK1970" t="s">
        <v>10966</v>
      </c>
      <c r="AL1970">
        <v>67000</v>
      </c>
      <c r="AR1970">
        <v>1.45</v>
      </c>
      <c r="AS1970" t="s">
        <v>6808</v>
      </c>
      <c r="AT1970" t="s">
        <v>11180</v>
      </c>
      <c r="AV1970" t="s">
        <v>11231</v>
      </c>
      <c r="AW1970" t="s">
        <v>6816</v>
      </c>
    </row>
    <row r="1971" spans="1:49">
      <c r="A1971" s="1">
        <f>HYPERLINK("https://lsnyc.legalserver.org/matter/dynamic-profile/view/1899255","19-1899255")</f>
        <v>0</v>
      </c>
      <c r="B1971" t="s">
        <v>150</v>
      </c>
      <c r="C1971" t="s">
        <v>1509</v>
      </c>
      <c r="D1971" t="s">
        <v>2917</v>
      </c>
      <c r="E1971" t="s">
        <v>4842</v>
      </c>
      <c r="G1971" t="s">
        <v>5636</v>
      </c>
      <c r="H1971">
        <v>10314</v>
      </c>
      <c r="I1971" t="s">
        <v>5696</v>
      </c>
      <c r="J1971" t="s">
        <v>5696</v>
      </c>
      <c r="O1971" t="s">
        <v>6779</v>
      </c>
      <c r="R1971" t="s">
        <v>6799</v>
      </c>
      <c r="U1971">
        <v>0</v>
      </c>
      <c r="V1971" t="s">
        <v>6834</v>
      </c>
      <c r="Y1971" t="s">
        <v>8677</v>
      </c>
      <c r="AA1971" t="s">
        <v>10722</v>
      </c>
      <c r="AB1971">
        <v>0</v>
      </c>
      <c r="AE1971">
        <v>0</v>
      </c>
      <c r="AF1971">
        <v>1</v>
      </c>
      <c r="AG1971">
        <v>0</v>
      </c>
      <c r="AH1971">
        <v>115.29</v>
      </c>
      <c r="AK1971" t="s">
        <v>10966</v>
      </c>
      <c r="AL1971">
        <v>14400</v>
      </c>
      <c r="AR1971">
        <v>3.7</v>
      </c>
      <c r="AS1971" t="s">
        <v>6814</v>
      </c>
      <c r="AT1971" t="s">
        <v>54</v>
      </c>
      <c r="AV1971" t="s">
        <v>11231</v>
      </c>
      <c r="AW1971" t="s">
        <v>11126</v>
      </c>
    </row>
    <row r="1972" spans="1:49">
      <c r="A1972" s="1">
        <f>HYPERLINK("https://lsnyc.legalserver.org/matter/dynamic-profile/view/1900253","19-1900253")</f>
        <v>0</v>
      </c>
      <c r="B1972" t="s">
        <v>153</v>
      </c>
      <c r="C1972" t="s">
        <v>1287</v>
      </c>
      <c r="D1972" t="s">
        <v>2918</v>
      </c>
      <c r="E1972" t="s">
        <v>4843</v>
      </c>
      <c r="F1972">
        <v>215</v>
      </c>
      <c r="G1972" t="s">
        <v>5638</v>
      </c>
      <c r="H1972">
        <v>10035</v>
      </c>
      <c r="I1972" t="s">
        <v>5696</v>
      </c>
      <c r="J1972" t="s">
        <v>5696</v>
      </c>
      <c r="O1972" t="s">
        <v>6777</v>
      </c>
      <c r="R1972" t="s">
        <v>6793</v>
      </c>
      <c r="U1972">
        <v>0</v>
      </c>
      <c r="V1972" t="s">
        <v>6836</v>
      </c>
      <c r="Y1972" t="s">
        <v>8678</v>
      </c>
      <c r="AA1972" t="s">
        <v>10723</v>
      </c>
      <c r="AB1972">
        <v>0</v>
      </c>
      <c r="AE1972">
        <v>0</v>
      </c>
      <c r="AF1972">
        <v>2</v>
      </c>
      <c r="AG1972">
        <v>0</v>
      </c>
      <c r="AH1972">
        <v>94.52</v>
      </c>
      <c r="AK1972" t="s">
        <v>10966</v>
      </c>
      <c r="AL1972">
        <v>15984</v>
      </c>
      <c r="AR1972">
        <v>83.73999999999999</v>
      </c>
      <c r="AS1972" t="s">
        <v>6828</v>
      </c>
      <c r="AT1972" t="s">
        <v>229</v>
      </c>
      <c r="AV1972" t="s">
        <v>11231</v>
      </c>
      <c r="AW1972" t="s">
        <v>11127</v>
      </c>
    </row>
    <row r="1973" spans="1:49">
      <c r="A1973" s="1">
        <f>HYPERLINK("https://lsnyc.legalserver.org/matter/dynamic-profile/view/1903158","19-1903158")</f>
        <v>0</v>
      </c>
      <c r="B1973" t="s">
        <v>151</v>
      </c>
      <c r="C1973" t="s">
        <v>716</v>
      </c>
      <c r="D1973" t="s">
        <v>2919</v>
      </c>
      <c r="E1973" t="s">
        <v>4844</v>
      </c>
      <c r="G1973" t="s">
        <v>5637</v>
      </c>
      <c r="H1973">
        <v>11229</v>
      </c>
      <c r="I1973" t="s">
        <v>5696</v>
      </c>
      <c r="J1973" t="s">
        <v>5696</v>
      </c>
      <c r="O1973" t="s">
        <v>6769</v>
      </c>
      <c r="R1973" t="s">
        <v>6798</v>
      </c>
      <c r="U1973">
        <v>0</v>
      </c>
      <c r="V1973" t="s">
        <v>6835</v>
      </c>
      <c r="Y1973" t="s">
        <v>8679</v>
      </c>
      <c r="AA1973" t="s">
        <v>10724</v>
      </c>
      <c r="AB1973">
        <v>0</v>
      </c>
      <c r="AE1973">
        <v>0</v>
      </c>
      <c r="AF1973">
        <v>2</v>
      </c>
      <c r="AG1973">
        <v>0</v>
      </c>
      <c r="AH1973">
        <v>248.55</v>
      </c>
      <c r="AK1973" t="s">
        <v>10966</v>
      </c>
      <c r="AL1973">
        <v>42030.6</v>
      </c>
      <c r="AR1973">
        <v>1</v>
      </c>
      <c r="AS1973" t="s">
        <v>11157</v>
      </c>
      <c r="AT1973" t="s">
        <v>151</v>
      </c>
      <c r="AV1973" t="s">
        <v>11231</v>
      </c>
      <c r="AW1973" t="s">
        <v>10953</v>
      </c>
    </row>
    <row r="1974" spans="1:49">
      <c r="A1974" s="1">
        <f>HYPERLINK("https://lsnyc.legalserver.org/matter/dynamic-profile/view/1903526","19-1903526")</f>
        <v>0</v>
      </c>
      <c r="B1974" t="s">
        <v>152</v>
      </c>
      <c r="C1974" t="s">
        <v>334</v>
      </c>
      <c r="D1974" t="s">
        <v>2024</v>
      </c>
      <c r="E1974" t="s">
        <v>4845</v>
      </c>
      <c r="G1974" t="s">
        <v>5635</v>
      </c>
      <c r="H1974">
        <v>10473</v>
      </c>
      <c r="I1974" t="s">
        <v>5696</v>
      </c>
      <c r="J1974" t="s">
        <v>5696</v>
      </c>
      <c r="O1974" t="s">
        <v>6784</v>
      </c>
      <c r="R1974" t="s">
        <v>6797</v>
      </c>
      <c r="U1974">
        <v>0</v>
      </c>
      <c r="V1974" t="s">
        <v>6833</v>
      </c>
      <c r="Y1974" t="s">
        <v>8680</v>
      </c>
      <c r="AA1974" t="s">
        <v>10725</v>
      </c>
      <c r="AB1974">
        <v>0</v>
      </c>
      <c r="AE1974">
        <v>0</v>
      </c>
      <c r="AF1974">
        <v>1</v>
      </c>
      <c r="AG1974">
        <v>2</v>
      </c>
      <c r="AH1974">
        <v>539.15</v>
      </c>
      <c r="AK1974" t="s">
        <v>10966</v>
      </c>
      <c r="AL1974">
        <v>115000</v>
      </c>
      <c r="AR1974">
        <v>2.5</v>
      </c>
      <c r="AS1974" t="s">
        <v>6807</v>
      </c>
      <c r="AT1974" t="s">
        <v>152</v>
      </c>
      <c r="AV1974" t="s">
        <v>11231</v>
      </c>
      <c r="AW1974" t="s">
        <v>11147</v>
      </c>
    </row>
    <row r="1975" spans="1:49">
      <c r="A1975" s="1">
        <f>HYPERLINK("https://lsnyc.legalserver.org/matter/dynamic-profile/view/1898532","19-1898532")</f>
        <v>0</v>
      </c>
      <c r="B1975" t="s">
        <v>239</v>
      </c>
      <c r="C1975" t="s">
        <v>1510</v>
      </c>
      <c r="D1975" t="s">
        <v>2920</v>
      </c>
      <c r="E1975" t="s">
        <v>4846</v>
      </c>
      <c r="F1975" t="s">
        <v>5604</v>
      </c>
      <c r="G1975" t="s">
        <v>5637</v>
      </c>
      <c r="H1975">
        <v>11236</v>
      </c>
      <c r="I1975" t="s">
        <v>5696</v>
      </c>
      <c r="J1975" t="s">
        <v>5696</v>
      </c>
      <c r="O1975" t="s">
        <v>6780</v>
      </c>
      <c r="R1975" t="s">
        <v>6799</v>
      </c>
      <c r="U1975">
        <v>0</v>
      </c>
      <c r="V1975" t="s">
        <v>6835</v>
      </c>
      <c r="Y1975" t="s">
        <v>8681</v>
      </c>
      <c r="AA1975" t="s">
        <v>10726</v>
      </c>
      <c r="AB1975">
        <v>0</v>
      </c>
      <c r="AE1975">
        <v>0</v>
      </c>
      <c r="AF1975">
        <v>2</v>
      </c>
      <c r="AG1975">
        <v>0</v>
      </c>
      <c r="AH1975">
        <v>659.5700000000001</v>
      </c>
      <c r="AK1975" t="s">
        <v>10974</v>
      </c>
      <c r="AL1975">
        <v>111534</v>
      </c>
      <c r="AR1975">
        <v>10</v>
      </c>
      <c r="AS1975" t="s">
        <v>10953</v>
      </c>
      <c r="AT1975" t="s">
        <v>144</v>
      </c>
      <c r="AV1975" t="s">
        <v>11231</v>
      </c>
      <c r="AW1975" t="s">
        <v>11123</v>
      </c>
    </row>
    <row r="1976" spans="1:49">
      <c r="A1976" s="1">
        <f>HYPERLINK("https://lsnyc.legalserver.org/matter/dynamic-profile/view/1905129","19-1905129")</f>
        <v>0</v>
      </c>
      <c r="B1976" t="s">
        <v>268</v>
      </c>
      <c r="C1976" t="s">
        <v>520</v>
      </c>
      <c r="D1976" t="s">
        <v>1839</v>
      </c>
      <c r="E1976" t="s">
        <v>3310</v>
      </c>
      <c r="F1976" t="s">
        <v>5605</v>
      </c>
      <c r="G1976" t="s">
        <v>5637</v>
      </c>
      <c r="H1976">
        <v>11218</v>
      </c>
      <c r="I1976" t="s">
        <v>5696</v>
      </c>
      <c r="J1976" t="s">
        <v>5696</v>
      </c>
      <c r="O1976" t="s">
        <v>6745</v>
      </c>
      <c r="R1976" t="s">
        <v>6793</v>
      </c>
      <c r="U1976">
        <v>1627</v>
      </c>
      <c r="V1976" t="s">
        <v>6835</v>
      </c>
      <c r="W1976" t="s">
        <v>6843</v>
      </c>
      <c r="Y1976" t="s">
        <v>7105</v>
      </c>
      <c r="AA1976" t="s">
        <v>10727</v>
      </c>
      <c r="AB1976">
        <v>3</v>
      </c>
      <c r="AE1976">
        <v>13</v>
      </c>
      <c r="AF1976">
        <v>1</v>
      </c>
      <c r="AG1976">
        <v>0</v>
      </c>
      <c r="AH1976">
        <v>93</v>
      </c>
      <c r="AK1976" t="s">
        <v>10966</v>
      </c>
      <c r="AL1976">
        <v>11616</v>
      </c>
      <c r="AR1976">
        <v>7.5</v>
      </c>
      <c r="AS1976" t="s">
        <v>6827</v>
      </c>
      <c r="AT1976" t="s">
        <v>11181</v>
      </c>
      <c r="AV1976" t="s">
        <v>11231</v>
      </c>
      <c r="AW1976" t="s">
        <v>6814</v>
      </c>
    </row>
    <row r="1977" spans="1:49">
      <c r="A1977" s="1">
        <f>HYPERLINK("https://lsnyc.legalserver.org/matter/dynamic-profile/view/1900076","19-1900076")</f>
        <v>0</v>
      </c>
      <c r="B1977" t="s">
        <v>299</v>
      </c>
      <c r="C1977" t="s">
        <v>1511</v>
      </c>
      <c r="D1977" t="s">
        <v>2921</v>
      </c>
      <c r="E1977" t="s">
        <v>4847</v>
      </c>
      <c r="G1977" t="s">
        <v>5689</v>
      </c>
      <c r="H1977">
        <v>10312</v>
      </c>
      <c r="I1977" t="s">
        <v>5696</v>
      </c>
      <c r="J1977" t="s">
        <v>5696</v>
      </c>
      <c r="O1977" t="s">
        <v>6779</v>
      </c>
      <c r="R1977" t="s">
        <v>6799</v>
      </c>
      <c r="U1977">
        <v>0</v>
      </c>
      <c r="V1977" t="s">
        <v>6834</v>
      </c>
      <c r="Y1977" t="s">
        <v>8682</v>
      </c>
      <c r="AA1977" t="s">
        <v>10728</v>
      </c>
      <c r="AB1977">
        <v>0</v>
      </c>
      <c r="AE1977">
        <v>0</v>
      </c>
      <c r="AF1977">
        <v>2</v>
      </c>
      <c r="AG1977">
        <v>0</v>
      </c>
      <c r="AH1977">
        <v>302.78</v>
      </c>
      <c r="AK1977" t="s">
        <v>10966</v>
      </c>
      <c r="AL1977">
        <v>51200</v>
      </c>
      <c r="AR1977">
        <v>16.8</v>
      </c>
      <c r="AS1977" t="s">
        <v>6808</v>
      </c>
      <c r="AT1977" t="s">
        <v>11211</v>
      </c>
      <c r="AV1977" t="s">
        <v>11231</v>
      </c>
      <c r="AW1977" t="s">
        <v>10954</v>
      </c>
    </row>
    <row r="1978" spans="1:49">
      <c r="A1978" s="1">
        <f>HYPERLINK("https://lsnyc.legalserver.org/matter/dynamic-profile/view/1905908","19-1905908")</f>
        <v>0</v>
      </c>
      <c r="B1978" t="s">
        <v>98</v>
      </c>
      <c r="C1978" t="s">
        <v>731</v>
      </c>
      <c r="D1978" t="s">
        <v>2510</v>
      </c>
      <c r="E1978" t="s">
        <v>3711</v>
      </c>
      <c r="F1978" t="s">
        <v>5606</v>
      </c>
      <c r="G1978" t="s">
        <v>5638</v>
      </c>
      <c r="H1978">
        <v>10031</v>
      </c>
      <c r="I1978" t="s">
        <v>5696</v>
      </c>
      <c r="J1978" t="s">
        <v>5696</v>
      </c>
      <c r="O1978" t="s">
        <v>6761</v>
      </c>
      <c r="P1978" t="s">
        <v>5697</v>
      </c>
      <c r="R1978" t="s">
        <v>6796</v>
      </c>
      <c r="U1978">
        <v>0</v>
      </c>
      <c r="V1978" t="s">
        <v>6836</v>
      </c>
      <c r="W1978" t="s">
        <v>6838</v>
      </c>
      <c r="Y1978" t="s">
        <v>8683</v>
      </c>
      <c r="AA1978" t="s">
        <v>10729</v>
      </c>
      <c r="AB1978">
        <v>0</v>
      </c>
      <c r="AD1978" t="s">
        <v>10944</v>
      </c>
      <c r="AE1978">
        <v>0</v>
      </c>
      <c r="AF1978">
        <v>1</v>
      </c>
      <c r="AG1978">
        <v>0</v>
      </c>
      <c r="AH1978">
        <v>184.15</v>
      </c>
      <c r="AK1978" t="s">
        <v>10967</v>
      </c>
      <c r="AL1978">
        <v>23000</v>
      </c>
      <c r="AR1978">
        <v>0</v>
      </c>
      <c r="AT1978" t="s">
        <v>229</v>
      </c>
      <c r="AV1978" t="s">
        <v>11231</v>
      </c>
      <c r="AW1978" t="s">
        <v>6823</v>
      </c>
    </row>
    <row r="1979" spans="1:49">
      <c r="A1979" s="1">
        <f>HYPERLINK("https://lsnyc.legalserver.org/matter/dynamic-profile/view/1905665","19-1905665")</f>
        <v>0</v>
      </c>
      <c r="B1979" t="s">
        <v>254</v>
      </c>
      <c r="C1979" t="s">
        <v>1512</v>
      </c>
      <c r="D1979" t="s">
        <v>2922</v>
      </c>
      <c r="E1979" t="s">
        <v>4848</v>
      </c>
      <c r="F1979" t="s">
        <v>5305</v>
      </c>
      <c r="G1979" t="s">
        <v>5635</v>
      </c>
      <c r="H1979">
        <v>10453</v>
      </c>
      <c r="I1979" t="s">
        <v>5696</v>
      </c>
      <c r="J1979" t="s">
        <v>5696</v>
      </c>
      <c r="O1979" t="s">
        <v>6745</v>
      </c>
      <c r="R1979" t="s">
        <v>6793</v>
      </c>
      <c r="U1979">
        <v>877</v>
      </c>
      <c r="V1979" t="s">
        <v>6833</v>
      </c>
      <c r="W1979" t="s">
        <v>6843</v>
      </c>
      <c r="Y1979" t="s">
        <v>8684</v>
      </c>
      <c r="AA1979" t="s">
        <v>10730</v>
      </c>
      <c r="AB1979">
        <v>65</v>
      </c>
      <c r="AC1979" t="s">
        <v>10929</v>
      </c>
      <c r="AD1979" t="s">
        <v>5741</v>
      </c>
      <c r="AE1979">
        <v>5</v>
      </c>
      <c r="AF1979">
        <v>1</v>
      </c>
      <c r="AG1979">
        <v>0</v>
      </c>
      <c r="AH1979">
        <v>104.08</v>
      </c>
      <c r="AK1979" t="s">
        <v>10966</v>
      </c>
      <c r="AL1979">
        <v>13000</v>
      </c>
      <c r="AR1979">
        <v>1.5</v>
      </c>
      <c r="AS1979" t="s">
        <v>6823</v>
      </c>
      <c r="AT1979" t="s">
        <v>11203</v>
      </c>
      <c r="AV1979" t="s">
        <v>11231</v>
      </c>
      <c r="AW1979" t="s">
        <v>6823</v>
      </c>
    </row>
    <row r="1980" spans="1:49">
      <c r="A1980" s="1">
        <f>HYPERLINK("https://lsnyc.legalserver.org/matter/dynamic-profile/view/1898665","19-1898665")</f>
        <v>0</v>
      </c>
      <c r="B1980" t="s">
        <v>151</v>
      </c>
      <c r="C1980" t="s">
        <v>1513</v>
      </c>
      <c r="D1980" t="s">
        <v>2923</v>
      </c>
      <c r="E1980" t="s">
        <v>4849</v>
      </c>
      <c r="G1980" t="s">
        <v>5637</v>
      </c>
      <c r="H1980">
        <v>11234</v>
      </c>
      <c r="I1980" t="s">
        <v>5696</v>
      </c>
      <c r="J1980" t="s">
        <v>5696</v>
      </c>
      <c r="O1980" t="s">
        <v>6769</v>
      </c>
      <c r="R1980" t="s">
        <v>6799</v>
      </c>
      <c r="U1980">
        <v>0</v>
      </c>
      <c r="V1980" t="s">
        <v>6835</v>
      </c>
      <c r="Y1980" t="s">
        <v>7022</v>
      </c>
      <c r="AA1980" t="s">
        <v>10731</v>
      </c>
      <c r="AB1980">
        <v>0</v>
      </c>
      <c r="AE1980">
        <v>0</v>
      </c>
      <c r="AF1980">
        <v>5</v>
      </c>
      <c r="AG1980">
        <v>0</v>
      </c>
      <c r="AH1980">
        <v>187.42</v>
      </c>
      <c r="AK1980" t="s">
        <v>10966</v>
      </c>
      <c r="AL1980">
        <v>56544</v>
      </c>
      <c r="AR1980">
        <v>12.8</v>
      </c>
      <c r="AS1980" t="s">
        <v>6822</v>
      </c>
      <c r="AT1980" t="s">
        <v>144</v>
      </c>
      <c r="AV1980" t="s">
        <v>11231</v>
      </c>
      <c r="AW1980" t="s">
        <v>11152</v>
      </c>
    </row>
    <row r="1981" spans="1:49">
      <c r="A1981" s="1">
        <f>HYPERLINK("https://lsnyc.legalserver.org/matter/dynamic-profile/view/1901069","19-1901069")</f>
        <v>0</v>
      </c>
      <c r="B1981" t="s">
        <v>260</v>
      </c>
      <c r="C1981" t="s">
        <v>1514</v>
      </c>
      <c r="D1981" t="s">
        <v>441</v>
      </c>
      <c r="E1981" t="s">
        <v>4850</v>
      </c>
      <c r="G1981" t="s">
        <v>5644</v>
      </c>
      <c r="H1981">
        <v>11436</v>
      </c>
      <c r="I1981" t="s">
        <v>5696</v>
      </c>
      <c r="J1981" t="s">
        <v>5696</v>
      </c>
      <c r="O1981" t="s">
        <v>6767</v>
      </c>
      <c r="R1981" t="s">
        <v>6798</v>
      </c>
      <c r="U1981">
        <v>0</v>
      </c>
      <c r="V1981" t="s">
        <v>6837</v>
      </c>
      <c r="Y1981" t="s">
        <v>8685</v>
      </c>
      <c r="AA1981" t="s">
        <v>10732</v>
      </c>
      <c r="AB1981">
        <v>0</v>
      </c>
      <c r="AE1981">
        <v>0</v>
      </c>
      <c r="AF1981">
        <v>4</v>
      </c>
      <c r="AG1981">
        <v>3</v>
      </c>
      <c r="AH1981">
        <v>92.09999999999999</v>
      </c>
      <c r="AK1981" t="s">
        <v>10966</v>
      </c>
      <c r="AL1981">
        <v>35928</v>
      </c>
      <c r="AR1981">
        <v>2.8</v>
      </c>
      <c r="AS1981" t="s">
        <v>11155</v>
      </c>
      <c r="AT1981" t="s">
        <v>260</v>
      </c>
      <c r="AV1981" t="s">
        <v>11231</v>
      </c>
      <c r="AW1981" t="s">
        <v>11120</v>
      </c>
    </row>
    <row r="1982" spans="1:49">
      <c r="A1982" s="1">
        <f>HYPERLINK("https://lsnyc.legalserver.org/matter/dynamic-profile/view/1896438","19-1896438")</f>
        <v>0</v>
      </c>
      <c r="B1982" t="s">
        <v>205</v>
      </c>
      <c r="C1982" t="s">
        <v>540</v>
      </c>
      <c r="D1982" t="s">
        <v>812</v>
      </c>
      <c r="E1982" t="s">
        <v>4851</v>
      </c>
      <c r="F1982" t="s">
        <v>5607</v>
      </c>
      <c r="G1982" t="s">
        <v>5637</v>
      </c>
      <c r="H1982">
        <v>11221</v>
      </c>
      <c r="I1982" t="s">
        <v>5696</v>
      </c>
      <c r="J1982" t="s">
        <v>5696</v>
      </c>
      <c r="O1982" t="s">
        <v>6748</v>
      </c>
      <c r="R1982" t="s">
        <v>6793</v>
      </c>
      <c r="U1982">
        <v>1094.01</v>
      </c>
      <c r="V1982" t="s">
        <v>6835</v>
      </c>
      <c r="Y1982" t="s">
        <v>8686</v>
      </c>
      <c r="AA1982" t="s">
        <v>10733</v>
      </c>
      <c r="AB1982">
        <v>6</v>
      </c>
      <c r="AE1982">
        <v>15</v>
      </c>
      <c r="AF1982">
        <v>1</v>
      </c>
      <c r="AG1982">
        <v>0</v>
      </c>
      <c r="AH1982">
        <v>152.38</v>
      </c>
      <c r="AK1982" t="s">
        <v>10966</v>
      </c>
      <c r="AL1982">
        <v>19032</v>
      </c>
      <c r="AR1982">
        <v>0.5</v>
      </c>
      <c r="AS1982" t="s">
        <v>11164</v>
      </c>
      <c r="AT1982" t="s">
        <v>11181</v>
      </c>
      <c r="AV1982" t="s">
        <v>11231</v>
      </c>
      <c r="AW1982" t="s">
        <v>11164</v>
      </c>
    </row>
    <row r="1983" spans="1:49">
      <c r="A1983" s="1">
        <f>HYPERLINK("https://lsnyc.legalserver.org/matter/dynamic-profile/view/1902669","19-1902669")</f>
        <v>0</v>
      </c>
      <c r="B1983" t="s">
        <v>260</v>
      </c>
      <c r="C1983" t="s">
        <v>1515</v>
      </c>
      <c r="D1983" t="s">
        <v>2924</v>
      </c>
      <c r="E1983" t="s">
        <v>4852</v>
      </c>
      <c r="G1983" t="s">
        <v>5650</v>
      </c>
      <c r="H1983">
        <v>11365</v>
      </c>
      <c r="I1983" t="s">
        <v>5696</v>
      </c>
      <c r="J1983" t="s">
        <v>5696</v>
      </c>
      <c r="O1983" t="s">
        <v>6778</v>
      </c>
      <c r="R1983" t="s">
        <v>6798</v>
      </c>
      <c r="U1983">
        <v>0</v>
      </c>
      <c r="V1983" t="s">
        <v>6837</v>
      </c>
      <c r="Y1983" t="s">
        <v>8687</v>
      </c>
      <c r="AA1983" t="s">
        <v>10734</v>
      </c>
      <c r="AB1983">
        <v>0</v>
      </c>
      <c r="AE1983">
        <v>0</v>
      </c>
      <c r="AF1983">
        <v>5</v>
      </c>
      <c r="AG1983">
        <v>0</v>
      </c>
      <c r="AH1983">
        <v>198.87</v>
      </c>
      <c r="AK1983" t="s">
        <v>10966</v>
      </c>
      <c r="AL1983">
        <v>60000</v>
      </c>
      <c r="AR1983">
        <v>6.3</v>
      </c>
      <c r="AS1983" t="s">
        <v>6823</v>
      </c>
      <c r="AT1983" t="s">
        <v>11185</v>
      </c>
      <c r="AV1983" t="s">
        <v>11231</v>
      </c>
      <c r="AW1983" t="s">
        <v>11137</v>
      </c>
    </row>
    <row r="1984" spans="1:49">
      <c r="A1984" s="1">
        <f>HYPERLINK("https://lsnyc.legalserver.org/matter/dynamic-profile/view/1897270","19-1897270")</f>
        <v>0</v>
      </c>
      <c r="B1984" t="s">
        <v>150</v>
      </c>
      <c r="C1984" t="s">
        <v>592</v>
      </c>
      <c r="D1984" t="s">
        <v>2925</v>
      </c>
      <c r="E1984" t="s">
        <v>4853</v>
      </c>
      <c r="G1984" t="s">
        <v>5636</v>
      </c>
      <c r="H1984">
        <v>10305</v>
      </c>
      <c r="I1984" t="s">
        <v>5696</v>
      </c>
      <c r="J1984" t="s">
        <v>5696</v>
      </c>
      <c r="O1984" t="s">
        <v>6779</v>
      </c>
      <c r="R1984" t="s">
        <v>6798</v>
      </c>
      <c r="U1984">
        <v>0</v>
      </c>
      <c r="V1984" t="s">
        <v>6834</v>
      </c>
      <c r="Y1984" t="s">
        <v>8688</v>
      </c>
      <c r="AA1984" t="s">
        <v>10735</v>
      </c>
      <c r="AB1984">
        <v>0</v>
      </c>
      <c r="AE1984">
        <v>0</v>
      </c>
      <c r="AF1984">
        <v>3</v>
      </c>
      <c r="AG1984">
        <v>2</v>
      </c>
      <c r="AH1984">
        <v>195.53</v>
      </c>
      <c r="AK1984" t="s">
        <v>10966</v>
      </c>
      <c r="AL1984">
        <v>58992</v>
      </c>
      <c r="AR1984">
        <v>10.5</v>
      </c>
      <c r="AS1984" t="s">
        <v>6812</v>
      </c>
      <c r="AT1984" t="s">
        <v>150</v>
      </c>
      <c r="AV1984" t="s">
        <v>11231</v>
      </c>
      <c r="AW1984" t="s">
        <v>11145</v>
      </c>
    </row>
    <row r="1985" spans="1:49">
      <c r="A1985" s="1">
        <f>HYPERLINK("https://lsnyc.legalserver.org/matter/dynamic-profile/view/1904572","19-1904572")</f>
        <v>0</v>
      </c>
      <c r="B1985" t="s">
        <v>152</v>
      </c>
      <c r="C1985" t="s">
        <v>1516</v>
      </c>
      <c r="D1985" t="s">
        <v>2926</v>
      </c>
      <c r="E1985" t="s">
        <v>4854</v>
      </c>
      <c r="G1985" t="s">
        <v>5635</v>
      </c>
      <c r="H1985">
        <v>10466</v>
      </c>
      <c r="I1985" t="s">
        <v>5696</v>
      </c>
      <c r="J1985" t="s">
        <v>5696</v>
      </c>
      <c r="O1985" t="s">
        <v>6784</v>
      </c>
      <c r="R1985" t="s">
        <v>6798</v>
      </c>
      <c r="U1985">
        <v>0</v>
      </c>
      <c r="V1985" t="s">
        <v>6833</v>
      </c>
      <c r="Y1985" t="s">
        <v>7157</v>
      </c>
      <c r="AA1985" t="s">
        <v>10736</v>
      </c>
      <c r="AB1985">
        <v>0</v>
      </c>
      <c r="AE1985">
        <v>0</v>
      </c>
      <c r="AF1985">
        <v>2</v>
      </c>
      <c r="AG1985">
        <v>2</v>
      </c>
      <c r="AH1985">
        <v>0</v>
      </c>
      <c r="AK1985" t="s">
        <v>10966</v>
      </c>
      <c r="AL1985">
        <v>0</v>
      </c>
      <c r="AR1985">
        <v>3.5</v>
      </c>
      <c r="AS1985" t="s">
        <v>6809</v>
      </c>
      <c r="AT1985" t="s">
        <v>296</v>
      </c>
      <c r="AV1985" t="s">
        <v>11231</v>
      </c>
      <c r="AW1985" t="s">
        <v>6810</v>
      </c>
    </row>
    <row r="1986" spans="1:49">
      <c r="A1986" s="1">
        <f>HYPERLINK("https://lsnyc.legalserver.org/matter/dynamic-profile/view/1901599","19-1901599")</f>
        <v>0</v>
      </c>
      <c r="B1986" t="s">
        <v>239</v>
      </c>
      <c r="C1986" t="s">
        <v>1517</v>
      </c>
      <c r="D1986" t="s">
        <v>1846</v>
      </c>
      <c r="E1986" t="s">
        <v>4855</v>
      </c>
      <c r="G1986" t="s">
        <v>5637</v>
      </c>
      <c r="H1986">
        <v>11236</v>
      </c>
      <c r="I1986" t="s">
        <v>5696</v>
      </c>
      <c r="J1986" t="s">
        <v>5696</v>
      </c>
      <c r="O1986" t="s">
        <v>6780</v>
      </c>
      <c r="R1986" t="s">
        <v>6799</v>
      </c>
      <c r="U1986">
        <v>0</v>
      </c>
      <c r="V1986" t="s">
        <v>6835</v>
      </c>
      <c r="Y1986" t="s">
        <v>8689</v>
      </c>
      <c r="AA1986" t="s">
        <v>10737</v>
      </c>
      <c r="AB1986">
        <v>0</v>
      </c>
      <c r="AE1986">
        <v>0</v>
      </c>
      <c r="AF1986">
        <v>2</v>
      </c>
      <c r="AG1986">
        <v>3</v>
      </c>
      <c r="AH1986">
        <v>322.84</v>
      </c>
      <c r="AK1986" t="s">
        <v>10966</v>
      </c>
      <c r="AL1986">
        <v>97400</v>
      </c>
      <c r="AR1986">
        <v>2.6</v>
      </c>
      <c r="AS1986" t="s">
        <v>6818</v>
      </c>
      <c r="AT1986" t="s">
        <v>239</v>
      </c>
      <c r="AV1986" t="s">
        <v>11231</v>
      </c>
      <c r="AW1986" t="s">
        <v>11124</v>
      </c>
    </row>
    <row r="1987" spans="1:49">
      <c r="A1987" s="1">
        <f>HYPERLINK("https://lsnyc.legalserver.org/matter/dynamic-profile/view/1906081","19-1906081")</f>
        <v>0</v>
      </c>
      <c r="B1987" t="s">
        <v>50</v>
      </c>
      <c r="C1987" t="s">
        <v>1518</v>
      </c>
      <c r="D1987" t="s">
        <v>441</v>
      </c>
      <c r="E1987" t="s">
        <v>3665</v>
      </c>
      <c r="F1987" t="s">
        <v>5128</v>
      </c>
      <c r="G1987" t="s">
        <v>5635</v>
      </c>
      <c r="H1987">
        <v>10474</v>
      </c>
      <c r="I1987" t="s">
        <v>5695</v>
      </c>
      <c r="J1987" t="s">
        <v>5696</v>
      </c>
      <c r="O1987" t="s">
        <v>6753</v>
      </c>
      <c r="P1987" t="s">
        <v>5695</v>
      </c>
      <c r="R1987" t="s">
        <v>6793</v>
      </c>
      <c r="U1987">
        <v>1650</v>
      </c>
      <c r="V1987" t="s">
        <v>6833</v>
      </c>
      <c r="W1987" t="s">
        <v>6838</v>
      </c>
      <c r="Y1987" t="s">
        <v>8690</v>
      </c>
      <c r="AA1987" t="s">
        <v>10738</v>
      </c>
      <c r="AB1987">
        <v>47</v>
      </c>
      <c r="AC1987" t="s">
        <v>10929</v>
      </c>
      <c r="AD1987" t="s">
        <v>5741</v>
      </c>
      <c r="AE1987">
        <v>47</v>
      </c>
      <c r="AF1987">
        <v>2</v>
      </c>
      <c r="AG1987">
        <v>1</v>
      </c>
      <c r="AH1987">
        <v>271.92</v>
      </c>
      <c r="AK1987" t="s">
        <v>10966</v>
      </c>
      <c r="AL1987">
        <v>58000</v>
      </c>
      <c r="AR1987">
        <v>0</v>
      </c>
      <c r="AT1987" t="s">
        <v>11196</v>
      </c>
      <c r="AV1987" t="s">
        <v>11231</v>
      </c>
      <c r="AW1987" t="s">
        <v>6820</v>
      </c>
    </row>
    <row r="1988" spans="1:49">
      <c r="A1988" s="1">
        <f>HYPERLINK("https://lsnyc.legalserver.org/matter/dynamic-profile/view/1904635","19-1904635")</f>
        <v>0</v>
      </c>
      <c r="B1988" t="s">
        <v>150</v>
      </c>
      <c r="C1988" t="s">
        <v>1519</v>
      </c>
      <c r="D1988" t="s">
        <v>2927</v>
      </c>
      <c r="E1988" t="s">
        <v>4856</v>
      </c>
      <c r="G1988" t="s">
        <v>5636</v>
      </c>
      <c r="H1988">
        <v>10302</v>
      </c>
      <c r="I1988" t="s">
        <v>5696</v>
      </c>
      <c r="J1988" t="s">
        <v>5696</v>
      </c>
      <c r="O1988" t="s">
        <v>6754</v>
      </c>
      <c r="R1988" t="s">
        <v>6799</v>
      </c>
      <c r="U1988">
        <v>0</v>
      </c>
      <c r="V1988" t="s">
        <v>6834</v>
      </c>
      <c r="Y1988" t="s">
        <v>8691</v>
      </c>
      <c r="AA1988" t="s">
        <v>10739</v>
      </c>
      <c r="AB1988">
        <v>0</v>
      </c>
      <c r="AE1988">
        <v>0</v>
      </c>
      <c r="AF1988">
        <v>3</v>
      </c>
      <c r="AG1988">
        <v>1</v>
      </c>
      <c r="AH1988">
        <v>32.62</v>
      </c>
      <c r="AK1988" t="s">
        <v>10966</v>
      </c>
      <c r="AL1988">
        <v>8400</v>
      </c>
      <c r="AR1988">
        <v>1.3</v>
      </c>
      <c r="AS1988" t="s">
        <v>6824</v>
      </c>
      <c r="AT1988" t="s">
        <v>11211</v>
      </c>
      <c r="AV1988" t="s">
        <v>11231</v>
      </c>
      <c r="AW1988" t="s">
        <v>6809</v>
      </c>
    </row>
    <row r="1989" spans="1:49">
      <c r="A1989" s="1">
        <f>HYPERLINK("https://lsnyc.legalserver.org/matter/dynamic-profile/view/1903878","19-1903878")</f>
        <v>0</v>
      </c>
      <c r="B1989" t="s">
        <v>163</v>
      </c>
      <c r="C1989" t="s">
        <v>1520</v>
      </c>
      <c r="D1989" t="s">
        <v>2928</v>
      </c>
      <c r="E1989" t="s">
        <v>4857</v>
      </c>
      <c r="F1989" t="s">
        <v>5608</v>
      </c>
      <c r="G1989" t="s">
        <v>5637</v>
      </c>
      <c r="H1989">
        <v>11233</v>
      </c>
      <c r="I1989" t="s">
        <v>5696</v>
      </c>
      <c r="J1989" t="s">
        <v>5696</v>
      </c>
      <c r="O1989" t="s">
        <v>6780</v>
      </c>
      <c r="R1989" t="s">
        <v>6799</v>
      </c>
      <c r="U1989">
        <v>0</v>
      </c>
      <c r="V1989" t="s">
        <v>6835</v>
      </c>
      <c r="Y1989" t="s">
        <v>8692</v>
      </c>
      <c r="AA1989" t="s">
        <v>10740</v>
      </c>
      <c r="AB1989">
        <v>0</v>
      </c>
      <c r="AE1989">
        <v>0</v>
      </c>
      <c r="AF1989">
        <v>1</v>
      </c>
      <c r="AG1989">
        <v>0</v>
      </c>
      <c r="AH1989">
        <v>86.47</v>
      </c>
      <c r="AK1989" t="s">
        <v>10966</v>
      </c>
      <c r="AL1989">
        <v>10800</v>
      </c>
      <c r="AR1989">
        <v>0.6</v>
      </c>
      <c r="AS1989" t="s">
        <v>6807</v>
      </c>
      <c r="AT1989" t="s">
        <v>163</v>
      </c>
      <c r="AV1989" t="s">
        <v>11231</v>
      </c>
      <c r="AW1989" t="s">
        <v>11235</v>
      </c>
    </row>
    <row r="1990" spans="1:49">
      <c r="A1990" s="1">
        <f>HYPERLINK("https://lsnyc.legalserver.org/matter/dynamic-profile/view/1903004","19-1903004")</f>
        <v>0</v>
      </c>
      <c r="B1990" t="s">
        <v>210</v>
      </c>
      <c r="C1990" t="s">
        <v>687</v>
      </c>
      <c r="D1990" t="s">
        <v>2929</v>
      </c>
      <c r="E1990" t="s">
        <v>4858</v>
      </c>
      <c r="G1990" t="s">
        <v>5636</v>
      </c>
      <c r="H1990">
        <v>10303</v>
      </c>
      <c r="I1990" t="s">
        <v>5696</v>
      </c>
      <c r="J1990" t="s">
        <v>5696</v>
      </c>
      <c r="O1990" t="s">
        <v>6762</v>
      </c>
      <c r="R1990" t="s">
        <v>6793</v>
      </c>
      <c r="U1990">
        <v>0</v>
      </c>
      <c r="V1990" t="s">
        <v>6834</v>
      </c>
      <c r="Y1990" t="s">
        <v>8693</v>
      </c>
      <c r="AA1990" t="s">
        <v>10741</v>
      </c>
      <c r="AB1990">
        <v>0</v>
      </c>
      <c r="AE1990">
        <v>0</v>
      </c>
      <c r="AF1990">
        <v>1</v>
      </c>
      <c r="AG1990">
        <v>0</v>
      </c>
      <c r="AH1990">
        <v>0</v>
      </c>
      <c r="AK1990" t="s">
        <v>10966</v>
      </c>
      <c r="AL1990">
        <v>0</v>
      </c>
      <c r="AR1990">
        <v>2.75</v>
      </c>
      <c r="AS1990" t="s">
        <v>6814</v>
      </c>
      <c r="AT1990" t="s">
        <v>11177</v>
      </c>
      <c r="AV1990" t="s">
        <v>11231</v>
      </c>
      <c r="AW1990" t="s">
        <v>11138</v>
      </c>
    </row>
    <row r="1991" spans="1:49">
      <c r="A1991" s="1">
        <f>HYPERLINK("https://lsnyc.legalserver.org/matter/dynamic-profile/view/1899119","19-1899119")</f>
        <v>0</v>
      </c>
      <c r="B1991" t="s">
        <v>150</v>
      </c>
      <c r="C1991" t="s">
        <v>1521</v>
      </c>
      <c r="D1991" t="s">
        <v>2930</v>
      </c>
      <c r="E1991" t="s">
        <v>4859</v>
      </c>
      <c r="G1991" t="s">
        <v>5636</v>
      </c>
      <c r="H1991">
        <v>10314</v>
      </c>
      <c r="I1991" t="s">
        <v>5696</v>
      </c>
      <c r="J1991" t="s">
        <v>5696</v>
      </c>
      <c r="O1991" t="s">
        <v>6782</v>
      </c>
      <c r="R1991" t="s">
        <v>6798</v>
      </c>
      <c r="U1991">
        <v>0</v>
      </c>
      <c r="V1991" t="s">
        <v>6834</v>
      </c>
      <c r="Y1991" t="s">
        <v>8694</v>
      </c>
      <c r="AA1991" t="s">
        <v>10742</v>
      </c>
      <c r="AB1991">
        <v>0</v>
      </c>
      <c r="AE1991">
        <v>0</v>
      </c>
      <c r="AF1991">
        <v>4</v>
      </c>
      <c r="AG1991">
        <v>8</v>
      </c>
      <c r="AH1991">
        <v>63.82</v>
      </c>
      <c r="AK1991" t="s">
        <v>10966</v>
      </c>
      <c r="AL1991">
        <v>39000</v>
      </c>
      <c r="AR1991">
        <v>7.5</v>
      </c>
      <c r="AS1991" t="s">
        <v>6821</v>
      </c>
      <c r="AT1991" t="s">
        <v>150</v>
      </c>
      <c r="AV1991" t="s">
        <v>11231</v>
      </c>
      <c r="AW1991" t="s">
        <v>11158</v>
      </c>
    </row>
    <row r="1992" spans="1:49">
      <c r="A1992" s="1">
        <f>HYPERLINK("https://lsnyc.legalserver.org/matter/dynamic-profile/view/1901418","19-1901418")</f>
        <v>0</v>
      </c>
      <c r="B1992" t="s">
        <v>187</v>
      </c>
      <c r="C1992" t="s">
        <v>1522</v>
      </c>
      <c r="D1992" t="s">
        <v>2310</v>
      </c>
      <c r="E1992" t="s">
        <v>4860</v>
      </c>
      <c r="F1992">
        <v>3</v>
      </c>
      <c r="G1992" t="s">
        <v>5635</v>
      </c>
      <c r="H1992">
        <v>10457</v>
      </c>
      <c r="I1992" t="s">
        <v>5695</v>
      </c>
      <c r="J1992" t="s">
        <v>5696</v>
      </c>
      <c r="O1992" t="s">
        <v>6763</v>
      </c>
      <c r="P1992" t="s">
        <v>5697</v>
      </c>
      <c r="R1992" t="s">
        <v>6793</v>
      </c>
      <c r="U1992">
        <v>2000</v>
      </c>
      <c r="V1992" t="s">
        <v>6833</v>
      </c>
      <c r="W1992" t="s">
        <v>6839</v>
      </c>
      <c r="Y1992" t="s">
        <v>7001</v>
      </c>
      <c r="Z1992" t="s">
        <v>9090</v>
      </c>
      <c r="AA1992" t="s">
        <v>10743</v>
      </c>
      <c r="AB1992">
        <v>3</v>
      </c>
      <c r="AC1992" t="s">
        <v>8953</v>
      </c>
      <c r="AD1992" t="s">
        <v>10948</v>
      </c>
      <c r="AE1992">
        <v>19</v>
      </c>
      <c r="AF1992">
        <v>2</v>
      </c>
      <c r="AG1992">
        <v>3</v>
      </c>
      <c r="AH1992">
        <v>30.98</v>
      </c>
      <c r="AK1992" t="s">
        <v>10966</v>
      </c>
      <c r="AL1992">
        <v>9348</v>
      </c>
      <c r="AR1992">
        <v>4</v>
      </c>
      <c r="AS1992" t="s">
        <v>6811</v>
      </c>
      <c r="AT1992" t="s">
        <v>11176</v>
      </c>
      <c r="AU1992" t="s">
        <v>11228</v>
      </c>
      <c r="AV1992" t="s">
        <v>11231</v>
      </c>
      <c r="AW1992" t="s">
        <v>11135</v>
      </c>
    </row>
    <row r="1993" spans="1:49">
      <c r="A1993" s="1">
        <f>HYPERLINK("https://lsnyc.legalserver.org/matter/dynamic-profile/view/1894989","19-1894989")</f>
        <v>0</v>
      </c>
      <c r="B1993" t="s">
        <v>150</v>
      </c>
      <c r="C1993" t="s">
        <v>1523</v>
      </c>
      <c r="D1993" t="s">
        <v>2931</v>
      </c>
      <c r="E1993" t="s">
        <v>4861</v>
      </c>
      <c r="G1993" t="s">
        <v>5636</v>
      </c>
      <c r="H1993">
        <v>10312</v>
      </c>
      <c r="I1993" t="s">
        <v>5696</v>
      </c>
      <c r="J1993" t="s">
        <v>5696</v>
      </c>
      <c r="O1993" t="s">
        <v>6779</v>
      </c>
      <c r="R1993" t="s">
        <v>6799</v>
      </c>
      <c r="U1993">
        <v>0</v>
      </c>
      <c r="V1993" t="s">
        <v>6834</v>
      </c>
      <c r="Y1993" t="s">
        <v>8695</v>
      </c>
      <c r="AA1993" t="s">
        <v>10744</v>
      </c>
      <c r="AB1993">
        <v>0</v>
      </c>
      <c r="AE1993">
        <v>0</v>
      </c>
      <c r="AF1993">
        <v>2</v>
      </c>
      <c r="AG1993">
        <v>0</v>
      </c>
      <c r="AH1993">
        <v>539.33</v>
      </c>
      <c r="AK1993" t="s">
        <v>10966</v>
      </c>
      <c r="AL1993">
        <v>91200</v>
      </c>
      <c r="AR1993">
        <v>11.6</v>
      </c>
      <c r="AS1993" t="s">
        <v>6814</v>
      </c>
      <c r="AT1993" t="s">
        <v>11211</v>
      </c>
      <c r="AV1993" t="s">
        <v>11231</v>
      </c>
      <c r="AW1993" t="s">
        <v>11121</v>
      </c>
    </row>
    <row r="1994" spans="1:49">
      <c r="A1994" s="1">
        <f>HYPERLINK("https://lsnyc.legalserver.org/matter/dynamic-profile/view/1898831","19-1898831")</f>
        <v>0</v>
      </c>
      <c r="B1994" t="s">
        <v>115</v>
      </c>
      <c r="C1994" t="s">
        <v>549</v>
      </c>
      <c r="D1994" t="s">
        <v>1657</v>
      </c>
      <c r="E1994" t="s">
        <v>4862</v>
      </c>
      <c r="G1994" t="s">
        <v>5644</v>
      </c>
      <c r="H1994">
        <v>11434</v>
      </c>
      <c r="I1994" t="s">
        <v>5696</v>
      </c>
      <c r="J1994" t="s">
        <v>5696</v>
      </c>
      <c r="O1994" t="s">
        <v>6790</v>
      </c>
      <c r="R1994" t="s">
        <v>6798</v>
      </c>
      <c r="U1994">
        <v>0</v>
      </c>
      <c r="V1994" t="s">
        <v>6837</v>
      </c>
      <c r="Y1994" t="s">
        <v>8696</v>
      </c>
      <c r="AA1994" t="s">
        <v>10745</v>
      </c>
      <c r="AB1994">
        <v>0</v>
      </c>
      <c r="AE1994">
        <v>0</v>
      </c>
      <c r="AF1994">
        <v>5</v>
      </c>
      <c r="AG1994">
        <v>0</v>
      </c>
      <c r="AH1994">
        <v>43.09</v>
      </c>
      <c r="AL1994">
        <v>13000</v>
      </c>
      <c r="AR1994">
        <v>5.5</v>
      </c>
      <c r="AS1994" t="s">
        <v>11163</v>
      </c>
      <c r="AT1994" t="s">
        <v>115</v>
      </c>
      <c r="AV1994" t="s">
        <v>11231</v>
      </c>
      <c r="AW1994" t="s">
        <v>10959</v>
      </c>
    </row>
    <row r="1995" spans="1:49">
      <c r="A1995" s="1">
        <f>HYPERLINK("https://lsnyc.legalserver.org/matter/dynamic-profile/view/1900777","19-1900777")</f>
        <v>0</v>
      </c>
      <c r="B1995" t="s">
        <v>293</v>
      </c>
      <c r="C1995" t="s">
        <v>1524</v>
      </c>
      <c r="D1995" t="s">
        <v>2932</v>
      </c>
      <c r="E1995" t="s">
        <v>4863</v>
      </c>
      <c r="G1995" t="s">
        <v>5636</v>
      </c>
      <c r="H1995">
        <v>10303</v>
      </c>
      <c r="I1995" t="s">
        <v>5696</v>
      </c>
      <c r="J1995" t="s">
        <v>5696</v>
      </c>
      <c r="O1995" t="s">
        <v>6779</v>
      </c>
      <c r="R1995" t="s">
        <v>6798</v>
      </c>
      <c r="U1995">
        <v>0</v>
      </c>
      <c r="V1995" t="s">
        <v>6834</v>
      </c>
      <c r="Y1995" t="s">
        <v>8697</v>
      </c>
      <c r="AA1995" t="s">
        <v>10746</v>
      </c>
      <c r="AB1995">
        <v>0</v>
      </c>
      <c r="AE1995">
        <v>0</v>
      </c>
      <c r="AF1995">
        <v>2</v>
      </c>
      <c r="AG1995">
        <v>3</v>
      </c>
      <c r="AH1995">
        <v>93.28</v>
      </c>
      <c r="AK1995" t="s">
        <v>10966</v>
      </c>
      <c r="AL1995">
        <v>28144</v>
      </c>
      <c r="AR1995">
        <v>6.3</v>
      </c>
      <c r="AS1995" t="s">
        <v>6827</v>
      </c>
      <c r="AT1995" t="s">
        <v>150</v>
      </c>
      <c r="AV1995" t="s">
        <v>11231</v>
      </c>
      <c r="AW1995" t="s">
        <v>10958</v>
      </c>
    </row>
    <row r="1996" spans="1:49">
      <c r="A1996" s="1">
        <f>HYPERLINK("https://lsnyc.legalserver.org/matter/dynamic-profile/view/1904400","19-1904400")</f>
        <v>0</v>
      </c>
      <c r="B1996" t="s">
        <v>151</v>
      </c>
      <c r="C1996" t="s">
        <v>734</v>
      </c>
      <c r="D1996" t="s">
        <v>2933</v>
      </c>
      <c r="E1996" t="s">
        <v>4864</v>
      </c>
      <c r="F1996">
        <v>3</v>
      </c>
      <c r="G1996" t="s">
        <v>5637</v>
      </c>
      <c r="H1996">
        <v>11234</v>
      </c>
      <c r="I1996" t="s">
        <v>5696</v>
      </c>
      <c r="J1996" t="s">
        <v>5696</v>
      </c>
      <c r="O1996" t="s">
        <v>6780</v>
      </c>
      <c r="R1996" t="s">
        <v>6798</v>
      </c>
      <c r="U1996">
        <v>0</v>
      </c>
      <c r="V1996" t="s">
        <v>6835</v>
      </c>
      <c r="Y1996" t="s">
        <v>8698</v>
      </c>
      <c r="AA1996" t="s">
        <v>10747</v>
      </c>
      <c r="AB1996">
        <v>0</v>
      </c>
      <c r="AE1996">
        <v>0</v>
      </c>
      <c r="AF1996">
        <v>2</v>
      </c>
      <c r="AG1996">
        <v>0</v>
      </c>
      <c r="AH1996">
        <v>275.9</v>
      </c>
      <c r="AL1996">
        <v>46654</v>
      </c>
      <c r="AR1996">
        <v>1.5</v>
      </c>
      <c r="AS1996" t="s">
        <v>6815</v>
      </c>
      <c r="AT1996" t="s">
        <v>151</v>
      </c>
      <c r="AV1996" t="s">
        <v>11231</v>
      </c>
      <c r="AW1996" t="s">
        <v>6815</v>
      </c>
    </row>
    <row r="1997" spans="1:49">
      <c r="A1997" s="1">
        <f>HYPERLINK("https://lsnyc.legalserver.org/matter/dynamic-profile/view/1896694","19-1896694")</f>
        <v>0</v>
      </c>
      <c r="B1997" t="s">
        <v>68</v>
      </c>
      <c r="C1997" t="s">
        <v>345</v>
      </c>
      <c r="D1997" t="s">
        <v>2934</v>
      </c>
      <c r="E1997" t="s">
        <v>4865</v>
      </c>
      <c r="G1997" t="s">
        <v>5637</v>
      </c>
      <c r="H1997">
        <v>11217</v>
      </c>
      <c r="I1997" t="s">
        <v>5696</v>
      </c>
      <c r="J1997" t="s">
        <v>5696</v>
      </c>
      <c r="O1997" t="s">
        <v>6756</v>
      </c>
      <c r="R1997" t="s">
        <v>6795</v>
      </c>
      <c r="U1997">
        <v>0</v>
      </c>
      <c r="V1997" t="s">
        <v>6835</v>
      </c>
      <c r="Y1997" t="s">
        <v>8699</v>
      </c>
      <c r="AA1997" t="s">
        <v>10748</v>
      </c>
      <c r="AB1997">
        <v>0</v>
      </c>
      <c r="AE1997">
        <v>0</v>
      </c>
      <c r="AF1997">
        <v>1</v>
      </c>
      <c r="AG1997">
        <v>0</v>
      </c>
      <c r="AH1997">
        <v>175.19</v>
      </c>
      <c r="AK1997" t="s">
        <v>10966</v>
      </c>
      <c r="AL1997">
        <v>21880.68</v>
      </c>
      <c r="AR1997">
        <v>1.2</v>
      </c>
      <c r="AS1997" t="s">
        <v>11122</v>
      </c>
      <c r="AT1997" t="s">
        <v>151</v>
      </c>
      <c r="AV1997" t="s">
        <v>11231</v>
      </c>
      <c r="AW1997" t="s">
        <v>11122</v>
      </c>
    </row>
    <row r="1998" spans="1:49">
      <c r="A1998" s="1">
        <f>HYPERLINK("https://lsnyc.legalserver.org/matter/dynamic-profile/view/1903872","19-1903872")</f>
        <v>0</v>
      </c>
      <c r="B1998" t="s">
        <v>163</v>
      </c>
      <c r="C1998" t="s">
        <v>768</v>
      </c>
      <c r="D1998" t="s">
        <v>2935</v>
      </c>
      <c r="E1998" t="s">
        <v>4866</v>
      </c>
      <c r="F1998" t="s">
        <v>5161</v>
      </c>
      <c r="G1998" t="s">
        <v>5638</v>
      </c>
      <c r="H1998">
        <v>10029</v>
      </c>
      <c r="I1998" t="s">
        <v>5696</v>
      </c>
      <c r="J1998" t="s">
        <v>5696</v>
      </c>
      <c r="O1998" t="s">
        <v>6780</v>
      </c>
      <c r="R1998" t="s">
        <v>6799</v>
      </c>
      <c r="U1998">
        <v>0</v>
      </c>
      <c r="V1998" t="s">
        <v>6835</v>
      </c>
      <c r="Y1998" t="s">
        <v>8700</v>
      </c>
      <c r="AA1998" t="s">
        <v>10749</v>
      </c>
      <c r="AB1998">
        <v>0</v>
      </c>
      <c r="AE1998">
        <v>0</v>
      </c>
      <c r="AF1998">
        <v>1</v>
      </c>
      <c r="AG1998">
        <v>0</v>
      </c>
      <c r="AH1998">
        <v>310.52</v>
      </c>
      <c r="AK1998" t="s">
        <v>10966</v>
      </c>
      <c r="AL1998">
        <v>38784</v>
      </c>
      <c r="AR1998">
        <v>0.4</v>
      </c>
      <c r="AS1998" t="s">
        <v>6807</v>
      </c>
      <c r="AT1998" t="s">
        <v>163</v>
      </c>
      <c r="AV1998" t="s">
        <v>11231</v>
      </c>
      <c r="AW1998" t="s">
        <v>11235</v>
      </c>
    </row>
    <row r="1999" spans="1:49">
      <c r="A1999" s="1">
        <f>HYPERLINK("https://lsnyc.legalserver.org/matter/dynamic-profile/view/1905223","19-1905223")</f>
        <v>0</v>
      </c>
      <c r="B1999" t="s">
        <v>152</v>
      </c>
      <c r="C1999" t="s">
        <v>1525</v>
      </c>
      <c r="D1999" t="s">
        <v>2383</v>
      </c>
      <c r="E1999" t="s">
        <v>4867</v>
      </c>
      <c r="G1999" t="s">
        <v>5635</v>
      </c>
      <c r="H1999">
        <v>10469</v>
      </c>
      <c r="I1999" t="s">
        <v>5696</v>
      </c>
      <c r="J1999" t="s">
        <v>5696</v>
      </c>
      <c r="O1999" t="s">
        <v>6784</v>
      </c>
      <c r="R1999" t="s">
        <v>6798</v>
      </c>
      <c r="U1999">
        <v>0</v>
      </c>
      <c r="V1999" t="s">
        <v>6833</v>
      </c>
      <c r="Y1999" t="s">
        <v>8701</v>
      </c>
      <c r="AA1999" t="s">
        <v>10750</v>
      </c>
      <c r="AB1999">
        <v>0</v>
      </c>
      <c r="AE1999">
        <v>0</v>
      </c>
      <c r="AF1999">
        <v>3</v>
      </c>
      <c r="AG1999">
        <v>0</v>
      </c>
      <c r="AH1999">
        <v>291.14</v>
      </c>
      <c r="AK1999" t="s">
        <v>10966</v>
      </c>
      <c r="AL1999">
        <v>62100</v>
      </c>
      <c r="AR1999">
        <v>4</v>
      </c>
      <c r="AS1999" t="s">
        <v>6821</v>
      </c>
      <c r="AT1999" t="s">
        <v>296</v>
      </c>
      <c r="AV1999" t="s">
        <v>11231</v>
      </c>
      <c r="AW1999" t="s">
        <v>6808</v>
      </c>
    </row>
    <row r="2000" spans="1:49">
      <c r="A2000" s="1">
        <f>HYPERLINK("https://lsnyc.legalserver.org/matter/dynamic-profile/view/1905047","19-1905047")</f>
        <v>0</v>
      </c>
      <c r="B2000" t="s">
        <v>279</v>
      </c>
      <c r="C2000" t="s">
        <v>899</v>
      </c>
      <c r="D2000" t="s">
        <v>2936</v>
      </c>
      <c r="E2000" t="s">
        <v>4868</v>
      </c>
      <c r="F2000" t="s">
        <v>5095</v>
      </c>
      <c r="G2000" t="s">
        <v>5635</v>
      </c>
      <c r="H2000">
        <v>10453</v>
      </c>
      <c r="I2000" t="s">
        <v>5696</v>
      </c>
      <c r="J2000" t="s">
        <v>5696</v>
      </c>
      <c r="O2000" t="s">
        <v>6745</v>
      </c>
      <c r="R2000" t="s">
        <v>6793</v>
      </c>
      <c r="U2000">
        <v>963.8</v>
      </c>
      <c r="V2000" t="s">
        <v>6833</v>
      </c>
      <c r="W2000" t="s">
        <v>6843</v>
      </c>
      <c r="Y2000" t="s">
        <v>8702</v>
      </c>
      <c r="AA2000" t="s">
        <v>10751</v>
      </c>
      <c r="AB2000">
        <v>100</v>
      </c>
      <c r="AC2000" t="s">
        <v>10936</v>
      </c>
      <c r="AD2000" t="s">
        <v>10944</v>
      </c>
      <c r="AE2000">
        <v>28</v>
      </c>
      <c r="AF2000">
        <v>1</v>
      </c>
      <c r="AG2000">
        <v>0</v>
      </c>
      <c r="AH2000">
        <v>74.94</v>
      </c>
      <c r="AK2000" t="s">
        <v>10966</v>
      </c>
      <c r="AL2000">
        <v>9360</v>
      </c>
      <c r="AR2000">
        <v>1.2</v>
      </c>
      <c r="AS2000" t="s">
        <v>6814</v>
      </c>
      <c r="AT2000" t="s">
        <v>11203</v>
      </c>
      <c r="AV2000" t="s">
        <v>11231</v>
      </c>
      <c r="AW2000" t="s">
        <v>6814</v>
      </c>
    </row>
    <row r="2001" spans="1:49">
      <c r="A2001" s="1">
        <f>HYPERLINK("https://lsnyc.legalserver.org/matter/dynamic-profile/view/1900781","19-1900781")</f>
        <v>0</v>
      </c>
      <c r="B2001" t="s">
        <v>221</v>
      </c>
      <c r="C2001" t="s">
        <v>1526</v>
      </c>
      <c r="D2001" t="s">
        <v>2937</v>
      </c>
      <c r="E2001" t="s">
        <v>4869</v>
      </c>
      <c r="F2001" t="s">
        <v>5116</v>
      </c>
      <c r="G2001" t="s">
        <v>5635</v>
      </c>
      <c r="H2001">
        <v>10453</v>
      </c>
      <c r="I2001" t="s">
        <v>5696</v>
      </c>
      <c r="J2001" t="s">
        <v>5696</v>
      </c>
      <c r="O2001" t="s">
        <v>6747</v>
      </c>
      <c r="R2001" t="s">
        <v>6793</v>
      </c>
      <c r="U2001">
        <v>0</v>
      </c>
      <c r="V2001" t="s">
        <v>6833</v>
      </c>
      <c r="Y2001" t="s">
        <v>8703</v>
      </c>
      <c r="AA2001" t="s">
        <v>10752</v>
      </c>
      <c r="AB2001">
        <v>0</v>
      </c>
      <c r="AE2001">
        <v>0</v>
      </c>
      <c r="AF2001">
        <v>1</v>
      </c>
      <c r="AG2001">
        <v>2</v>
      </c>
      <c r="AH2001">
        <v>0</v>
      </c>
      <c r="AK2001" t="s">
        <v>10966</v>
      </c>
      <c r="AL2001">
        <v>0</v>
      </c>
      <c r="AR2001">
        <v>9.800000000000001</v>
      </c>
      <c r="AS2001" t="s">
        <v>6825</v>
      </c>
      <c r="AT2001" t="s">
        <v>288</v>
      </c>
      <c r="AV2001" t="s">
        <v>11231</v>
      </c>
      <c r="AW2001" t="s">
        <v>11157</v>
      </c>
    </row>
    <row r="2002" spans="1:49">
      <c r="A2002" s="1">
        <f>HYPERLINK("https://lsnyc.legalserver.org/matter/dynamic-profile/view/1900865","19-1900865")</f>
        <v>0</v>
      </c>
      <c r="B2002" t="s">
        <v>77</v>
      </c>
      <c r="C2002" t="s">
        <v>851</v>
      </c>
      <c r="D2002" t="s">
        <v>2938</v>
      </c>
      <c r="E2002" t="s">
        <v>4870</v>
      </c>
      <c r="F2002" t="s">
        <v>5609</v>
      </c>
      <c r="G2002" t="s">
        <v>5637</v>
      </c>
      <c r="H2002">
        <v>11225</v>
      </c>
      <c r="I2002" t="s">
        <v>5696</v>
      </c>
      <c r="J2002" t="s">
        <v>5696</v>
      </c>
      <c r="O2002" t="s">
        <v>6745</v>
      </c>
      <c r="R2002" t="s">
        <v>6793</v>
      </c>
      <c r="U2002">
        <v>0</v>
      </c>
      <c r="V2002" t="s">
        <v>6835</v>
      </c>
      <c r="Y2002" t="s">
        <v>8704</v>
      </c>
      <c r="AA2002" t="s">
        <v>10753</v>
      </c>
      <c r="AB2002">
        <v>0</v>
      </c>
      <c r="AE2002">
        <v>0</v>
      </c>
      <c r="AF2002">
        <v>1</v>
      </c>
      <c r="AG2002">
        <v>2</v>
      </c>
      <c r="AH2002">
        <v>109.7</v>
      </c>
      <c r="AK2002" t="s">
        <v>10966</v>
      </c>
      <c r="AL2002">
        <v>23400</v>
      </c>
      <c r="AR2002">
        <v>1</v>
      </c>
      <c r="AS2002" t="s">
        <v>11157</v>
      </c>
      <c r="AT2002" t="s">
        <v>77</v>
      </c>
      <c r="AV2002" t="s">
        <v>11231</v>
      </c>
      <c r="AW2002" t="s">
        <v>11157</v>
      </c>
    </row>
    <row r="2003" spans="1:49">
      <c r="A2003" s="1">
        <f>HYPERLINK("https://lsnyc.legalserver.org/matter/dynamic-profile/view/1904548","19-1904548")</f>
        <v>0</v>
      </c>
      <c r="B2003" t="s">
        <v>152</v>
      </c>
      <c r="C2003" t="s">
        <v>1527</v>
      </c>
      <c r="D2003" t="s">
        <v>2145</v>
      </c>
      <c r="E2003" t="s">
        <v>4871</v>
      </c>
      <c r="F2003" t="s">
        <v>5248</v>
      </c>
      <c r="G2003" t="s">
        <v>5635</v>
      </c>
      <c r="H2003">
        <v>10467</v>
      </c>
      <c r="I2003" t="s">
        <v>5696</v>
      </c>
      <c r="J2003" t="s">
        <v>5696</v>
      </c>
      <c r="O2003" t="s">
        <v>6784</v>
      </c>
      <c r="R2003" t="s">
        <v>6798</v>
      </c>
      <c r="U2003">
        <v>0</v>
      </c>
      <c r="V2003" t="s">
        <v>6833</v>
      </c>
      <c r="Y2003" t="s">
        <v>8705</v>
      </c>
      <c r="AA2003" t="s">
        <v>10754</v>
      </c>
      <c r="AB2003">
        <v>0</v>
      </c>
      <c r="AE2003">
        <v>0</v>
      </c>
      <c r="AF2003">
        <v>1</v>
      </c>
      <c r="AG2003">
        <v>0</v>
      </c>
      <c r="AH2003">
        <v>8.01</v>
      </c>
      <c r="AL2003">
        <v>1000</v>
      </c>
      <c r="AR2003">
        <v>0</v>
      </c>
      <c r="AT2003" t="s">
        <v>296</v>
      </c>
      <c r="AV2003" t="s">
        <v>11231</v>
      </c>
      <c r="AW2003" t="s">
        <v>6810</v>
      </c>
    </row>
    <row r="2004" spans="1:49">
      <c r="A2004" s="1">
        <f>HYPERLINK("https://lsnyc.legalserver.org/matter/dynamic-profile/view/1902960","19-1902960")</f>
        <v>0</v>
      </c>
      <c r="B2004" t="s">
        <v>115</v>
      </c>
      <c r="C2004" t="s">
        <v>453</v>
      </c>
      <c r="D2004" t="s">
        <v>2939</v>
      </c>
      <c r="E2004" t="s">
        <v>4872</v>
      </c>
      <c r="G2004" t="s">
        <v>5690</v>
      </c>
      <c r="H2004">
        <v>11040</v>
      </c>
      <c r="I2004" t="s">
        <v>5696</v>
      </c>
      <c r="J2004" t="s">
        <v>5696</v>
      </c>
      <c r="O2004" t="s">
        <v>6790</v>
      </c>
      <c r="R2004" t="s">
        <v>6798</v>
      </c>
      <c r="U2004">
        <v>0</v>
      </c>
      <c r="V2004" t="s">
        <v>6837</v>
      </c>
      <c r="Y2004" t="s">
        <v>8706</v>
      </c>
      <c r="AA2004" t="s">
        <v>10755</v>
      </c>
      <c r="AB2004">
        <v>0</v>
      </c>
      <c r="AE2004">
        <v>0</v>
      </c>
      <c r="AF2004">
        <v>1</v>
      </c>
      <c r="AG2004">
        <v>0</v>
      </c>
      <c r="AH2004">
        <v>211.37</v>
      </c>
      <c r="AK2004" t="s">
        <v>10966</v>
      </c>
      <c r="AL2004">
        <v>26400</v>
      </c>
      <c r="AR2004">
        <v>2.25</v>
      </c>
      <c r="AS2004" t="s">
        <v>6807</v>
      </c>
      <c r="AT2004" t="s">
        <v>115</v>
      </c>
      <c r="AV2004" t="s">
        <v>11231</v>
      </c>
      <c r="AW2004" t="s">
        <v>11138</v>
      </c>
    </row>
    <row r="2005" spans="1:49">
      <c r="A2005" s="1">
        <f>HYPERLINK("https://lsnyc.legalserver.org/matter/dynamic-profile/view/1901225","19-1901225")</f>
        <v>0</v>
      </c>
      <c r="B2005" t="s">
        <v>297</v>
      </c>
      <c r="C2005" t="s">
        <v>1528</v>
      </c>
      <c r="D2005" t="s">
        <v>2940</v>
      </c>
      <c r="E2005" t="s">
        <v>4873</v>
      </c>
      <c r="G2005" t="s">
        <v>5636</v>
      </c>
      <c r="H2005">
        <v>10309</v>
      </c>
      <c r="I2005" t="s">
        <v>5696</v>
      </c>
      <c r="J2005" t="s">
        <v>5696</v>
      </c>
      <c r="O2005" t="s">
        <v>6779</v>
      </c>
      <c r="R2005" t="s">
        <v>6799</v>
      </c>
      <c r="U2005">
        <v>0</v>
      </c>
      <c r="V2005" t="s">
        <v>6834</v>
      </c>
      <c r="Y2005" t="s">
        <v>8707</v>
      </c>
      <c r="AA2005" t="s">
        <v>10756</v>
      </c>
      <c r="AB2005">
        <v>0</v>
      </c>
      <c r="AE2005">
        <v>0</v>
      </c>
      <c r="AF2005">
        <v>4</v>
      </c>
      <c r="AG2005">
        <v>2</v>
      </c>
      <c r="AH2005">
        <v>309.34</v>
      </c>
      <c r="AK2005" t="s">
        <v>10966</v>
      </c>
      <c r="AL2005">
        <v>107000</v>
      </c>
      <c r="AR2005">
        <v>3.6</v>
      </c>
      <c r="AS2005" t="s">
        <v>6827</v>
      </c>
      <c r="AT2005" t="s">
        <v>11211</v>
      </c>
      <c r="AV2005" t="s">
        <v>11231</v>
      </c>
      <c r="AW2005" t="s">
        <v>11162</v>
      </c>
    </row>
    <row r="2006" spans="1:49">
      <c r="A2006" s="1">
        <f>HYPERLINK("https://lsnyc.legalserver.org/matter/dynamic-profile/view/1904809","19-1904809")</f>
        <v>0</v>
      </c>
      <c r="B2006" t="s">
        <v>278</v>
      </c>
      <c r="C2006" t="s">
        <v>1529</v>
      </c>
      <c r="D2006" t="s">
        <v>2941</v>
      </c>
      <c r="E2006" t="s">
        <v>4874</v>
      </c>
      <c r="F2006" t="s">
        <v>5105</v>
      </c>
      <c r="G2006" t="s">
        <v>5637</v>
      </c>
      <c r="H2006">
        <v>11225</v>
      </c>
      <c r="I2006" t="s">
        <v>5696</v>
      </c>
      <c r="J2006" t="s">
        <v>5696</v>
      </c>
      <c r="O2006" t="s">
        <v>6753</v>
      </c>
      <c r="R2006" t="s">
        <v>6793</v>
      </c>
      <c r="U2006">
        <v>854</v>
      </c>
      <c r="V2006" t="s">
        <v>6835</v>
      </c>
      <c r="W2006" t="s">
        <v>6853</v>
      </c>
      <c r="Y2006" t="s">
        <v>7118</v>
      </c>
      <c r="AA2006" t="s">
        <v>10757</v>
      </c>
      <c r="AB2006">
        <v>10</v>
      </c>
      <c r="AC2006" t="s">
        <v>10929</v>
      </c>
      <c r="AD2006" t="s">
        <v>5741</v>
      </c>
      <c r="AE2006">
        <v>22</v>
      </c>
      <c r="AF2006">
        <v>1</v>
      </c>
      <c r="AG2006">
        <v>0</v>
      </c>
      <c r="AH2006">
        <v>333.07</v>
      </c>
      <c r="AK2006" t="s">
        <v>10966</v>
      </c>
      <c r="AL2006">
        <v>41600</v>
      </c>
      <c r="AR2006">
        <v>1.3</v>
      </c>
      <c r="AS2006" t="s">
        <v>6823</v>
      </c>
      <c r="AT2006" t="s">
        <v>11203</v>
      </c>
      <c r="AV2006" t="s">
        <v>11231</v>
      </c>
      <c r="AW2006" t="s">
        <v>6816</v>
      </c>
    </row>
    <row r="2007" spans="1:49">
      <c r="A2007" s="1">
        <f>HYPERLINK("https://lsnyc.legalserver.org/matter/dynamic-profile/view/1905530","19-1905530")</f>
        <v>0</v>
      </c>
      <c r="B2007" t="s">
        <v>118</v>
      </c>
      <c r="C2007" t="s">
        <v>672</v>
      </c>
      <c r="D2007" t="s">
        <v>1893</v>
      </c>
      <c r="E2007" t="s">
        <v>4875</v>
      </c>
      <c r="F2007" t="s">
        <v>5610</v>
      </c>
      <c r="G2007" t="s">
        <v>5637</v>
      </c>
      <c r="H2007">
        <v>11211</v>
      </c>
      <c r="I2007" t="s">
        <v>5696</v>
      </c>
      <c r="J2007" t="s">
        <v>5696</v>
      </c>
      <c r="O2007" t="s">
        <v>6748</v>
      </c>
      <c r="R2007" t="s">
        <v>6794</v>
      </c>
      <c r="U2007">
        <v>309</v>
      </c>
      <c r="V2007" t="s">
        <v>6835</v>
      </c>
      <c r="W2007" t="s">
        <v>6841</v>
      </c>
      <c r="Y2007" t="s">
        <v>8708</v>
      </c>
      <c r="AA2007" t="s">
        <v>10758</v>
      </c>
      <c r="AB2007">
        <v>0</v>
      </c>
      <c r="AC2007" t="s">
        <v>10931</v>
      </c>
      <c r="AD2007" t="s">
        <v>10943</v>
      </c>
      <c r="AE2007">
        <v>2</v>
      </c>
      <c r="AF2007">
        <v>1</v>
      </c>
      <c r="AG2007">
        <v>0</v>
      </c>
      <c r="AH2007">
        <v>106.93</v>
      </c>
      <c r="AK2007" t="s">
        <v>10966</v>
      </c>
      <c r="AL2007">
        <v>13356</v>
      </c>
      <c r="AR2007">
        <v>2.1</v>
      </c>
      <c r="AS2007" t="s">
        <v>6820</v>
      </c>
      <c r="AT2007" t="s">
        <v>11188</v>
      </c>
      <c r="AV2007" t="s">
        <v>11231</v>
      </c>
      <c r="AW2007" t="s">
        <v>6819</v>
      </c>
    </row>
    <row r="2008" spans="1:49">
      <c r="A2008" s="1">
        <f>HYPERLINK("https://lsnyc.legalserver.org/matter/dynamic-profile/view/1905719","19-1905719")</f>
        <v>0</v>
      </c>
      <c r="B2008" t="s">
        <v>101</v>
      </c>
      <c r="C2008" t="s">
        <v>995</v>
      </c>
      <c r="D2008" t="s">
        <v>2942</v>
      </c>
      <c r="E2008" t="s">
        <v>4876</v>
      </c>
      <c r="F2008" t="s">
        <v>5143</v>
      </c>
      <c r="G2008" t="s">
        <v>5636</v>
      </c>
      <c r="H2008">
        <v>10306</v>
      </c>
      <c r="I2008" t="s">
        <v>5696</v>
      </c>
      <c r="J2008" t="s">
        <v>5696</v>
      </c>
      <c r="O2008" t="s">
        <v>6751</v>
      </c>
      <c r="R2008" t="s">
        <v>6794</v>
      </c>
      <c r="U2008">
        <v>0</v>
      </c>
      <c r="V2008" t="s">
        <v>6834</v>
      </c>
      <c r="Y2008" t="s">
        <v>8709</v>
      </c>
      <c r="AA2008" t="s">
        <v>10759</v>
      </c>
      <c r="AB2008">
        <v>0</v>
      </c>
      <c r="AE2008">
        <v>0</v>
      </c>
      <c r="AF2008">
        <v>1</v>
      </c>
      <c r="AG2008">
        <v>2</v>
      </c>
      <c r="AH2008">
        <v>144.64</v>
      </c>
      <c r="AK2008" t="s">
        <v>10966</v>
      </c>
      <c r="AL2008">
        <v>30852</v>
      </c>
      <c r="AR2008">
        <v>0.2</v>
      </c>
      <c r="AS2008" t="s">
        <v>6827</v>
      </c>
      <c r="AT2008" t="s">
        <v>101</v>
      </c>
      <c r="AV2008" t="s">
        <v>11231</v>
      </c>
      <c r="AW2008" t="s">
        <v>6826</v>
      </c>
    </row>
    <row r="2009" spans="1:49">
      <c r="A2009" s="1">
        <f>HYPERLINK("https://lsnyc.legalserver.org/matter/dynamic-profile/view/1900117","19-1900117")</f>
        <v>0</v>
      </c>
      <c r="B2009" t="s">
        <v>153</v>
      </c>
      <c r="C2009" t="s">
        <v>464</v>
      </c>
      <c r="D2009" t="s">
        <v>2852</v>
      </c>
      <c r="E2009" t="s">
        <v>4877</v>
      </c>
      <c r="F2009" t="s">
        <v>5128</v>
      </c>
      <c r="G2009" t="s">
        <v>5635</v>
      </c>
      <c r="H2009">
        <v>10459</v>
      </c>
      <c r="I2009" t="s">
        <v>5696</v>
      </c>
      <c r="J2009" t="s">
        <v>5696</v>
      </c>
      <c r="O2009" t="s">
        <v>6777</v>
      </c>
      <c r="R2009" t="s">
        <v>6793</v>
      </c>
      <c r="U2009">
        <v>0</v>
      </c>
      <c r="V2009" t="s">
        <v>6836</v>
      </c>
      <c r="Y2009" t="s">
        <v>8710</v>
      </c>
      <c r="AA2009" t="s">
        <v>10760</v>
      </c>
      <c r="AB2009">
        <v>0</v>
      </c>
      <c r="AE2009">
        <v>0</v>
      </c>
      <c r="AF2009">
        <v>1</v>
      </c>
      <c r="AG2009">
        <v>0</v>
      </c>
      <c r="AH2009">
        <v>75.61</v>
      </c>
      <c r="AL2009">
        <v>9444</v>
      </c>
      <c r="AR2009">
        <v>2.75</v>
      </c>
      <c r="AS2009" t="s">
        <v>6815</v>
      </c>
      <c r="AT2009" t="s">
        <v>153</v>
      </c>
      <c r="AV2009" t="s">
        <v>11231</v>
      </c>
      <c r="AW2009" t="s">
        <v>10954</v>
      </c>
    </row>
    <row r="2010" spans="1:49">
      <c r="A2010" s="1">
        <f>HYPERLINK("https://lsnyc.legalserver.org/matter/dynamic-profile/view/1899567","19-1899567")</f>
        <v>0</v>
      </c>
      <c r="B2010" t="s">
        <v>72</v>
      </c>
      <c r="C2010" t="s">
        <v>1530</v>
      </c>
      <c r="D2010" t="s">
        <v>2943</v>
      </c>
      <c r="E2010" t="s">
        <v>3809</v>
      </c>
      <c r="G2010" t="s">
        <v>5637</v>
      </c>
      <c r="H2010">
        <v>11221</v>
      </c>
      <c r="I2010" t="s">
        <v>5696</v>
      </c>
      <c r="J2010" t="s">
        <v>5696</v>
      </c>
      <c r="O2010" t="s">
        <v>6748</v>
      </c>
      <c r="R2010" t="s">
        <v>6793</v>
      </c>
      <c r="U2010">
        <v>0</v>
      </c>
      <c r="V2010" t="s">
        <v>6835</v>
      </c>
      <c r="Y2010" t="s">
        <v>8711</v>
      </c>
      <c r="AA2010" t="s">
        <v>10761</v>
      </c>
      <c r="AB2010">
        <v>0</v>
      </c>
      <c r="AE2010">
        <v>0</v>
      </c>
      <c r="AF2010">
        <v>1</v>
      </c>
      <c r="AG2010">
        <v>0</v>
      </c>
      <c r="AH2010">
        <v>82.43000000000001</v>
      </c>
      <c r="AK2010" t="s">
        <v>10966</v>
      </c>
      <c r="AL2010">
        <v>10296</v>
      </c>
      <c r="AR2010">
        <v>1</v>
      </c>
      <c r="AS2010" t="s">
        <v>6818</v>
      </c>
      <c r="AT2010" t="s">
        <v>141</v>
      </c>
      <c r="AV2010" t="s">
        <v>11231</v>
      </c>
      <c r="AW2010" t="s">
        <v>11128</v>
      </c>
    </row>
    <row r="2011" spans="1:49">
      <c r="A2011" s="1">
        <f>HYPERLINK("https://lsnyc.legalserver.org/matter/dynamic-profile/view/1899744","19-1899744")</f>
        <v>0</v>
      </c>
      <c r="B2011" t="s">
        <v>116</v>
      </c>
      <c r="C2011" t="s">
        <v>1531</v>
      </c>
      <c r="D2011" t="s">
        <v>662</v>
      </c>
      <c r="E2011" t="s">
        <v>4878</v>
      </c>
      <c r="G2011" t="s">
        <v>5644</v>
      </c>
      <c r="H2011">
        <v>11433</v>
      </c>
      <c r="I2011" t="s">
        <v>5696</v>
      </c>
      <c r="J2011" t="s">
        <v>5696</v>
      </c>
      <c r="O2011" t="s">
        <v>6767</v>
      </c>
      <c r="R2011" t="s">
        <v>6798</v>
      </c>
      <c r="U2011">
        <v>0</v>
      </c>
      <c r="V2011" t="s">
        <v>6837</v>
      </c>
      <c r="Y2011" t="s">
        <v>8712</v>
      </c>
      <c r="AA2011" t="s">
        <v>10762</v>
      </c>
      <c r="AB2011">
        <v>0</v>
      </c>
      <c r="AE2011">
        <v>0</v>
      </c>
      <c r="AF2011">
        <v>2</v>
      </c>
      <c r="AG2011">
        <v>2</v>
      </c>
      <c r="AH2011">
        <v>310.68</v>
      </c>
      <c r="AK2011" t="s">
        <v>10966</v>
      </c>
      <c r="AL2011">
        <v>80000</v>
      </c>
      <c r="AR2011">
        <v>4.3</v>
      </c>
      <c r="AS2011" t="s">
        <v>11133</v>
      </c>
      <c r="AT2011" t="s">
        <v>11188</v>
      </c>
      <c r="AV2011" t="s">
        <v>11231</v>
      </c>
      <c r="AW2011" t="s">
        <v>11146</v>
      </c>
    </row>
    <row r="2012" spans="1:49">
      <c r="A2012" s="1">
        <f>HYPERLINK("https://lsnyc.legalserver.org/matter/dynamic-profile/view/1902513","19-1902513")</f>
        <v>0</v>
      </c>
      <c r="B2012" t="s">
        <v>299</v>
      </c>
      <c r="C2012" t="s">
        <v>1532</v>
      </c>
      <c r="D2012" t="s">
        <v>2944</v>
      </c>
      <c r="E2012" t="s">
        <v>4879</v>
      </c>
      <c r="G2012" t="s">
        <v>5636</v>
      </c>
      <c r="H2012">
        <v>10301</v>
      </c>
      <c r="I2012" t="s">
        <v>5696</v>
      </c>
      <c r="J2012" t="s">
        <v>5696</v>
      </c>
      <c r="O2012" t="s">
        <v>6754</v>
      </c>
      <c r="R2012" t="s">
        <v>6799</v>
      </c>
      <c r="U2012">
        <v>0</v>
      </c>
      <c r="V2012" t="s">
        <v>6834</v>
      </c>
      <c r="Y2012" t="s">
        <v>8713</v>
      </c>
      <c r="AA2012" t="s">
        <v>10763</v>
      </c>
      <c r="AB2012">
        <v>0</v>
      </c>
      <c r="AE2012">
        <v>0</v>
      </c>
      <c r="AF2012">
        <v>1</v>
      </c>
      <c r="AG2012">
        <v>0</v>
      </c>
      <c r="AH2012">
        <v>211.13</v>
      </c>
      <c r="AK2012" t="s">
        <v>10966</v>
      </c>
      <c r="AL2012">
        <v>26370</v>
      </c>
      <c r="AR2012">
        <v>1.2</v>
      </c>
      <c r="AS2012" t="s">
        <v>11147</v>
      </c>
      <c r="AT2012" t="s">
        <v>11211</v>
      </c>
      <c r="AV2012" t="s">
        <v>11231</v>
      </c>
      <c r="AW2012" t="s">
        <v>11140</v>
      </c>
    </row>
    <row r="2013" spans="1:49">
      <c r="A2013" s="1">
        <f>HYPERLINK("https://lsnyc.legalserver.org/matter/dynamic-profile/view/1898770","19-1898770")</f>
        <v>0</v>
      </c>
      <c r="B2013" t="s">
        <v>152</v>
      </c>
      <c r="C2013" t="s">
        <v>453</v>
      </c>
      <c r="D2013" t="s">
        <v>2945</v>
      </c>
      <c r="E2013" t="s">
        <v>4880</v>
      </c>
      <c r="F2013">
        <v>1</v>
      </c>
      <c r="G2013" t="s">
        <v>5635</v>
      </c>
      <c r="H2013">
        <v>10473</v>
      </c>
      <c r="I2013" t="s">
        <v>5696</v>
      </c>
      <c r="J2013" t="s">
        <v>5696</v>
      </c>
      <c r="O2013" t="s">
        <v>6784</v>
      </c>
      <c r="R2013" t="s">
        <v>6798</v>
      </c>
      <c r="U2013">
        <v>0</v>
      </c>
      <c r="V2013" t="s">
        <v>6833</v>
      </c>
      <c r="Y2013" t="s">
        <v>8714</v>
      </c>
      <c r="AA2013" t="s">
        <v>10764</v>
      </c>
      <c r="AB2013">
        <v>0</v>
      </c>
      <c r="AE2013">
        <v>0</v>
      </c>
      <c r="AF2013">
        <v>5</v>
      </c>
      <c r="AG2013">
        <v>0</v>
      </c>
      <c r="AH2013">
        <v>263.04</v>
      </c>
      <c r="AK2013" t="s">
        <v>10967</v>
      </c>
      <c r="AL2013">
        <v>79360</v>
      </c>
      <c r="AR2013">
        <v>4</v>
      </c>
      <c r="AS2013" t="s">
        <v>10959</v>
      </c>
      <c r="AT2013" t="s">
        <v>296</v>
      </c>
      <c r="AV2013" t="s">
        <v>11231</v>
      </c>
      <c r="AW2013" t="s">
        <v>11152</v>
      </c>
    </row>
    <row r="2014" spans="1:49">
      <c r="A2014" s="1">
        <f>HYPERLINK("https://lsnyc.legalserver.org/matter/dynamic-profile/view/1905281","19-1905281")</f>
        <v>0</v>
      </c>
      <c r="B2014" t="s">
        <v>300</v>
      </c>
      <c r="C2014" t="s">
        <v>599</v>
      </c>
      <c r="D2014" t="s">
        <v>2946</v>
      </c>
      <c r="E2014" t="s">
        <v>4881</v>
      </c>
      <c r="G2014" t="s">
        <v>5636</v>
      </c>
      <c r="H2014">
        <v>10304</v>
      </c>
      <c r="I2014" t="s">
        <v>5695</v>
      </c>
      <c r="J2014" t="s">
        <v>5696</v>
      </c>
      <c r="O2014" t="s">
        <v>6759</v>
      </c>
      <c r="R2014" t="s">
        <v>6794</v>
      </c>
      <c r="U2014">
        <v>350</v>
      </c>
      <c r="V2014" t="s">
        <v>6836</v>
      </c>
      <c r="Y2014" t="s">
        <v>8715</v>
      </c>
      <c r="AA2014" t="s">
        <v>10765</v>
      </c>
      <c r="AB2014">
        <v>0</v>
      </c>
      <c r="AE2014">
        <v>0</v>
      </c>
      <c r="AF2014">
        <v>3</v>
      </c>
      <c r="AG2014">
        <v>4</v>
      </c>
      <c r="AH2014">
        <v>85.52</v>
      </c>
      <c r="AK2014" t="s">
        <v>10966</v>
      </c>
      <c r="AL2014">
        <v>33362</v>
      </c>
      <c r="AR2014">
        <v>1.5</v>
      </c>
      <c r="AS2014" t="s">
        <v>6819</v>
      </c>
      <c r="AT2014" t="s">
        <v>11227</v>
      </c>
      <c r="AU2014" t="s">
        <v>11228</v>
      </c>
      <c r="AV2014" t="s">
        <v>11231</v>
      </c>
      <c r="AW2014" t="s">
        <v>6808</v>
      </c>
    </row>
    <row r="2015" spans="1:49">
      <c r="A2015" s="1">
        <f>HYPERLINK("https://lsnyc.legalserver.org/matter/dynamic-profile/view/1902874","19-1902874")</f>
        <v>0</v>
      </c>
      <c r="B2015" t="s">
        <v>152</v>
      </c>
      <c r="C2015" t="s">
        <v>407</v>
      </c>
      <c r="D2015" t="s">
        <v>2265</v>
      </c>
      <c r="E2015" t="s">
        <v>4882</v>
      </c>
      <c r="G2015" t="s">
        <v>5635</v>
      </c>
      <c r="H2015">
        <v>10475</v>
      </c>
      <c r="I2015" t="s">
        <v>5696</v>
      </c>
      <c r="J2015" t="s">
        <v>5696</v>
      </c>
      <c r="O2015" t="s">
        <v>6784</v>
      </c>
      <c r="R2015" t="s">
        <v>6798</v>
      </c>
      <c r="U2015">
        <v>0</v>
      </c>
      <c r="V2015" t="s">
        <v>6833</v>
      </c>
      <c r="Y2015" t="s">
        <v>8716</v>
      </c>
      <c r="AA2015" t="s">
        <v>10766</v>
      </c>
      <c r="AB2015">
        <v>0</v>
      </c>
      <c r="AE2015">
        <v>0</v>
      </c>
      <c r="AF2015">
        <v>2</v>
      </c>
      <c r="AG2015">
        <v>0</v>
      </c>
      <c r="AH2015">
        <v>312.24</v>
      </c>
      <c r="AL2015">
        <v>52800</v>
      </c>
      <c r="AR2015">
        <v>2</v>
      </c>
      <c r="AS2015" t="s">
        <v>6811</v>
      </c>
      <c r="AT2015" t="s">
        <v>296</v>
      </c>
      <c r="AV2015" t="s">
        <v>11231</v>
      </c>
      <c r="AW2015" t="s">
        <v>11131</v>
      </c>
    </row>
    <row r="2016" spans="1:49">
      <c r="A2016" s="1">
        <f>HYPERLINK("https://lsnyc.legalserver.org/matter/dynamic-profile/view/1899185","19-1899185")</f>
        <v>0</v>
      </c>
      <c r="B2016" t="s">
        <v>151</v>
      </c>
      <c r="C2016" t="s">
        <v>372</v>
      </c>
      <c r="D2016" t="s">
        <v>2704</v>
      </c>
      <c r="E2016" t="s">
        <v>4883</v>
      </c>
      <c r="G2016" t="s">
        <v>5637</v>
      </c>
      <c r="H2016">
        <v>11233</v>
      </c>
      <c r="I2016" t="s">
        <v>5696</v>
      </c>
      <c r="J2016" t="s">
        <v>5696</v>
      </c>
      <c r="O2016" t="s">
        <v>6769</v>
      </c>
      <c r="R2016" t="s">
        <v>6799</v>
      </c>
      <c r="U2016">
        <v>0</v>
      </c>
      <c r="V2016" t="s">
        <v>6835</v>
      </c>
      <c r="Y2016" t="s">
        <v>8717</v>
      </c>
      <c r="AA2016" t="s">
        <v>10767</v>
      </c>
      <c r="AB2016">
        <v>0</v>
      </c>
      <c r="AE2016">
        <v>0</v>
      </c>
      <c r="AF2016">
        <v>1</v>
      </c>
      <c r="AG2016">
        <v>0</v>
      </c>
      <c r="AH2016">
        <v>323.25</v>
      </c>
      <c r="AK2016" t="s">
        <v>10966</v>
      </c>
      <c r="AL2016">
        <v>40374</v>
      </c>
      <c r="AR2016">
        <v>5.4</v>
      </c>
      <c r="AS2016" t="s">
        <v>11133</v>
      </c>
      <c r="AT2016" t="s">
        <v>144</v>
      </c>
      <c r="AV2016" t="s">
        <v>11231</v>
      </c>
      <c r="AW2016" t="s">
        <v>11128</v>
      </c>
    </row>
    <row r="2017" spans="1:49">
      <c r="A2017" s="1">
        <f>HYPERLINK("https://lsnyc.legalserver.org/matter/dynamic-profile/view/1896254","19-1896254")</f>
        <v>0</v>
      </c>
      <c r="B2017" t="s">
        <v>150</v>
      </c>
      <c r="C2017" t="s">
        <v>956</v>
      </c>
      <c r="D2017" t="s">
        <v>2260</v>
      </c>
      <c r="E2017" t="s">
        <v>4884</v>
      </c>
      <c r="G2017" t="s">
        <v>5636</v>
      </c>
      <c r="H2017">
        <v>10306</v>
      </c>
      <c r="I2017" t="s">
        <v>5696</v>
      </c>
      <c r="J2017" t="s">
        <v>5696</v>
      </c>
      <c r="O2017" t="s">
        <v>6782</v>
      </c>
      <c r="R2017" t="s">
        <v>6799</v>
      </c>
      <c r="U2017">
        <v>0</v>
      </c>
      <c r="V2017" t="s">
        <v>6834</v>
      </c>
      <c r="Y2017" t="s">
        <v>8612</v>
      </c>
      <c r="AA2017" t="s">
        <v>10768</v>
      </c>
      <c r="AB2017">
        <v>0</v>
      </c>
      <c r="AE2017">
        <v>0</v>
      </c>
      <c r="AF2017">
        <v>2</v>
      </c>
      <c r="AG2017">
        <v>0</v>
      </c>
      <c r="AH2017">
        <v>112.01</v>
      </c>
      <c r="AK2017" t="s">
        <v>10966</v>
      </c>
      <c r="AL2017">
        <v>18941.4</v>
      </c>
      <c r="AR2017">
        <v>7</v>
      </c>
      <c r="AS2017" t="s">
        <v>6828</v>
      </c>
      <c r="AT2017" t="s">
        <v>11211</v>
      </c>
      <c r="AV2017" t="s">
        <v>11231</v>
      </c>
      <c r="AW2017" t="s">
        <v>11151</v>
      </c>
    </row>
    <row r="2018" spans="1:49">
      <c r="A2018" s="1">
        <f>HYPERLINK("https://lsnyc.legalserver.org/matter/dynamic-profile/view/1901075","19-1901075")</f>
        <v>0</v>
      </c>
      <c r="B2018" t="s">
        <v>148</v>
      </c>
      <c r="C2018" t="s">
        <v>1493</v>
      </c>
      <c r="D2018" t="s">
        <v>2947</v>
      </c>
      <c r="E2018" t="s">
        <v>4885</v>
      </c>
      <c r="F2018" t="s">
        <v>5099</v>
      </c>
      <c r="G2018" t="s">
        <v>5635</v>
      </c>
      <c r="H2018">
        <v>10462</v>
      </c>
      <c r="I2018" t="s">
        <v>5696</v>
      </c>
      <c r="J2018" t="s">
        <v>5696</v>
      </c>
      <c r="O2018" t="s">
        <v>6784</v>
      </c>
      <c r="R2018" t="s">
        <v>6798</v>
      </c>
      <c r="U2018">
        <v>0</v>
      </c>
      <c r="V2018" t="s">
        <v>6833</v>
      </c>
      <c r="Y2018" t="s">
        <v>8718</v>
      </c>
      <c r="AA2018" t="s">
        <v>10769</v>
      </c>
      <c r="AB2018">
        <v>0</v>
      </c>
      <c r="AE2018">
        <v>0</v>
      </c>
      <c r="AF2018">
        <v>2</v>
      </c>
      <c r="AG2018">
        <v>0</v>
      </c>
      <c r="AH2018">
        <v>92.81999999999999</v>
      </c>
      <c r="AK2018" t="s">
        <v>10966</v>
      </c>
      <c r="AL2018">
        <v>15696</v>
      </c>
      <c r="AR2018">
        <v>3.5</v>
      </c>
      <c r="AS2018" t="s">
        <v>6815</v>
      </c>
      <c r="AT2018" t="s">
        <v>296</v>
      </c>
      <c r="AV2018" t="s">
        <v>11231</v>
      </c>
      <c r="AW2018" t="s">
        <v>11143</v>
      </c>
    </row>
    <row r="2019" spans="1:49">
      <c r="A2019" s="1">
        <f>HYPERLINK("https://lsnyc.legalserver.org/matter/dynamic-profile/view/1904581","19-1904581")</f>
        <v>0</v>
      </c>
      <c r="B2019" t="s">
        <v>268</v>
      </c>
      <c r="C2019" t="s">
        <v>574</v>
      </c>
      <c r="D2019" t="s">
        <v>1758</v>
      </c>
      <c r="E2019" t="s">
        <v>4886</v>
      </c>
      <c r="F2019" t="s">
        <v>5099</v>
      </c>
      <c r="G2019" t="s">
        <v>5637</v>
      </c>
      <c r="H2019">
        <v>11226</v>
      </c>
      <c r="I2019" t="s">
        <v>5696</v>
      </c>
      <c r="J2019" t="s">
        <v>5696</v>
      </c>
      <c r="O2019" t="s">
        <v>6748</v>
      </c>
      <c r="R2019" t="s">
        <v>6793</v>
      </c>
      <c r="U2019">
        <v>1024.31</v>
      </c>
      <c r="V2019" t="s">
        <v>6835</v>
      </c>
      <c r="W2019" t="s">
        <v>6853</v>
      </c>
      <c r="Y2019" t="s">
        <v>8719</v>
      </c>
      <c r="AA2019" t="s">
        <v>10770</v>
      </c>
      <c r="AB2019">
        <v>20</v>
      </c>
      <c r="AC2019" t="s">
        <v>10936</v>
      </c>
      <c r="AD2019" t="s">
        <v>5741</v>
      </c>
      <c r="AE2019">
        <v>23</v>
      </c>
      <c r="AF2019">
        <v>2</v>
      </c>
      <c r="AG2019">
        <v>0</v>
      </c>
      <c r="AH2019">
        <v>19.16</v>
      </c>
      <c r="AK2019" t="s">
        <v>10966</v>
      </c>
      <c r="AL2019">
        <v>3240</v>
      </c>
      <c r="AR2019">
        <v>3.2</v>
      </c>
      <c r="AS2019" t="s">
        <v>6821</v>
      </c>
      <c r="AT2019" t="s">
        <v>11203</v>
      </c>
      <c r="AV2019" t="s">
        <v>11231</v>
      </c>
      <c r="AW2019" t="s">
        <v>6810</v>
      </c>
    </row>
    <row r="2020" spans="1:49">
      <c r="A2020" s="1">
        <f>HYPERLINK("https://lsnyc.legalserver.org/matter/dynamic-profile/view/1901081","19-1901081")</f>
        <v>0</v>
      </c>
      <c r="B2020" t="s">
        <v>148</v>
      </c>
      <c r="C2020" t="s">
        <v>1533</v>
      </c>
      <c r="D2020" t="s">
        <v>2948</v>
      </c>
      <c r="E2020" t="s">
        <v>4887</v>
      </c>
      <c r="F2020" t="s">
        <v>5597</v>
      </c>
      <c r="G2020" t="s">
        <v>5635</v>
      </c>
      <c r="H2020">
        <v>10469</v>
      </c>
      <c r="I2020" t="s">
        <v>5696</v>
      </c>
      <c r="J2020" t="s">
        <v>5696</v>
      </c>
      <c r="O2020" t="s">
        <v>6784</v>
      </c>
      <c r="R2020" t="s">
        <v>6798</v>
      </c>
      <c r="U2020">
        <v>0</v>
      </c>
      <c r="V2020" t="s">
        <v>6833</v>
      </c>
      <c r="Y2020" t="s">
        <v>8720</v>
      </c>
      <c r="AA2020" t="s">
        <v>10771</v>
      </c>
      <c r="AB2020">
        <v>0</v>
      </c>
      <c r="AE2020">
        <v>0</v>
      </c>
      <c r="AF2020">
        <v>2</v>
      </c>
      <c r="AG2020">
        <v>2</v>
      </c>
      <c r="AH2020">
        <v>120.89</v>
      </c>
      <c r="AK2020" t="s">
        <v>10966</v>
      </c>
      <c r="AL2020">
        <v>31128</v>
      </c>
      <c r="AR2020">
        <v>4.5</v>
      </c>
      <c r="AS2020" t="s">
        <v>6809</v>
      </c>
      <c r="AT2020" t="s">
        <v>296</v>
      </c>
      <c r="AV2020" t="s">
        <v>11231</v>
      </c>
      <c r="AW2020" t="s">
        <v>11143</v>
      </c>
    </row>
    <row r="2021" spans="1:49">
      <c r="A2021" s="1">
        <f>HYPERLINK("https://lsnyc.legalserver.org/matter/dynamic-profile/view/1896274","19-1896274")</f>
        <v>0</v>
      </c>
      <c r="B2021" t="s">
        <v>244</v>
      </c>
      <c r="C2021" t="s">
        <v>1534</v>
      </c>
      <c r="D2021" t="s">
        <v>2949</v>
      </c>
      <c r="E2021" t="s">
        <v>4888</v>
      </c>
      <c r="G2021" t="s">
        <v>5638</v>
      </c>
      <c r="H2021">
        <v>10025</v>
      </c>
      <c r="I2021" t="s">
        <v>5696</v>
      </c>
      <c r="J2021" t="s">
        <v>5696</v>
      </c>
      <c r="O2021" t="s">
        <v>6749</v>
      </c>
      <c r="R2021" t="s">
        <v>6793</v>
      </c>
      <c r="U2021">
        <v>0</v>
      </c>
      <c r="V2021" t="s">
        <v>6836</v>
      </c>
      <c r="Y2021" t="s">
        <v>8721</v>
      </c>
      <c r="AA2021" t="s">
        <v>10772</v>
      </c>
      <c r="AB2021">
        <v>0</v>
      </c>
      <c r="AE2021">
        <v>0</v>
      </c>
      <c r="AF2021">
        <v>1</v>
      </c>
      <c r="AG2021">
        <v>0</v>
      </c>
      <c r="AH2021">
        <v>400.32</v>
      </c>
      <c r="AK2021" t="s">
        <v>10966</v>
      </c>
      <c r="AL2021">
        <v>50000</v>
      </c>
      <c r="AR2021">
        <v>0</v>
      </c>
      <c r="AT2021" t="s">
        <v>301</v>
      </c>
      <c r="AV2021" t="s">
        <v>11231</v>
      </c>
      <c r="AW2021" t="s">
        <v>11167</v>
      </c>
    </row>
    <row r="2022" spans="1:49">
      <c r="A2022" s="1">
        <f>HYPERLINK("https://lsnyc.legalserver.org/matter/dynamic-profile/view/1895979","19-1895979")</f>
        <v>0</v>
      </c>
      <c r="B2022" t="s">
        <v>148</v>
      </c>
      <c r="C2022" t="s">
        <v>1535</v>
      </c>
      <c r="D2022" t="s">
        <v>2378</v>
      </c>
      <c r="E2022" t="s">
        <v>4889</v>
      </c>
      <c r="G2022" t="s">
        <v>5635</v>
      </c>
      <c r="H2022">
        <v>10465</v>
      </c>
      <c r="I2022" t="s">
        <v>5696</v>
      </c>
      <c r="J2022" t="s">
        <v>5696</v>
      </c>
      <c r="O2022" t="s">
        <v>6767</v>
      </c>
      <c r="R2022" t="s">
        <v>6798</v>
      </c>
      <c r="U2022">
        <v>0</v>
      </c>
      <c r="V2022" t="s">
        <v>6833</v>
      </c>
      <c r="Y2022" t="s">
        <v>8722</v>
      </c>
      <c r="AA2022" t="s">
        <v>10773</v>
      </c>
      <c r="AB2022">
        <v>0</v>
      </c>
      <c r="AE2022">
        <v>0</v>
      </c>
      <c r="AF2022">
        <v>4</v>
      </c>
      <c r="AG2022">
        <v>1</v>
      </c>
      <c r="AH2022">
        <v>222.74</v>
      </c>
      <c r="AK2022" t="s">
        <v>10966</v>
      </c>
      <c r="AL2022">
        <v>67200</v>
      </c>
      <c r="AR2022">
        <v>5.75</v>
      </c>
      <c r="AS2022" t="s">
        <v>6821</v>
      </c>
      <c r="AT2022" t="s">
        <v>296</v>
      </c>
      <c r="AV2022" t="s">
        <v>11231</v>
      </c>
      <c r="AW2022" t="s">
        <v>11170</v>
      </c>
    </row>
    <row r="2023" spans="1:49">
      <c r="A2023" s="1">
        <f>HYPERLINK("https://lsnyc.legalserver.org/matter/dynamic-profile/view/1904515","19-1904515")</f>
        <v>0</v>
      </c>
      <c r="B2023" t="s">
        <v>150</v>
      </c>
      <c r="C2023" t="s">
        <v>350</v>
      </c>
      <c r="D2023" t="s">
        <v>2950</v>
      </c>
      <c r="E2023" t="s">
        <v>4890</v>
      </c>
      <c r="G2023" t="s">
        <v>5636</v>
      </c>
      <c r="H2023">
        <v>10303</v>
      </c>
      <c r="I2023" t="s">
        <v>5696</v>
      </c>
      <c r="J2023" t="s">
        <v>5696</v>
      </c>
      <c r="O2023" t="s">
        <v>6779</v>
      </c>
      <c r="R2023" t="s">
        <v>6799</v>
      </c>
      <c r="U2023">
        <v>0</v>
      </c>
      <c r="V2023" t="s">
        <v>6834</v>
      </c>
      <c r="Y2023" t="s">
        <v>8723</v>
      </c>
      <c r="AA2023" t="s">
        <v>10774</v>
      </c>
      <c r="AB2023">
        <v>0</v>
      </c>
      <c r="AE2023">
        <v>0</v>
      </c>
      <c r="AF2023">
        <v>2</v>
      </c>
      <c r="AG2023">
        <v>1</v>
      </c>
      <c r="AH2023">
        <v>194.09</v>
      </c>
      <c r="AK2023" t="s">
        <v>10966</v>
      </c>
      <c r="AL2023">
        <v>41400</v>
      </c>
      <c r="AR2023">
        <v>2.3</v>
      </c>
      <c r="AS2023" t="s">
        <v>6820</v>
      </c>
      <c r="AT2023" t="s">
        <v>11211</v>
      </c>
      <c r="AV2023" t="s">
        <v>11231</v>
      </c>
      <c r="AW2023" t="s">
        <v>6808</v>
      </c>
    </row>
    <row r="2024" spans="1:49">
      <c r="A2024" s="1">
        <f>HYPERLINK("https://lsnyc.legalserver.org/matter/dynamic-profile/view/1900585","19-1900585")</f>
        <v>0</v>
      </c>
      <c r="B2024" t="s">
        <v>138</v>
      </c>
      <c r="C2024" t="s">
        <v>707</v>
      </c>
      <c r="D2024" t="s">
        <v>2951</v>
      </c>
      <c r="E2024" t="s">
        <v>4255</v>
      </c>
      <c r="F2024" t="s">
        <v>5611</v>
      </c>
      <c r="G2024" t="s">
        <v>5637</v>
      </c>
      <c r="H2024">
        <v>11238</v>
      </c>
      <c r="I2024" t="s">
        <v>5696</v>
      </c>
      <c r="J2024" t="s">
        <v>5696</v>
      </c>
      <c r="K2024" t="s">
        <v>6706</v>
      </c>
      <c r="O2024" t="s">
        <v>6746</v>
      </c>
      <c r="R2024" t="s">
        <v>6794</v>
      </c>
      <c r="U2024">
        <v>0</v>
      </c>
      <c r="V2024" t="s">
        <v>6835</v>
      </c>
      <c r="Y2024" t="s">
        <v>8724</v>
      </c>
      <c r="AA2024" t="s">
        <v>10775</v>
      </c>
      <c r="AB2024">
        <v>0</v>
      </c>
      <c r="AE2024">
        <v>7</v>
      </c>
      <c r="AF2024">
        <v>1</v>
      </c>
      <c r="AG2024">
        <v>0</v>
      </c>
      <c r="AH2024">
        <v>76.86</v>
      </c>
      <c r="AK2024" t="s">
        <v>10966</v>
      </c>
      <c r="AL2024">
        <v>9600</v>
      </c>
      <c r="AR2024">
        <v>6.3</v>
      </c>
      <c r="AS2024" t="s">
        <v>6816</v>
      </c>
      <c r="AT2024" t="s">
        <v>11192</v>
      </c>
      <c r="AV2024" t="s">
        <v>11231</v>
      </c>
      <c r="AW2024" t="s">
        <v>6895</v>
      </c>
    </row>
    <row r="2025" spans="1:49">
      <c r="A2025" s="1">
        <f>HYPERLINK("https://lsnyc.legalserver.org/matter/dynamic-profile/view/1901279","19-1901279")</f>
        <v>0</v>
      </c>
      <c r="B2025" t="s">
        <v>239</v>
      </c>
      <c r="C2025" t="s">
        <v>807</v>
      </c>
      <c r="D2025" t="s">
        <v>2452</v>
      </c>
      <c r="E2025" t="s">
        <v>4891</v>
      </c>
      <c r="F2025" t="s">
        <v>5280</v>
      </c>
      <c r="G2025" t="s">
        <v>5637</v>
      </c>
      <c r="H2025">
        <v>11207</v>
      </c>
      <c r="I2025" t="s">
        <v>5696</v>
      </c>
      <c r="J2025" t="s">
        <v>5696</v>
      </c>
      <c r="O2025" t="s">
        <v>6780</v>
      </c>
      <c r="R2025" t="s">
        <v>6799</v>
      </c>
      <c r="U2025">
        <v>0</v>
      </c>
      <c r="V2025" t="s">
        <v>6835</v>
      </c>
      <c r="Y2025" t="s">
        <v>8725</v>
      </c>
      <c r="AA2025" t="s">
        <v>10776</v>
      </c>
      <c r="AB2025">
        <v>0</v>
      </c>
      <c r="AE2025">
        <v>0</v>
      </c>
      <c r="AF2025">
        <v>2</v>
      </c>
      <c r="AG2025">
        <v>0</v>
      </c>
      <c r="AH2025">
        <v>253.7</v>
      </c>
      <c r="AK2025" t="s">
        <v>10966</v>
      </c>
      <c r="AL2025">
        <v>42900</v>
      </c>
      <c r="AR2025">
        <v>9.550000000000001</v>
      </c>
      <c r="AS2025" t="s">
        <v>11137</v>
      </c>
      <c r="AT2025" t="s">
        <v>144</v>
      </c>
      <c r="AV2025" t="s">
        <v>11231</v>
      </c>
      <c r="AW2025" t="s">
        <v>11135</v>
      </c>
    </row>
    <row r="2026" spans="1:49">
      <c r="A2026" s="1">
        <f>HYPERLINK("https://lsnyc.legalserver.org/matter/dynamic-profile/view/1906082","19-1906082")</f>
        <v>0</v>
      </c>
      <c r="B2026" t="s">
        <v>68</v>
      </c>
      <c r="C2026" t="s">
        <v>372</v>
      </c>
      <c r="D2026" t="s">
        <v>2952</v>
      </c>
      <c r="E2026" t="s">
        <v>4892</v>
      </c>
      <c r="F2026">
        <v>1</v>
      </c>
      <c r="G2026" t="s">
        <v>5637</v>
      </c>
      <c r="H2026">
        <v>11225</v>
      </c>
      <c r="I2026" t="s">
        <v>5696</v>
      </c>
      <c r="J2026" t="s">
        <v>5696</v>
      </c>
      <c r="O2026" t="s">
        <v>6748</v>
      </c>
      <c r="R2026" t="s">
        <v>6793</v>
      </c>
      <c r="U2026">
        <v>1000</v>
      </c>
      <c r="V2026" t="s">
        <v>6835</v>
      </c>
      <c r="Y2026" t="s">
        <v>7306</v>
      </c>
      <c r="AA2026" t="s">
        <v>10777</v>
      </c>
      <c r="AB2026">
        <v>3</v>
      </c>
      <c r="AD2026" t="s">
        <v>5741</v>
      </c>
      <c r="AE2026">
        <v>40</v>
      </c>
      <c r="AF2026">
        <v>1</v>
      </c>
      <c r="AG2026">
        <v>0</v>
      </c>
      <c r="AH2026">
        <v>74.17</v>
      </c>
      <c r="AK2026" t="s">
        <v>10966</v>
      </c>
      <c r="AL2026">
        <v>9264</v>
      </c>
      <c r="AR2026">
        <v>0.6</v>
      </c>
      <c r="AS2026" t="s">
        <v>6820</v>
      </c>
      <c r="AT2026" t="s">
        <v>11188</v>
      </c>
      <c r="AV2026" t="s">
        <v>11231</v>
      </c>
      <c r="AW2026" t="s">
        <v>6820</v>
      </c>
    </row>
    <row r="2027" spans="1:49">
      <c r="A2027" s="1">
        <f>HYPERLINK("https://lsnyc.legalserver.org/matter/dynamic-profile/view/1902840","19-1902840")</f>
        <v>0</v>
      </c>
      <c r="B2027" t="s">
        <v>290</v>
      </c>
      <c r="C2027" t="s">
        <v>601</v>
      </c>
      <c r="D2027" t="s">
        <v>1703</v>
      </c>
      <c r="E2027" t="s">
        <v>4893</v>
      </c>
      <c r="G2027" t="s">
        <v>5635</v>
      </c>
      <c r="H2027">
        <v>10456</v>
      </c>
      <c r="I2027" t="s">
        <v>5696</v>
      </c>
      <c r="J2027" t="s">
        <v>5696</v>
      </c>
      <c r="O2027" t="s">
        <v>6784</v>
      </c>
      <c r="R2027" t="s">
        <v>6797</v>
      </c>
      <c r="U2027">
        <v>0</v>
      </c>
      <c r="V2027" t="s">
        <v>6833</v>
      </c>
      <c r="Y2027" t="s">
        <v>8726</v>
      </c>
      <c r="AA2027" t="s">
        <v>10778</v>
      </c>
      <c r="AB2027">
        <v>0</v>
      </c>
      <c r="AE2027">
        <v>0</v>
      </c>
      <c r="AF2027">
        <v>2</v>
      </c>
      <c r="AG2027">
        <v>0</v>
      </c>
      <c r="AH2027">
        <v>211.76</v>
      </c>
      <c r="AK2027" t="s">
        <v>10966</v>
      </c>
      <c r="AL2027">
        <v>35808</v>
      </c>
      <c r="AR2027">
        <v>5.75</v>
      </c>
      <c r="AS2027" t="s">
        <v>6808</v>
      </c>
      <c r="AT2027" t="s">
        <v>296</v>
      </c>
      <c r="AV2027" t="s">
        <v>11231</v>
      </c>
      <c r="AW2027" t="s">
        <v>11131</v>
      </c>
    </row>
    <row r="2028" spans="1:49">
      <c r="A2028" s="1">
        <f>HYPERLINK("https://lsnyc.legalserver.org/matter/dynamic-profile/view/1896118","19-1896118")</f>
        <v>0</v>
      </c>
      <c r="B2028" t="s">
        <v>135</v>
      </c>
      <c r="C2028" t="s">
        <v>1459</v>
      </c>
      <c r="D2028" t="s">
        <v>2953</v>
      </c>
      <c r="E2028" t="s">
        <v>4894</v>
      </c>
      <c r="G2028" t="s">
        <v>5637</v>
      </c>
      <c r="H2028">
        <v>11207</v>
      </c>
      <c r="I2028" t="s">
        <v>5696</v>
      </c>
      <c r="J2028" t="s">
        <v>5696</v>
      </c>
      <c r="O2028" t="s">
        <v>6780</v>
      </c>
      <c r="R2028" t="s">
        <v>6799</v>
      </c>
      <c r="U2028">
        <v>0</v>
      </c>
      <c r="V2028" t="s">
        <v>6835</v>
      </c>
      <c r="Y2028" t="s">
        <v>8727</v>
      </c>
      <c r="AA2028" t="s">
        <v>10779</v>
      </c>
      <c r="AB2028">
        <v>0</v>
      </c>
      <c r="AE2028">
        <v>0</v>
      </c>
      <c r="AF2028">
        <v>5</v>
      </c>
      <c r="AG2028">
        <v>3</v>
      </c>
      <c r="AH2028">
        <v>115.13</v>
      </c>
      <c r="AK2028" t="s">
        <v>10966</v>
      </c>
      <c r="AL2028">
        <v>50000</v>
      </c>
      <c r="AR2028">
        <v>11.15</v>
      </c>
      <c r="AS2028" t="s">
        <v>11150</v>
      </c>
      <c r="AT2028" t="s">
        <v>144</v>
      </c>
      <c r="AV2028" t="s">
        <v>11231</v>
      </c>
      <c r="AW2028" t="s">
        <v>11129</v>
      </c>
    </row>
    <row r="2029" spans="1:49">
      <c r="A2029" s="1">
        <f>HYPERLINK("https://lsnyc.legalserver.org/matter/dynamic-profile/view/1906018","19-1906018")</f>
        <v>0</v>
      </c>
      <c r="B2029" t="s">
        <v>205</v>
      </c>
      <c r="C2029" t="s">
        <v>533</v>
      </c>
      <c r="D2029" t="s">
        <v>1852</v>
      </c>
      <c r="E2029" t="s">
        <v>3324</v>
      </c>
      <c r="F2029" t="s">
        <v>5487</v>
      </c>
      <c r="G2029" t="s">
        <v>5637</v>
      </c>
      <c r="H2029">
        <v>11233</v>
      </c>
      <c r="I2029" t="s">
        <v>5696</v>
      </c>
      <c r="J2029" t="s">
        <v>5696</v>
      </c>
      <c r="O2029" t="s">
        <v>6746</v>
      </c>
      <c r="R2029" t="s">
        <v>6795</v>
      </c>
      <c r="U2029">
        <v>1781</v>
      </c>
      <c r="V2029" t="s">
        <v>6835</v>
      </c>
      <c r="W2029" t="s">
        <v>6838</v>
      </c>
      <c r="Y2029" t="s">
        <v>7119</v>
      </c>
      <c r="AA2029" t="s">
        <v>9277</v>
      </c>
      <c r="AB2029">
        <v>8</v>
      </c>
      <c r="AD2029" t="s">
        <v>10948</v>
      </c>
      <c r="AE2029">
        <v>14</v>
      </c>
      <c r="AF2029">
        <v>2</v>
      </c>
      <c r="AG2029">
        <v>1</v>
      </c>
      <c r="AH2029">
        <v>49.68</v>
      </c>
      <c r="AK2029" t="s">
        <v>10966</v>
      </c>
      <c r="AL2029">
        <v>10596</v>
      </c>
      <c r="AR2029">
        <v>0.2</v>
      </c>
      <c r="AS2029" t="s">
        <v>6821</v>
      </c>
      <c r="AT2029" t="s">
        <v>11190</v>
      </c>
      <c r="AV2029" t="s">
        <v>11231</v>
      </c>
      <c r="AW2029" t="s">
        <v>6826</v>
      </c>
    </row>
    <row r="2030" spans="1:49">
      <c r="A2030" s="1">
        <f>HYPERLINK("https://lsnyc.legalserver.org/matter/dynamic-profile/view/1898258","19-1898258")</f>
        <v>0</v>
      </c>
      <c r="B2030" t="s">
        <v>150</v>
      </c>
      <c r="C2030" t="s">
        <v>1536</v>
      </c>
      <c r="D2030" t="s">
        <v>2954</v>
      </c>
      <c r="E2030" t="s">
        <v>4895</v>
      </c>
      <c r="G2030" t="s">
        <v>5636</v>
      </c>
      <c r="H2030">
        <v>10310</v>
      </c>
      <c r="I2030" t="s">
        <v>5696</v>
      </c>
      <c r="J2030" t="s">
        <v>5696</v>
      </c>
      <c r="O2030" t="s">
        <v>6782</v>
      </c>
      <c r="R2030" t="s">
        <v>6799</v>
      </c>
      <c r="U2030">
        <v>0</v>
      </c>
      <c r="V2030" t="s">
        <v>6834</v>
      </c>
      <c r="Y2030" t="s">
        <v>8728</v>
      </c>
      <c r="AA2030" t="s">
        <v>10780</v>
      </c>
      <c r="AB2030">
        <v>0</v>
      </c>
      <c r="AE2030">
        <v>0</v>
      </c>
      <c r="AF2030">
        <v>3</v>
      </c>
      <c r="AG2030">
        <v>0</v>
      </c>
      <c r="AH2030">
        <v>73.14</v>
      </c>
      <c r="AK2030" t="s">
        <v>10966</v>
      </c>
      <c r="AL2030">
        <v>15600</v>
      </c>
      <c r="AR2030">
        <v>7.8</v>
      </c>
      <c r="AS2030" t="s">
        <v>10957</v>
      </c>
      <c r="AT2030" t="s">
        <v>54</v>
      </c>
      <c r="AV2030" t="s">
        <v>11231</v>
      </c>
      <c r="AW2030" t="s">
        <v>10956</v>
      </c>
    </row>
    <row r="2031" spans="1:49">
      <c r="A2031" s="1">
        <f>HYPERLINK("https://lsnyc.legalserver.org/matter/dynamic-profile/view/1903862","19-1903862")</f>
        <v>0</v>
      </c>
      <c r="B2031" t="s">
        <v>237</v>
      </c>
      <c r="C2031" t="s">
        <v>477</v>
      </c>
      <c r="D2031" t="s">
        <v>1717</v>
      </c>
      <c r="E2031" t="s">
        <v>4896</v>
      </c>
      <c r="F2031" t="s">
        <v>5187</v>
      </c>
      <c r="G2031" t="s">
        <v>5645</v>
      </c>
      <c r="H2031">
        <v>11105</v>
      </c>
      <c r="I2031" t="s">
        <v>5696</v>
      </c>
      <c r="J2031" t="s">
        <v>5696</v>
      </c>
      <c r="O2031" t="s">
        <v>6748</v>
      </c>
      <c r="R2031" t="s">
        <v>6793</v>
      </c>
      <c r="U2031">
        <v>0</v>
      </c>
      <c r="V2031" t="s">
        <v>6837</v>
      </c>
      <c r="Y2031" t="s">
        <v>8729</v>
      </c>
      <c r="AA2031" t="s">
        <v>10781</v>
      </c>
      <c r="AB2031">
        <v>0</v>
      </c>
      <c r="AE2031">
        <v>4</v>
      </c>
      <c r="AF2031">
        <v>1</v>
      </c>
      <c r="AG2031">
        <v>0</v>
      </c>
      <c r="AH2031">
        <v>97.23</v>
      </c>
      <c r="AL2031">
        <v>12144</v>
      </c>
      <c r="AR2031">
        <v>4</v>
      </c>
      <c r="AS2031" t="s">
        <v>6813</v>
      </c>
      <c r="AT2031" t="s">
        <v>237</v>
      </c>
      <c r="AV2031" t="s">
        <v>11231</v>
      </c>
      <c r="AW2031" t="s">
        <v>6807</v>
      </c>
    </row>
    <row r="2032" spans="1:49">
      <c r="A2032" s="1">
        <f>HYPERLINK("https://lsnyc.legalserver.org/matter/dynamic-profile/view/1900347","19-1900347")</f>
        <v>0</v>
      </c>
      <c r="B2032" t="s">
        <v>205</v>
      </c>
      <c r="C2032" t="s">
        <v>674</v>
      </c>
      <c r="D2032" t="s">
        <v>1321</v>
      </c>
      <c r="E2032" t="s">
        <v>4897</v>
      </c>
      <c r="F2032" t="s">
        <v>5304</v>
      </c>
      <c r="G2032" t="s">
        <v>5637</v>
      </c>
      <c r="H2032">
        <v>11206</v>
      </c>
      <c r="I2032" t="s">
        <v>5696</v>
      </c>
      <c r="J2032" t="s">
        <v>5696</v>
      </c>
      <c r="O2032" t="s">
        <v>6748</v>
      </c>
      <c r="R2032" t="s">
        <v>6793</v>
      </c>
      <c r="U2032">
        <v>657</v>
      </c>
      <c r="V2032" t="s">
        <v>6835</v>
      </c>
      <c r="W2032" t="s">
        <v>6848</v>
      </c>
      <c r="Y2032" t="s">
        <v>8730</v>
      </c>
      <c r="AA2032" t="s">
        <v>10782</v>
      </c>
      <c r="AB2032">
        <v>36</v>
      </c>
      <c r="AD2032" t="s">
        <v>5741</v>
      </c>
      <c r="AE2032">
        <v>25</v>
      </c>
      <c r="AF2032">
        <v>2</v>
      </c>
      <c r="AG2032">
        <v>1</v>
      </c>
      <c r="AH2032">
        <v>70.58</v>
      </c>
      <c r="AK2032" t="s">
        <v>10966</v>
      </c>
      <c r="AL2032">
        <v>15054</v>
      </c>
      <c r="AR2032">
        <v>1.9</v>
      </c>
      <c r="AS2032" t="s">
        <v>11148</v>
      </c>
      <c r="AT2032" t="s">
        <v>11203</v>
      </c>
      <c r="AV2032" t="s">
        <v>11231</v>
      </c>
      <c r="AW2032" t="s">
        <v>11155</v>
      </c>
    </row>
    <row r="2033" spans="1:49">
      <c r="A2033" s="1">
        <f>HYPERLINK("https://lsnyc.legalserver.org/matter/dynamic-profile/view/1896153","19-1896153")</f>
        <v>0</v>
      </c>
      <c r="B2033" t="s">
        <v>301</v>
      </c>
      <c r="C2033" t="s">
        <v>1537</v>
      </c>
      <c r="D2033" t="s">
        <v>2955</v>
      </c>
      <c r="E2033" t="s">
        <v>4898</v>
      </c>
      <c r="G2033" t="s">
        <v>5638</v>
      </c>
      <c r="H2033">
        <v>10026</v>
      </c>
      <c r="I2033" t="s">
        <v>5696</v>
      </c>
      <c r="J2033" t="s">
        <v>5696</v>
      </c>
      <c r="O2033" t="s">
        <v>6749</v>
      </c>
      <c r="R2033" t="s">
        <v>6793</v>
      </c>
      <c r="U2033">
        <v>0</v>
      </c>
      <c r="V2033" t="s">
        <v>6836</v>
      </c>
      <c r="Y2033" t="s">
        <v>8731</v>
      </c>
      <c r="AA2033" t="s">
        <v>10783</v>
      </c>
      <c r="AB2033">
        <v>0</v>
      </c>
      <c r="AE2033">
        <v>0</v>
      </c>
      <c r="AF2033">
        <v>3</v>
      </c>
      <c r="AG2033">
        <v>0</v>
      </c>
      <c r="AH2033">
        <v>0</v>
      </c>
      <c r="AK2033" t="s">
        <v>10966</v>
      </c>
      <c r="AL2033">
        <v>0</v>
      </c>
      <c r="AR2033">
        <v>2.8</v>
      </c>
      <c r="AS2033" t="s">
        <v>6822</v>
      </c>
      <c r="AT2033" t="s">
        <v>301</v>
      </c>
      <c r="AV2033" t="s">
        <v>11231</v>
      </c>
      <c r="AW2033" t="s">
        <v>11167</v>
      </c>
    </row>
    <row r="2034" spans="1:49">
      <c r="A2034" s="1">
        <f>HYPERLINK("https://lsnyc.legalserver.org/matter/dynamic-profile/view/1895634","19-1895634")</f>
        <v>0</v>
      </c>
      <c r="B2034" t="s">
        <v>116</v>
      </c>
      <c r="C2034" t="s">
        <v>471</v>
      </c>
      <c r="D2034" t="s">
        <v>2956</v>
      </c>
      <c r="E2034" t="s">
        <v>4899</v>
      </c>
      <c r="G2034" t="s">
        <v>5644</v>
      </c>
      <c r="H2034">
        <v>11434</v>
      </c>
      <c r="I2034" t="s">
        <v>5696</v>
      </c>
      <c r="J2034" t="s">
        <v>5696</v>
      </c>
      <c r="O2034" t="s">
        <v>6790</v>
      </c>
      <c r="R2034" t="s">
        <v>6798</v>
      </c>
      <c r="U2034">
        <v>0</v>
      </c>
      <c r="V2034" t="s">
        <v>6837</v>
      </c>
      <c r="Y2034" t="s">
        <v>8732</v>
      </c>
      <c r="AA2034" t="s">
        <v>10784</v>
      </c>
      <c r="AB2034">
        <v>0</v>
      </c>
      <c r="AE2034">
        <v>0</v>
      </c>
      <c r="AF2034">
        <v>1</v>
      </c>
      <c r="AG2034">
        <v>0</v>
      </c>
      <c r="AH2034">
        <v>416.33</v>
      </c>
      <c r="AK2034" t="s">
        <v>10966</v>
      </c>
      <c r="AL2034">
        <v>52000</v>
      </c>
      <c r="AR2034">
        <v>4.2</v>
      </c>
      <c r="AS2034" t="s">
        <v>6826</v>
      </c>
      <c r="AT2034" t="s">
        <v>11183</v>
      </c>
      <c r="AV2034" t="s">
        <v>11231</v>
      </c>
      <c r="AW2034" t="s">
        <v>11119</v>
      </c>
    </row>
    <row r="2035" spans="1:49">
      <c r="A2035" s="1">
        <f>HYPERLINK("https://lsnyc.legalserver.org/matter/dynamic-profile/view/1904940","19-1904940")</f>
        <v>0</v>
      </c>
      <c r="B2035" t="s">
        <v>206</v>
      </c>
      <c r="C2035" t="s">
        <v>1538</v>
      </c>
      <c r="D2035" t="s">
        <v>1657</v>
      </c>
      <c r="E2035" t="s">
        <v>4900</v>
      </c>
      <c r="G2035" t="s">
        <v>5638</v>
      </c>
      <c r="H2035">
        <v>10026</v>
      </c>
      <c r="I2035" t="s">
        <v>5696</v>
      </c>
      <c r="J2035" t="s">
        <v>5696</v>
      </c>
      <c r="O2035" t="s">
        <v>6749</v>
      </c>
      <c r="R2035" t="s">
        <v>6794</v>
      </c>
      <c r="U2035">
        <v>0</v>
      </c>
      <c r="V2035" t="s">
        <v>6836</v>
      </c>
      <c r="Y2035" t="s">
        <v>8733</v>
      </c>
      <c r="AA2035" t="s">
        <v>10785</v>
      </c>
      <c r="AB2035">
        <v>0</v>
      </c>
      <c r="AE2035">
        <v>0</v>
      </c>
      <c r="AF2035">
        <v>3</v>
      </c>
      <c r="AG2035">
        <v>0</v>
      </c>
      <c r="AH2035">
        <v>84.39</v>
      </c>
      <c r="AK2035" t="s">
        <v>10966</v>
      </c>
      <c r="AL2035">
        <v>18000</v>
      </c>
      <c r="AR2035">
        <v>0</v>
      </c>
      <c r="AT2035" t="s">
        <v>301</v>
      </c>
      <c r="AV2035" t="s">
        <v>11231</v>
      </c>
      <c r="AW2035" t="s">
        <v>6812</v>
      </c>
    </row>
    <row r="2036" spans="1:49">
      <c r="A2036" s="1">
        <f>HYPERLINK("https://lsnyc.legalserver.org/matter/dynamic-profile/view/1895957","19-1895957")</f>
        <v>0</v>
      </c>
      <c r="B2036" t="s">
        <v>151</v>
      </c>
      <c r="C2036" t="s">
        <v>1539</v>
      </c>
      <c r="D2036" t="s">
        <v>1858</v>
      </c>
      <c r="E2036" t="s">
        <v>4901</v>
      </c>
      <c r="G2036" t="s">
        <v>5637</v>
      </c>
      <c r="H2036">
        <v>11203</v>
      </c>
      <c r="I2036" t="s">
        <v>5696</v>
      </c>
      <c r="J2036" t="s">
        <v>5696</v>
      </c>
      <c r="O2036" t="s">
        <v>6776</v>
      </c>
      <c r="R2036" t="s">
        <v>6798</v>
      </c>
      <c r="U2036">
        <v>0</v>
      </c>
      <c r="V2036" t="s">
        <v>6835</v>
      </c>
      <c r="Y2036" t="s">
        <v>8734</v>
      </c>
      <c r="AA2036" t="s">
        <v>10786</v>
      </c>
      <c r="AB2036">
        <v>0</v>
      </c>
      <c r="AE2036">
        <v>0</v>
      </c>
      <c r="AF2036">
        <v>3</v>
      </c>
      <c r="AG2036">
        <v>0</v>
      </c>
      <c r="AH2036">
        <v>315.06</v>
      </c>
      <c r="AL2036">
        <v>67202.75999999999</v>
      </c>
      <c r="AR2036">
        <v>20.9</v>
      </c>
      <c r="AS2036" t="s">
        <v>11144</v>
      </c>
      <c r="AT2036" t="s">
        <v>151</v>
      </c>
      <c r="AV2036" t="s">
        <v>11231</v>
      </c>
      <c r="AW2036" t="s">
        <v>11170</v>
      </c>
    </row>
    <row r="2037" spans="1:49">
      <c r="A2037" s="1">
        <f>HYPERLINK("https://lsnyc.legalserver.org/matter/dynamic-profile/view/1896041","19-1896041")</f>
        <v>0</v>
      </c>
      <c r="B2037" t="s">
        <v>205</v>
      </c>
      <c r="C2037" t="s">
        <v>1540</v>
      </c>
      <c r="D2037" t="s">
        <v>2957</v>
      </c>
      <c r="E2037" t="s">
        <v>4902</v>
      </c>
      <c r="F2037" t="s">
        <v>5612</v>
      </c>
      <c r="G2037" t="s">
        <v>5637</v>
      </c>
      <c r="H2037">
        <v>11224</v>
      </c>
      <c r="I2037" t="s">
        <v>5696</v>
      </c>
      <c r="J2037" t="s">
        <v>5696</v>
      </c>
      <c r="O2037" t="s">
        <v>6748</v>
      </c>
      <c r="R2037" t="s">
        <v>6793</v>
      </c>
      <c r="U2037">
        <v>2200</v>
      </c>
      <c r="V2037" t="s">
        <v>6835</v>
      </c>
      <c r="Y2037" t="s">
        <v>8735</v>
      </c>
      <c r="AA2037" t="s">
        <v>10787</v>
      </c>
      <c r="AB2037">
        <v>160</v>
      </c>
      <c r="AE2037">
        <v>11</v>
      </c>
      <c r="AF2037">
        <v>1</v>
      </c>
      <c r="AG2037">
        <v>2</v>
      </c>
      <c r="AH2037">
        <v>121.89</v>
      </c>
      <c r="AK2037" t="s">
        <v>10966</v>
      </c>
      <c r="AL2037">
        <v>26000</v>
      </c>
      <c r="AR2037">
        <v>0.5</v>
      </c>
      <c r="AS2037" t="s">
        <v>10962</v>
      </c>
      <c r="AT2037" t="s">
        <v>11181</v>
      </c>
      <c r="AV2037" t="s">
        <v>11231</v>
      </c>
      <c r="AW2037" t="s">
        <v>10962</v>
      </c>
    </row>
    <row r="2038" spans="1:49">
      <c r="A2038" s="1">
        <f>HYPERLINK("https://lsnyc.legalserver.org/matter/dynamic-profile/view/1904664","19-1904664")</f>
        <v>0</v>
      </c>
      <c r="B2038" t="s">
        <v>151</v>
      </c>
      <c r="C2038" t="s">
        <v>1541</v>
      </c>
      <c r="D2038" t="s">
        <v>2958</v>
      </c>
      <c r="E2038" t="s">
        <v>4903</v>
      </c>
      <c r="F2038" t="s">
        <v>5161</v>
      </c>
      <c r="G2038" t="s">
        <v>5637</v>
      </c>
      <c r="H2038">
        <v>11235</v>
      </c>
      <c r="I2038" t="s">
        <v>5696</v>
      </c>
      <c r="J2038" t="s">
        <v>5696</v>
      </c>
      <c r="O2038" t="s">
        <v>6775</v>
      </c>
      <c r="R2038" t="s">
        <v>6799</v>
      </c>
      <c r="U2038">
        <v>0</v>
      </c>
      <c r="V2038" t="s">
        <v>6835</v>
      </c>
      <c r="Y2038" t="s">
        <v>8383</v>
      </c>
      <c r="AA2038" t="s">
        <v>10788</v>
      </c>
      <c r="AB2038">
        <v>0</v>
      </c>
      <c r="AE2038">
        <v>0</v>
      </c>
      <c r="AF2038">
        <v>2</v>
      </c>
      <c r="AG2038">
        <v>1</v>
      </c>
      <c r="AH2038">
        <v>376</v>
      </c>
      <c r="AK2038" t="s">
        <v>10966</v>
      </c>
      <c r="AL2038">
        <v>80200</v>
      </c>
      <c r="AR2038">
        <v>6.75</v>
      </c>
      <c r="AS2038" t="s">
        <v>6822</v>
      </c>
      <c r="AT2038" t="s">
        <v>144</v>
      </c>
      <c r="AV2038" t="s">
        <v>11231</v>
      </c>
      <c r="AW2038" t="s">
        <v>6814</v>
      </c>
    </row>
    <row r="2039" spans="1:49">
      <c r="A2039" s="1">
        <f>HYPERLINK("https://lsnyc.legalserver.org/matter/dynamic-profile/view/1899316","19-1899316")</f>
        <v>0</v>
      </c>
      <c r="B2039" t="s">
        <v>299</v>
      </c>
      <c r="C2039" t="s">
        <v>1200</v>
      </c>
      <c r="D2039" t="s">
        <v>2959</v>
      </c>
      <c r="E2039" t="s">
        <v>4904</v>
      </c>
      <c r="G2039" t="s">
        <v>5636</v>
      </c>
      <c r="H2039">
        <v>10310</v>
      </c>
      <c r="I2039" t="s">
        <v>5696</v>
      </c>
      <c r="J2039" t="s">
        <v>5696</v>
      </c>
      <c r="O2039" t="s">
        <v>6779</v>
      </c>
      <c r="R2039" t="s">
        <v>6799</v>
      </c>
      <c r="U2039">
        <v>0</v>
      </c>
      <c r="V2039" t="s">
        <v>6834</v>
      </c>
      <c r="Y2039" t="s">
        <v>8736</v>
      </c>
      <c r="AA2039" t="s">
        <v>10789</v>
      </c>
      <c r="AB2039">
        <v>0</v>
      </c>
      <c r="AE2039">
        <v>0</v>
      </c>
      <c r="AF2039">
        <v>2</v>
      </c>
      <c r="AG2039">
        <v>2</v>
      </c>
      <c r="AH2039">
        <v>0</v>
      </c>
      <c r="AK2039" t="s">
        <v>10966</v>
      </c>
      <c r="AL2039">
        <v>0</v>
      </c>
      <c r="AR2039">
        <v>3.7</v>
      </c>
      <c r="AS2039" t="s">
        <v>6822</v>
      </c>
      <c r="AT2039" t="s">
        <v>11211</v>
      </c>
      <c r="AV2039" t="s">
        <v>11231</v>
      </c>
      <c r="AW2039" t="s">
        <v>11156</v>
      </c>
    </row>
    <row r="2040" spans="1:49">
      <c r="A2040" s="1">
        <f>HYPERLINK("https://lsnyc.legalserver.org/matter/dynamic-profile/view/1902244","19-1902244")</f>
        <v>0</v>
      </c>
      <c r="B2040" t="s">
        <v>239</v>
      </c>
      <c r="C2040" t="s">
        <v>863</v>
      </c>
      <c r="D2040" t="s">
        <v>1862</v>
      </c>
      <c r="E2040" t="s">
        <v>4905</v>
      </c>
      <c r="G2040" t="s">
        <v>5637</v>
      </c>
      <c r="H2040">
        <v>11236</v>
      </c>
      <c r="I2040" t="s">
        <v>5696</v>
      </c>
      <c r="J2040" t="s">
        <v>5696</v>
      </c>
      <c r="O2040" t="s">
        <v>6780</v>
      </c>
      <c r="R2040" t="s">
        <v>6799</v>
      </c>
      <c r="U2040">
        <v>0</v>
      </c>
      <c r="V2040" t="s">
        <v>6835</v>
      </c>
      <c r="Y2040" t="s">
        <v>8737</v>
      </c>
      <c r="AA2040" t="s">
        <v>10790</v>
      </c>
      <c r="AB2040">
        <v>0</v>
      </c>
      <c r="AE2040">
        <v>0</v>
      </c>
      <c r="AF2040">
        <v>2</v>
      </c>
      <c r="AG2040">
        <v>0</v>
      </c>
      <c r="AH2040">
        <v>875.22</v>
      </c>
      <c r="AK2040" t="s">
        <v>10966</v>
      </c>
      <c r="AL2040">
        <v>148000</v>
      </c>
      <c r="AR2040">
        <v>9</v>
      </c>
      <c r="AS2040" t="s">
        <v>6819</v>
      </c>
      <c r="AT2040" t="s">
        <v>144</v>
      </c>
      <c r="AV2040" t="s">
        <v>11231</v>
      </c>
      <c r="AW2040" t="s">
        <v>11138</v>
      </c>
    </row>
    <row r="2041" spans="1:49">
      <c r="A2041" s="1">
        <f>HYPERLINK("https://lsnyc.legalserver.org/matter/dynamic-profile/view/1901051","19-1901051")</f>
        <v>0</v>
      </c>
      <c r="B2041" t="s">
        <v>299</v>
      </c>
      <c r="C2041" t="s">
        <v>359</v>
      </c>
      <c r="D2041" t="s">
        <v>2457</v>
      </c>
      <c r="E2041" t="s">
        <v>4906</v>
      </c>
      <c r="G2041" t="s">
        <v>5636</v>
      </c>
      <c r="H2041">
        <v>10301</v>
      </c>
      <c r="I2041" t="s">
        <v>5696</v>
      </c>
      <c r="J2041" t="s">
        <v>5696</v>
      </c>
      <c r="O2041" t="s">
        <v>6754</v>
      </c>
      <c r="R2041" t="s">
        <v>6799</v>
      </c>
      <c r="U2041">
        <v>0</v>
      </c>
      <c r="V2041" t="s">
        <v>6834</v>
      </c>
      <c r="Y2041" t="s">
        <v>8738</v>
      </c>
      <c r="AA2041" t="s">
        <v>10791</v>
      </c>
      <c r="AB2041">
        <v>0</v>
      </c>
      <c r="AE2041">
        <v>0</v>
      </c>
      <c r="AF2041">
        <v>1</v>
      </c>
      <c r="AG2041">
        <v>0</v>
      </c>
      <c r="AH2041">
        <v>605.28</v>
      </c>
      <c r="AK2041" t="s">
        <v>10966</v>
      </c>
      <c r="AL2041">
        <v>75600</v>
      </c>
      <c r="AR2041">
        <v>2.9</v>
      </c>
      <c r="AS2041" t="s">
        <v>6812</v>
      </c>
      <c r="AT2041" t="s">
        <v>11211</v>
      </c>
      <c r="AV2041" t="s">
        <v>11231</v>
      </c>
      <c r="AW2041" t="s">
        <v>11148</v>
      </c>
    </row>
    <row r="2042" spans="1:49">
      <c r="A2042" s="1">
        <f>HYPERLINK("https://lsnyc.legalserver.org/matter/dynamic-profile/view/1905746","19-1905746")</f>
        <v>0</v>
      </c>
      <c r="B2042" t="s">
        <v>239</v>
      </c>
      <c r="C2042" t="s">
        <v>1542</v>
      </c>
      <c r="D2042" t="s">
        <v>2960</v>
      </c>
      <c r="E2042" t="s">
        <v>4907</v>
      </c>
      <c r="F2042" t="s">
        <v>5613</v>
      </c>
      <c r="G2042" t="s">
        <v>5637</v>
      </c>
      <c r="H2042">
        <v>11234</v>
      </c>
      <c r="I2042" t="s">
        <v>5696</v>
      </c>
      <c r="J2042" t="s">
        <v>5696</v>
      </c>
      <c r="O2042" t="s">
        <v>6775</v>
      </c>
      <c r="R2042" t="s">
        <v>6799</v>
      </c>
      <c r="U2042">
        <v>0</v>
      </c>
      <c r="V2042" t="s">
        <v>6835</v>
      </c>
      <c r="Y2042" t="s">
        <v>8739</v>
      </c>
      <c r="AA2042" t="s">
        <v>10792</v>
      </c>
      <c r="AB2042">
        <v>0</v>
      </c>
      <c r="AE2042">
        <v>0</v>
      </c>
      <c r="AF2042">
        <v>2</v>
      </c>
      <c r="AG2042">
        <v>0</v>
      </c>
      <c r="AH2042">
        <v>138.38</v>
      </c>
      <c r="AK2042" t="s">
        <v>10966</v>
      </c>
      <c r="AL2042">
        <v>23400</v>
      </c>
      <c r="AR2042">
        <v>7</v>
      </c>
      <c r="AS2042" t="s">
        <v>6827</v>
      </c>
      <c r="AT2042" t="s">
        <v>144</v>
      </c>
      <c r="AV2042" t="s">
        <v>11231</v>
      </c>
      <c r="AW2042" t="s">
        <v>6821</v>
      </c>
    </row>
    <row r="2043" spans="1:49">
      <c r="A2043" s="1">
        <f>HYPERLINK("https://lsnyc.legalserver.org/matter/dynamic-profile/view/1895679","19-1895679")</f>
        <v>0</v>
      </c>
      <c r="B2043" t="s">
        <v>150</v>
      </c>
      <c r="C2043" t="s">
        <v>623</v>
      </c>
      <c r="D2043" t="s">
        <v>2961</v>
      </c>
      <c r="E2043" t="s">
        <v>4908</v>
      </c>
      <c r="G2043" t="s">
        <v>5636</v>
      </c>
      <c r="H2043">
        <v>10303</v>
      </c>
      <c r="I2043" t="s">
        <v>5696</v>
      </c>
      <c r="J2043" t="s">
        <v>5696</v>
      </c>
      <c r="O2043" t="s">
        <v>6754</v>
      </c>
      <c r="R2043" t="s">
        <v>6799</v>
      </c>
      <c r="U2043">
        <v>0</v>
      </c>
      <c r="V2043" t="s">
        <v>6834</v>
      </c>
      <c r="Y2043" t="s">
        <v>8740</v>
      </c>
      <c r="AA2043" t="s">
        <v>10793</v>
      </c>
      <c r="AB2043">
        <v>0</v>
      </c>
      <c r="AE2043">
        <v>0</v>
      </c>
      <c r="AF2043">
        <v>4</v>
      </c>
      <c r="AG2043">
        <v>0</v>
      </c>
      <c r="AH2043">
        <v>132.54</v>
      </c>
      <c r="AK2043" t="s">
        <v>10966</v>
      </c>
      <c r="AL2043">
        <v>34128</v>
      </c>
      <c r="AR2043">
        <v>9.199999999999999</v>
      </c>
      <c r="AS2043" t="s">
        <v>6824</v>
      </c>
      <c r="AT2043" t="s">
        <v>11211</v>
      </c>
      <c r="AV2043" t="s">
        <v>11231</v>
      </c>
      <c r="AW2043" t="s">
        <v>11154</v>
      </c>
    </row>
    <row r="2044" spans="1:49">
      <c r="A2044" s="1">
        <f>HYPERLINK("https://lsnyc.legalserver.org/matter/dynamic-profile/view/1900534","19-1900534")</f>
        <v>0</v>
      </c>
      <c r="B2044" t="s">
        <v>116</v>
      </c>
      <c r="C2044" t="s">
        <v>1543</v>
      </c>
      <c r="D2044" t="s">
        <v>2962</v>
      </c>
      <c r="E2044" t="s">
        <v>4909</v>
      </c>
      <c r="G2044" t="s">
        <v>5644</v>
      </c>
      <c r="H2044">
        <v>11434</v>
      </c>
      <c r="I2044" t="s">
        <v>5696</v>
      </c>
      <c r="J2044" t="s">
        <v>5696</v>
      </c>
      <c r="O2044" t="s">
        <v>6767</v>
      </c>
      <c r="R2044" t="s">
        <v>6795</v>
      </c>
      <c r="U2044">
        <v>0</v>
      </c>
      <c r="V2044" t="s">
        <v>6837</v>
      </c>
      <c r="Y2044" t="s">
        <v>8741</v>
      </c>
      <c r="AA2044" t="s">
        <v>10794</v>
      </c>
      <c r="AB2044">
        <v>0</v>
      </c>
      <c r="AE2044">
        <v>0</v>
      </c>
      <c r="AF2044">
        <v>2</v>
      </c>
      <c r="AG2044">
        <v>0</v>
      </c>
      <c r="AH2044">
        <v>149.02</v>
      </c>
      <c r="AK2044" t="s">
        <v>10966</v>
      </c>
      <c r="AL2044">
        <v>25200</v>
      </c>
      <c r="AR2044">
        <v>2</v>
      </c>
      <c r="AS2044" t="s">
        <v>11163</v>
      </c>
      <c r="AT2044" t="s">
        <v>11185</v>
      </c>
      <c r="AV2044" t="s">
        <v>11231</v>
      </c>
      <c r="AW2044" t="s">
        <v>6895</v>
      </c>
    </row>
    <row r="2045" spans="1:49">
      <c r="A2045" s="1">
        <f>HYPERLINK("https://lsnyc.legalserver.org/matter/dynamic-profile/view/1903715","19-1903715")</f>
        <v>0</v>
      </c>
      <c r="B2045" t="s">
        <v>222</v>
      </c>
      <c r="C2045" t="s">
        <v>479</v>
      </c>
      <c r="D2045" t="s">
        <v>1863</v>
      </c>
      <c r="E2045" t="s">
        <v>3710</v>
      </c>
      <c r="F2045" t="s">
        <v>5100</v>
      </c>
      <c r="G2045" t="s">
        <v>5635</v>
      </c>
      <c r="H2045">
        <v>10452</v>
      </c>
      <c r="I2045" t="s">
        <v>5696</v>
      </c>
      <c r="J2045" t="s">
        <v>5696</v>
      </c>
      <c r="K2045" t="s">
        <v>6707</v>
      </c>
      <c r="O2045" t="s">
        <v>6748</v>
      </c>
      <c r="R2045" t="s">
        <v>6793</v>
      </c>
      <c r="U2045">
        <v>1557</v>
      </c>
      <c r="V2045" t="s">
        <v>6833</v>
      </c>
      <c r="W2045" t="s">
        <v>6843</v>
      </c>
      <c r="Y2045" t="s">
        <v>7507</v>
      </c>
      <c r="AA2045" t="s">
        <v>9587</v>
      </c>
      <c r="AB2045">
        <v>18</v>
      </c>
      <c r="AC2045" t="s">
        <v>10932</v>
      </c>
      <c r="AD2045" t="s">
        <v>10944</v>
      </c>
      <c r="AE2045">
        <v>10</v>
      </c>
      <c r="AF2045">
        <v>2</v>
      </c>
      <c r="AG2045">
        <v>0</v>
      </c>
      <c r="AH2045">
        <v>116.95</v>
      </c>
      <c r="AK2045" t="s">
        <v>10966</v>
      </c>
      <c r="AL2045">
        <v>19776</v>
      </c>
      <c r="AR2045">
        <v>1</v>
      </c>
      <c r="AS2045" t="s">
        <v>6811</v>
      </c>
      <c r="AT2045" t="s">
        <v>11203</v>
      </c>
      <c r="AV2045" t="s">
        <v>11231</v>
      </c>
      <c r="AW2045" t="s">
        <v>6811</v>
      </c>
    </row>
    <row r="2046" spans="1:49">
      <c r="A2046" s="1">
        <f>HYPERLINK("https://lsnyc.legalserver.org/matter/dynamic-profile/view/1905995","19-1905995")</f>
        <v>0</v>
      </c>
      <c r="B2046" t="s">
        <v>115</v>
      </c>
      <c r="C2046" t="s">
        <v>505</v>
      </c>
      <c r="D2046" t="s">
        <v>2963</v>
      </c>
      <c r="E2046" t="s">
        <v>4910</v>
      </c>
      <c r="F2046" t="s">
        <v>5410</v>
      </c>
      <c r="G2046" t="s">
        <v>5691</v>
      </c>
      <c r="H2046">
        <v>6516</v>
      </c>
      <c r="I2046" t="s">
        <v>5696</v>
      </c>
      <c r="J2046" t="s">
        <v>5696</v>
      </c>
      <c r="O2046" t="s">
        <v>6778</v>
      </c>
      <c r="R2046" t="s">
        <v>6798</v>
      </c>
      <c r="U2046">
        <v>0</v>
      </c>
      <c r="V2046" t="s">
        <v>6837</v>
      </c>
      <c r="Y2046" t="s">
        <v>8742</v>
      </c>
      <c r="AA2046" t="s">
        <v>10795</v>
      </c>
      <c r="AB2046">
        <v>0</v>
      </c>
      <c r="AE2046">
        <v>0</v>
      </c>
      <c r="AF2046">
        <v>1</v>
      </c>
      <c r="AG2046">
        <v>0</v>
      </c>
      <c r="AH2046">
        <v>221.18</v>
      </c>
      <c r="AK2046" t="s">
        <v>10966</v>
      </c>
      <c r="AL2046">
        <v>27625.52</v>
      </c>
      <c r="AR2046">
        <v>0.6</v>
      </c>
      <c r="AS2046" t="s">
        <v>6826</v>
      </c>
      <c r="AT2046" t="s">
        <v>11183</v>
      </c>
      <c r="AV2046" t="s">
        <v>11231</v>
      </c>
      <c r="AW2046" t="s">
        <v>6826</v>
      </c>
    </row>
    <row r="2047" spans="1:49">
      <c r="A2047" s="1">
        <f>HYPERLINK("https://lsnyc.legalserver.org/matter/dynamic-profile/view/1903564","19-1903564")</f>
        <v>0</v>
      </c>
      <c r="B2047" t="s">
        <v>152</v>
      </c>
      <c r="C2047" t="s">
        <v>369</v>
      </c>
      <c r="D2047" t="s">
        <v>2224</v>
      </c>
      <c r="E2047" t="s">
        <v>4911</v>
      </c>
      <c r="G2047" t="s">
        <v>5635</v>
      </c>
      <c r="H2047">
        <v>10473</v>
      </c>
      <c r="I2047" t="s">
        <v>5696</v>
      </c>
      <c r="J2047" t="s">
        <v>5696</v>
      </c>
      <c r="O2047" t="s">
        <v>6784</v>
      </c>
      <c r="R2047" t="s">
        <v>6798</v>
      </c>
      <c r="U2047">
        <v>0</v>
      </c>
      <c r="V2047" t="s">
        <v>6833</v>
      </c>
      <c r="Y2047" t="s">
        <v>8743</v>
      </c>
      <c r="AA2047" t="s">
        <v>10796</v>
      </c>
      <c r="AB2047">
        <v>0</v>
      </c>
      <c r="AE2047">
        <v>0</v>
      </c>
      <c r="AF2047">
        <v>3</v>
      </c>
      <c r="AG2047">
        <v>2</v>
      </c>
      <c r="AH2047">
        <v>183.71</v>
      </c>
      <c r="AK2047" t="s">
        <v>10966</v>
      </c>
      <c r="AL2047">
        <v>55424</v>
      </c>
      <c r="AR2047">
        <v>2.5</v>
      </c>
      <c r="AS2047" t="s">
        <v>6807</v>
      </c>
      <c r="AT2047" t="s">
        <v>152</v>
      </c>
      <c r="AV2047" t="s">
        <v>11231</v>
      </c>
      <c r="AW2047" t="s">
        <v>11147</v>
      </c>
    </row>
    <row r="2048" spans="1:49">
      <c r="A2048" s="1">
        <f>HYPERLINK("https://lsnyc.legalserver.org/matter/dynamic-profile/view/1898051","19-1898051")</f>
        <v>0</v>
      </c>
      <c r="B2048" t="s">
        <v>296</v>
      </c>
      <c r="C2048" t="s">
        <v>379</v>
      </c>
      <c r="D2048" t="s">
        <v>2964</v>
      </c>
      <c r="E2048" t="s">
        <v>4912</v>
      </c>
      <c r="F2048" t="s">
        <v>5614</v>
      </c>
      <c r="G2048" t="s">
        <v>5692</v>
      </c>
      <c r="H2048">
        <v>10701</v>
      </c>
      <c r="I2048" t="s">
        <v>5696</v>
      </c>
      <c r="J2048" t="s">
        <v>5696</v>
      </c>
      <c r="O2048" t="s">
        <v>6748</v>
      </c>
      <c r="R2048" t="s">
        <v>6798</v>
      </c>
      <c r="U2048">
        <v>0</v>
      </c>
      <c r="V2048" t="s">
        <v>6833</v>
      </c>
      <c r="Y2048" t="s">
        <v>8744</v>
      </c>
      <c r="AA2048" t="s">
        <v>10797</v>
      </c>
      <c r="AB2048">
        <v>0</v>
      </c>
      <c r="AE2048">
        <v>0</v>
      </c>
      <c r="AF2048">
        <v>1</v>
      </c>
      <c r="AG2048">
        <v>0</v>
      </c>
      <c r="AH2048">
        <v>120.1</v>
      </c>
      <c r="AK2048" t="s">
        <v>10966</v>
      </c>
      <c r="AL2048">
        <v>15000</v>
      </c>
      <c r="AR2048">
        <v>1</v>
      </c>
      <c r="AS2048" t="s">
        <v>11142</v>
      </c>
      <c r="AT2048" t="s">
        <v>11186</v>
      </c>
      <c r="AV2048" t="s">
        <v>11231</v>
      </c>
      <c r="AW2048" t="s">
        <v>11142</v>
      </c>
    </row>
    <row r="2049" spans="1:49">
      <c r="A2049" s="1">
        <f>HYPERLINK("https://lsnyc.legalserver.org/matter/dynamic-profile/view/1903885","19-1903885")</f>
        <v>0</v>
      </c>
      <c r="B2049" t="s">
        <v>163</v>
      </c>
      <c r="C2049" t="s">
        <v>1544</v>
      </c>
      <c r="D2049" t="s">
        <v>2965</v>
      </c>
      <c r="E2049" t="s">
        <v>4913</v>
      </c>
      <c r="G2049" t="s">
        <v>5637</v>
      </c>
      <c r="H2049">
        <v>11236</v>
      </c>
      <c r="I2049" t="s">
        <v>5696</v>
      </c>
      <c r="J2049" t="s">
        <v>5696</v>
      </c>
      <c r="O2049" t="s">
        <v>6780</v>
      </c>
      <c r="R2049" t="s">
        <v>6799</v>
      </c>
      <c r="U2049">
        <v>0</v>
      </c>
      <c r="V2049" t="s">
        <v>6835</v>
      </c>
      <c r="Y2049" t="s">
        <v>8745</v>
      </c>
      <c r="AA2049" t="s">
        <v>10798</v>
      </c>
      <c r="AB2049">
        <v>0</v>
      </c>
      <c r="AE2049">
        <v>0</v>
      </c>
      <c r="AF2049">
        <v>3</v>
      </c>
      <c r="AG2049">
        <v>3</v>
      </c>
      <c r="AH2049">
        <v>93.67</v>
      </c>
      <c r="AK2049" t="s">
        <v>10966</v>
      </c>
      <c r="AL2049">
        <v>32400</v>
      </c>
      <c r="AR2049">
        <v>0.4</v>
      </c>
      <c r="AS2049" t="s">
        <v>6807</v>
      </c>
      <c r="AT2049" t="s">
        <v>163</v>
      </c>
      <c r="AV2049" t="s">
        <v>11231</v>
      </c>
      <c r="AW2049" t="s">
        <v>11235</v>
      </c>
    </row>
    <row r="2050" spans="1:49">
      <c r="A2050" s="1">
        <f>HYPERLINK("https://lsnyc.legalserver.org/matter/dynamic-profile/view/1906235","19-1906235")</f>
        <v>0</v>
      </c>
      <c r="B2050" t="s">
        <v>93</v>
      </c>
      <c r="C2050" t="s">
        <v>472</v>
      </c>
      <c r="D2050" t="s">
        <v>2419</v>
      </c>
      <c r="E2050" t="s">
        <v>4021</v>
      </c>
      <c r="F2050" t="s">
        <v>5447</v>
      </c>
      <c r="G2050" t="s">
        <v>5635</v>
      </c>
      <c r="H2050">
        <v>10455</v>
      </c>
      <c r="I2050" t="s">
        <v>5696</v>
      </c>
      <c r="J2050" t="s">
        <v>5696</v>
      </c>
      <c r="O2050" t="s">
        <v>6745</v>
      </c>
      <c r="R2050" t="s">
        <v>6793</v>
      </c>
      <c r="U2050">
        <v>0</v>
      </c>
      <c r="V2050" t="s">
        <v>6833</v>
      </c>
      <c r="Y2050" t="s">
        <v>7905</v>
      </c>
      <c r="AA2050" t="s">
        <v>9946</v>
      </c>
      <c r="AB2050">
        <v>0</v>
      </c>
      <c r="AE2050">
        <v>0</v>
      </c>
      <c r="AF2050">
        <v>1</v>
      </c>
      <c r="AG2050">
        <v>3</v>
      </c>
      <c r="AH2050">
        <v>18.92</v>
      </c>
      <c r="AK2050" t="s">
        <v>10966</v>
      </c>
      <c r="AL2050">
        <v>4870.8</v>
      </c>
      <c r="AR2050">
        <v>0</v>
      </c>
      <c r="AT2050" t="s">
        <v>93</v>
      </c>
      <c r="AV2050" t="s">
        <v>11231</v>
      </c>
      <c r="AW2050" t="s">
        <v>6821</v>
      </c>
    </row>
    <row r="2051" spans="1:49">
      <c r="A2051" s="1">
        <f>HYPERLINK("https://lsnyc.legalserver.org/matter/dynamic-profile/view/1897077","19-1897077")</f>
        <v>0</v>
      </c>
      <c r="B2051" t="s">
        <v>299</v>
      </c>
      <c r="C2051" t="s">
        <v>1545</v>
      </c>
      <c r="D2051" t="s">
        <v>2966</v>
      </c>
      <c r="E2051" t="s">
        <v>4914</v>
      </c>
      <c r="G2051" t="s">
        <v>5636</v>
      </c>
      <c r="H2051">
        <v>10303</v>
      </c>
      <c r="I2051" t="s">
        <v>5696</v>
      </c>
      <c r="J2051" t="s">
        <v>5696</v>
      </c>
      <c r="O2051" t="s">
        <v>6779</v>
      </c>
      <c r="R2051" t="s">
        <v>6799</v>
      </c>
      <c r="U2051">
        <v>0</v>
      </c>
      <c r="V2051" t="s">
        <v>6834</v>
      </c>
      <c r="Y2051" t="s">
        <v>8746</v>
      </c>
      <c r="AA2051" t="s">
        <v>10799</v>
      </c>
      <c r="AB2051">
        <v>0</v>
      </c>
      <c r="AE2051">
        <v>0</v>
      </c>
      <c r="AF2051">
        <v>4</v>
      </c>
      <c r="AG2051">
        <v>3</v>
      </c>
      <c r="AH2051">
        <v>441.94</v>
      </c>
      <c r="AK2051" t="s">
        <v>10966</v>
      </c>
      <c r="AL2051">
        <v>172400</v>
      </c>
      <c r="AR2051">
        <v>14.2</v>
      </c>
      <c r="AS2051" t="s">
        <v>6808</v>
      </c>
      <c r="AT2051" t="s">
        <v>11211</v>
      </c>
      <c r="AV2051" t="s">
        <v>11231</v>
      </c>
      <c r="AW2051" t="s">
        <v>11123</v>
      </c>
    </row>
    <row r="2052" spans="1:49">
      <c r="A2052" s="1">
        <f>HYPERLINK("https://lsnyc.legalserver.org/matter/dynamic-profile/view/1901041","19-1901041")</f>
        <v>0</v>
      </c>
      <c r="B2052" t="s">
        <v>88</v>
      </c>
      <c r="C2052" t="s">
        <v>795</v>
      </c>
      <c r="D2052" t="s">
        <v>356</v>
      </c>
      <c r="E2052" t="s">
        <v>4915</v>
      </c>
      <c r="F2052" t="s">
        <v>5137</v>
      </c>
      <c r="G2052" t="s">
        <v>5637</v>
      </c>
      <c r="H2052">
        <v>11226</v>
      </c>
      <c r="I2052" t="s">
        <v>5696</v>
      </c>
      <c r="J2052" t="s">
        <v>5696</v>
      </c>
      <c r="O2052" t="s">
        <v>6748</v>
      </c>
      <c r="R2052" t="s">
        <v>6795</v>
      </c>
      <c r="U2052">
        <v>1457</v>
      </c>
      <c r="V2052" t="s">
        <v>6835</v>
      </c>
      <c r="Y2052" t="s">
        <v>8747</v>
      </c>
      <c r="AA2052" t="s">
        <v>10800</v>
      </c>
      <c r="AB2052">
        <v>60</v>
      </c>
      <c r="AE2052">
        <v>14</v>
      </c>
      <c r="AF2052">
        <v>1</v>
      </c>
      <c r="AG2052">
        <v>1</v>
      </c>
      <c r="AH2052">
        <v>56.77</v>
      </c>
      <c r="AK2052" t="s">
        <v>10966</v>
      </c>
      <c r="AL2052">
        <v>9600</v>
      </c>
      <c r="AR2052">
        <v>1.1</v>
      </c>
      <c r="AS2052" t="s">
        <v>11116</v>
      </c>
      <c r="AT2052" t="s">
        <v>11185</v>
      </c>
      <c r="AV2052" t="s">
        <v>11231</v>
      </c>
      <c r="AW2052" t="s">
        <v>11120</v>
      </c>
    </row>
    <row r="2053" spans="1:49">
      <c r="A2053" s="1">
        <f>HYPERLINK("https://lsnyc.legalserver.org/matter/dynamic-profile/view/1902413","19-1902413")</f>
        <v>0</v>
      </c>
      <c r="B2053" t="s">
        <v>72</v>
      </c>
      <c r="C2053" t="s">
        <v>352</v>
      </c>
      <c r="D2053" t="s">
        <v>2967</v>
      </c>
      <c r="E2053" t="s">
        <v>4916</v>
      </c>
      <c r="F2053" t="s">
        <v>5615</v>
      </c>
      <c r="G2053" t="s">
        <v>5637</v>
      </c>
      <c r="H2053">
        <v>11213</v>
      </c>
      <c r="I2053" t="s">
        <v>5696</v>
      </c>
      <c r="J2053" t="s">
        <v>5696</v>
      </c>
      <c r="O2053" t="s">
        <v>6746</v>
      </c>
      <c r="R2053" t="s">
        <v>6793</v>
      </c>
      <c r="U2053">
        <v>0</v>
      </c>
      <c r="V2053" t="s">
        <v>6835</v>
      </c>
      <c r="Y2053" t="s">
        <v>8748</v>
      </c>
      <c r="AA2053" t="s">
        <v>10801</v>
      </c>
      <c r="AB2053">
        <v>0</v>
      </c>
      <c r="AE2053">
        <v>0</v>
      </c>
      <c r="AF2053">
        <v>1</v>
      </c>
      <c r="AG2053">
        <v>0</v>
      </c>
      <c r="AH2053">
        <v>39.14</v>
      </c>
      <c r="AK2053" t="s">
        <v>10974</v>
      </c>
      <c r="AL2053">
        <v>4888</v>
      </c>
      <c r="AR2053">
        <v>0.25</v>
      </c>
      <c r="AS2053" t="s">
        <v>6819</v>
      </c>
      <c r="AT2053" t="s">
        <v>141</v>
      </c>
      <c r="AV2053" t="s">
        <v>11231</v>
      </c>
      <c r="AW2053" t="s">
        <v>11140</v>
      </c>
    </row>
    <row r="2054" spans="1:49">
      <c r="A2054" s="1">
        <f>HYPERLINK("https://lsnyc.legalserver.org/matter/dynamic-profile/view/1904023","19-1904023")</f>
        <v>0</v>
      </c>
      <c r="B2054" t="s">
        <v>168</v>
      </c>
      <c r="C2054" t="s">
        <v>1546</v>
      </c>
      <c r="D2054" t="s">
        <v>1658</v>
      </c>
      <c r="E2054" t="s">
        <v>4917</v>
      </c>
      <c r="F2054" t="s">
        <v>5105</v>
      </c>
      <c r="G2054" t="s">
        <v>5637</v>
      </c>
      <c r="H2054">
        <v>11220</v>
      </c>
      <c r="I2054" t="s">
        <v>5696</v>
      </c>
      <c r="J2054" t="s">
        <v>5696</v>
      </c>
      <c r="O2054" t="s">
        <v>6756</v>
      </c>
      <c r="R2054" t="s">
        <v>6796</v>
      </c>
      <c r="U2054">
        <v>0</v>
      </c>
      <c r="V2054" t="s">
        <v>6835</v>
      </c>
      <c r="Y2054" t="s">
        <v>8749</v>
      </c>
      <c r="AA2054" t="s">
        <v>10802</v>
      </c>
      <c r="AB2054">
        <v>0</v>
      </c>
      <c r="AE2054">
        <v>0</v>
      </c>
      <c r="AF2054">
        <v>3</v>
      </c>
      <c r="AG2054">
        <v>2</v>
      </c>
      <c r="AH2054">
        <v>79.55</v>
      </c>
      <c r="AK2054" t="s">
        <v>10967</v>
      </c>
      <c r="AL2054">
        <v>24000</v>
      </c>
      <c r="AR2054">
        <v>3.15</v>
      </c>
      <c r="AS2054" t="s">
        <v>6820</v>
      </c>
      <c r="AT2054" t="s">
        <v>11209</v>
      </c>
      <c r="AV2054" t="s">
        <v>11231</v>
      </c>
      <c r="AW2054" t="s">
        <v>6825</v>
      </c>
    </row>
    <row r="2055" spans="1:49">
      <c r="A2055" s="1">
        <f>HYPERLINK("https://lsnyc.legalserver.org/matter/dynamic-profile/view/1904293","19-1904293")</f>
        <v>0</v>
      </c>
      <c r="B2055" t="s">
        <v>80</v>
      </c>
      <c r="C2055" t="s">
        <v>537</v>
      </c>
      <c r="D2055" t="s">
        <v>2968</v>
      </c>
      <c r="E2055" t="s">
        <v>4918</v>
      </c>
      <c r="F2055" t="s">
        <v>5548</v>
      </c>
      <c r="G2055" t="s">
        <v>5652</v>
      </c>
      <c r="H2055">
        <v>11692</v>
      </c>
      <c r="I2055" t="s">
        <v>5696</v>
      </c>
      <c r="J2055" t="s">
        <v>5696</v>
      </c>
      <c r="O2055" t="s">
        <v>6748</v>
      </c>
      <c r="R2055" t="s">
        <v>6793</v>
      </c>
      <c r="U2055">
        <v>1850</v>
      </c>
      <c r="V2055" t="s">
        <v>6837</v>
      </c>
      <c r="Y2055" t="s">
        <v>8750</v>
      </c>
      <c r="AA2055" t="s">
        <v>10803</v>
      </c>
      <c r="AB2055">
        <v>2</v>
      </c>
      <c r="AE2055">
        <v>-1</v>
      </c>
      <c r="AF2055">
        <v>1</v>
      </c>
      <c r="AG2055">
        <v>0</v>
      </c>
      <c r="AH2055">
        <v>86.47</v>
      </c>
      <c r="AK2055" t="s">
        <v>10966</v>
      </c>
      <c r="AL2055">
        <v>10800</v>
      </c>
      <c r="AR2055">
        <v>2.65</v>
      </c>
      <c r="AS2055" t="s">
        <v>6826</v>
      </c>
      <c r="AT2055" t="s">
        <v>11181</v>
      </c>
      <c r="AV2055" t="s">
        <v>11231</v>
      </c>
      <c r="AW2055" t="s">
        <v>6813</v>
      </c>
    </row>
    <row r="2056" spans="1:49">
      <c r="A2056" s="1">
        <f>HYPERLINK("https://lsnyc.legalserver.org/matter/dynamic-profile/view/1906328","19-1906328")</f>
        <v>0</v>
      </c>
      <c r="B2056" t="s">
        <v>69</v>
      </c>
      <c r="C2056" t="s">
        <v>1547</v>
      </c>
      <c r="D2056" t="s">
        <v>1873</v>
      </c>
      <c r="E2056" t="s">
        <v>4919</v>
      </c>
      <c r="F2056" t="s">
        <v>5175</v>
      </c>
      <c r="G2056" t="s">
        <v>5637</v>
      </c>
      <c r="H2056">
        <v>11212</v>
      </c>
      <c r="I2056" t="s">
        <v>5696</v>
      </c>
      <c r="J2056" t="s">
        <v>5696</v>
      </c>
      <c r="O2056" t="s">
        <v>6748</v>
      </c>
      <c r="R2056" t="s">
        <v>6793</v>
      </c>
      <c r="U2056">
        <v>1800</v>
      </c>
      <c r="V2056" t="s">
        <v>6835</v>
      </c>
      <c r="Y2056" t="s">
        <v>8751</v>
      </c>
      <c r="AA2056" t="s">
        <v>10804</v>
      </c>
      <c r="AB2056">
        <v>3</v>
      </c>
      <c r="AE2056">
        <v>1</v>
      </c>
      <c r="AF2056">
        <v>2</v>
      </c>
      <c r="AG2056">
        <v>2</v>
      </c>
      <c r="AH2056">
        <v>60.58</v>
      </c>
      <c r="AK2056" t="s">
        <v>10966</v>
      </c>
      <c r="AL2056">
        <v>15600</v>
      </c>
      <c r="AR2056">
        <v>1</v>
      </c>
      <c r="AS2056" t="s">
        <v>6827</v>
      </c>
      <c r="AT2056" t="s">
        <v>11192</v>
      </c>
      <c r="AV2056" t="s">
        <v>11231</v>
      </c>
      <c r="AW2056" t="s">
        <v>6827</v>
      </c>
    </row>
    <row r="2057" spans="1:49">
      <c r="A2057" s="1">
        <f>HYPERLINK("https://lsnyc.legalserver.org/matter/dynamic-profile/view/1895547","19-1895547")</f>
        <v>0</v>
      </c>
      <c r="B2057" t="s">
        <v>134</v>
      </c>
      <c r="C2057" t="s">
        <v>1548</v>
      </c>
      <c r="D2057" t="s">
        <v>1858</v>
      </c>
      <c r="E2057" t="s">
        <v>4920</v>
      </c>
      <c r="G2057" t="s">
        <v>5637</v>
      </c>
      <c r="H2057">
        <v>11221</v>
      </c>
      <c r="I2057" t="s">
        <v>5696</v>
      </c>
      <c r="J2057" t="s">
        <v>5696</v>
      </c>
      <c r="O2057" t="s">
        <v>6780</v>
      </c>
      <c r="R2057" t="s">
        <v>6799</v>
      </c>
      <c r="U2057">
        <v>0</v>
      </c>
      <c r="V2057" t="s">
        <v>6835</v>
      </c>
      <c r="Y2057" t="s">
        <v>8752</v>
      </c>
      <c r="AA2057" t="s">
        <v>10805</v>
      </c>
      <c r="AB2057">
        <v>0</v>
      </c>
      <c r="AE2057">
        <v>0</v>
      </c>
      <c r="AF2057">
        <v>2</v>
      </c>
      <c r="AG2057">
        <v>2</v>
      </c>
      <c r="AH2057">
        <v>180.68</v>
      </c>
      <c r="AL2057">
        <v>46524</v>
      </c>
      <c r="AR2057">
        <v>14.7</v>
      </c>
      <c r="AS2057" t="s">
        <v>6819</v>
      </c>
      <c r="AT2057" t="s">
        <v>144</v>
      </c>
      <c r="AV2057" t="s">
        <v>11231</v>
      </c>
      <c r="AW2057" t="s">
        <v>6820</v>
      </c>
    </row>
    <row r="2058" spans="1:49">
      <c r="A2058" s="1">
        <f>HYPERLINK("https://lsnyc.legalserver.org/matter/dynamic-profile/view/1893600","19-1893600")</f>
        <v>0</v>
      </c>
      <c r="B2058" t="s">
        <v>101</v>
      </c>
      <c r="C2058" t="s">
        <v>419</v>
      </c>
      <c r="D2058" t="s">
        <v>2969</v>
      </c>
      <c r="E2058" t="s">
        <v>4921</v>
      </c>
      <c r="F2058" t="s">
        <v>5143</v>
      </c>
      <c r="G2058" t="s">
        <v>5636</v>
      </c>
      <c r="H2058">
        <v>10314</v>
      </c>
      <c r="I2058" t="s">
        <v>5696</v>
      </c>
      <c r="J2058" t="s">
        <v>5696</v>
      </c>
      <c r="O2058" t="s">
        <v>6751</v>
      </c>
      <c r="R2058" t="s">
        <v>6794</v>
      </c>
      <c r="U2058">
        <v>0</v>
      </c>
      <c r="V2058" t="s">
        <v>6834</v>
      </c>
      <c r="Y2058" t="s">
        <v>8753</v>
      </c>
      <c r="AA2058" t="s">
        <v>10806</v>
      </c>
      <c r="AB2058">
        <v>0</v>
      </c>
      <c r="AE2058">
        <v>0</v>
      </c>
      <c r="AF2058">
        <v>2</v>
      </c>
      <c r="AG2058">
        <v>0</v>
      </c>
      <c r="AH2058">
        <v>36.92</v>
      </c>
      <c r="AK2058" t="s">
        <v>10966</v>
      </c>
      <c r="AL2058">
        <v>6244</v>
      </c>
      <c r="AR2058">
        <v>7.5</v>
      </c>
      <c r="AS2058" t="s">
        <v>6822</v>
      </c>
      <c r="AT2058" t="s">
        <v>11225</v>
      </c>
      <c r="AV2058" t="s">
        <v>11231</v>
      </c>
      <c r="AW2058" t="s">
        <v>11158</v>
      </c>
    </row>
    <row r="2059" spans="1:49">
      <c r="A2059" s="1">
        <f>HYPERLINK("https://lsnyc.legalserver.org/matter/dynamic-profile/view/1902174","19-1902174")</f>
        <v>0</v>
      </c>
      <c r="B2059" t="s">
        <v>149</v>
      </c>
      <c r="C2059" t="s">
        <v>1549</v>
      </c>
      <c r="D2059" t="s">
        <v>2970</v>
      </c>
      <c r="E2059" t="s">
        <v>4922</v>
      </c>
      <c r="G2059" t="s">
        <v>5636</v>
      </c>
      <c r="H2059">
        <v>10305</v>
      </c>
      <c r="I2059" t="s">
        <v>5696</v>
      </c>
      <c r="J2059" t="s">
        <v>5696</v>
      </c>
      <c r="O2059" t="s">
        <v>6779</v>
      </c>
      <c r="R2059" t="s">
        <v>6799</v>
      </c>
      <c r="U2059">
        <v>0</v>
      </c>
      <c r="V2059" t="s">
        <v>6834</v>
      </c>
      <c r="Y2059" t="s">
        <v>8754</v>
      </c>
      <c r="AA2059" t="s">
        <v>10807</v>
      </c>
      <c r="AB2059">
        <v>0</v>
      </c>
      <c r="AE2059">
        <v>0</v>
      </c>
      <c r="AF2059">
        <v>1</v>
      </c>
      <c r="AG2059">
        <v>1</v>
      </c>
      <c r="AH2059">
        <v>88.7</v>
      </c>
      <c r="AK2059" t="s">
        <v>10966</v>
      </c>
      <c r="AL2059">
        <v>15000</v>
      </c>
      <c r="AR2059">
        <v>9.1</v>
      </c>
      <c r="AS2059" t="s">
        <v>6813</v>
      </c>
      <c r="AT2059" t="s">
        <v>11211</v>
      </c>
      <c r="AV2059" t="s">
        <v>11231</v>
      </c>
      <c r="AW2059" t="s">
        <v>6811</v>
      </c>
    </row>
    <row r="2060" spans="1:49">
      <c r="A2060" s="1">
        <f>HYPERLINK("https://lsnyc.legalserver.org/matter/dynamic-profile/view/1906066","19-1906066")</f>
        <v>0</v>
      </c>
      <c r="B2060" t="s">
        <v>50</v>
      </c>
      <c r="C2060" t="s">
        <v>1550</v>
      </c>
      <c r="D2060" t="s">
        <v>2971</v>
      </c>
      <c r="E2060" t="s">
        <v>3665</v>
      </c>
      <c r="F2060" t="s">
        <v>5165</v>
      </c>
      <c r="G2060" t="s">
        <v>5635</v>
      </c>
      <c r="H2060">
        <v>10474</v>
      </c>
      <c r="I2060" t="s">
        <v>5695</v>
      </c>
      <c r="J2060" t="s">
        <v>5696</v>
      </c>
      <c r="O2060" t="s">
        <v>6753</v>
      </c>
      <c r="P2060" t="s">
        <v>5695</v>
      </c>
      <c r="R2060" t="s">
        <v>6793</v>
      </c>
      <c r="U2060">
        <v>1450</v>
      </c>
      <c r="V2060" t="s">
        <v>6833</v>
      </c>
      <c r="W2060" t="s">
        <v>6838</v>
      </c>
      <c r="Y2060" t="s">
        <v>8755</v>
      </c>
      <c r="AA2060" t="s">
        <v>10808</v>
      </c>
      <c r="AB2060">
        <v>47</v>
      </c>
      <c r="AC2060" t="s">
        <v>10929</v>
      </c>
      <c r="AD2060" t="s">
        <v>5741</v>
      </c>
      <c r="AE2060">
        <v>2</v>
      </c>
      <c r="AF2060">
        <v>2</v>
      </c>
      <c r="AG2060">
        <v>0</v>
      </c>
      <c r="AH2060">
        <v>366.65</v>
      </c>
      <c r="AK2060" t="s">
        <v>10966</v>
      </c>
      <c r="AL2060">
        <v>62000</v>
      </c>
      <c r="AR2060">
        <v>0</v>
      </c>
      <c r="AT2060" t="s">
        <v>11196</v>
      </c>
      <c r="AV2060" t="s">
        <v>11231</v>
      </c>
      <c r="AW2060" t="s">
        <v>6820</v>
      </c>
    </row>
    <row r="2061" spans="1:49">
      <c r="A2061" s="1">
        <f>HYPERLINK("https://lsnyc.legalserver.org/matter/dynamic-profile/view/1898955","19-1898955")</f>
        <v>0</v>
      </c>
      <c r="B2061" t="s">
        <v>116</v>
      </c>
      <c r="C2061" t="s">
        <v>1551</v>
      </c>
      <c r="D2061" t="s">
        <v>1549</v>
      </c>
      <c r="E2061" t="s">
        <v>4923</v>
      </c>
      <c r="G2061" t="s">
        <v>5644</v>
      </c>
      <c r="H2061">
        <v>11434</v>
      </c>
      <c r="I2061" t="s">
        <v>5696</v>
      </c>
      <c r="J2061" t="s">
        <v>5696</v>
      </c>
      <c r="O2061" t="s">
        <v>6767</v>
      </c>
      <c r="R2061" t="s">
        <v>6798</v>
      </c>
      <c r="U2061">
        <v>0</v>
      </c>
      <c r="V2061" t="s">
        <v>6837</v>
      </c>
      <c r="Y2061" t="s">
        <v>8756</v>
      </c>
      <c r="AA2061" t="s">
        <v>10809</v>
      </c>
      <c r="AB2061">
        <v>0</v>
      </c>
      <c r="AE2061">
        <v>0</v>
      </c>
      <c r="AF2061">
        <v>1</v>
      </c>
      <c r="AG2061">
        <v>0</v>
      </c>
      <c r="AH2061">
        <v>281.86</v>
      </c>
      <c r="AK2061" t="s">
        <v>10966</v>
      </c>
      <c r="AL2061">
        <v>35204</v>
      </c>
      <c r="AR2061">
        <v>2.1</v>
      </c>
      <c r="AS2061" t="s">
        <v>6813</v>
      </c>
      <c r="AT2061" t="s">
        <v>11184</v>
      </c>
      <c r="AV2061" t="s">
        <v>11231</v>
      </c>
      <c r="AW2061" t="s">
        <v>11156</v>
      </c>
    </row>
    <row r="2062" spans="1:49">
      <c r="A2062" s="1">
        <f>HYPERLINK("https://lsnyc.legalserver.org/matter/dynamic-profile/view/1899513","19-1899513")</f>
        <v>0</v>
      </c>
      <c r="B2062" t="s">
        <v>299</v>
      </c>
      <c r="C2062" t="s">
        <v>335</v>
      </c>
      <c r="D2062" t="s">
        <v>2972</v>
      </c>
      <c r="E2062" t="s">
        <v>4924</v>
      </c>
      <c r="G2062" t="s">
        <v>5636</v>
      </c>
      <c r="H2062">
        <v>10309</v>
      </c>
      <c r="I2062" t="s">
        <v>5696</v>
      </c>
      <c r="J2062" t="s">
        <v>5696</v>
      </c>
      <c r="O2062" t="s">
        <v>6779</v>
      </c>
      <c r="R2062" t="s">
        <v>6799</v>
      </c>
      <c r="U2062">
        <v>0</v>
      </c>
      <c r="V2062" t="s">
        <v>6834</v>
      </c>
      <c r="Y2062" t="s">
        <v>8757</v>
      </c>
      <c r="AA2062" t="s">
        <v>10810</v>
      </c>
      <c r="AB2062">
        <v>0</v>
      </c>
      <c r="AE2062">
        <v>0</v>
      </c>
      <c r="AF2062">
        <v>1</v>
      </c>
      <c r="AG2062">
        <v>2</v>
      </c>
      <c r="AH2062">
        <v>106.64</v>
      </c>
      <c r="AK2062" t="s">
        <v>10966</v>
      </c>
      <c r="AL2062">
        <v>22746</v>
      </c>
      <c r="AR2062">
        <v>9.5</v>
      </c>
      <c r="AS2062" t="s">
        <v>6807</v>
      </c>
      <c r="AT2062" t="s">
        <v>11211</v>
      </c>
      <c r="AV2062" t="s">
        <v>11231</v>
      </c>
      <c r="AW2062" t="s">
        <v>10954</v>
      </c>
    </row>
    <row r="2063" spans="1:49">
      <c r="A2063" s="1">
        <f>HYPERLINK("https://lsnyc.legalserver.org/matter/dynamic-profile/view/1903534","19-1903534")</f>
        <v>0</v>
      </c>
      <c r="B2063" t="s">
        <v>172</v>
      </c>
      <c r="C2063" t="s">
        <v>768</v>
      </c>
      <c r="D2063" t="s">
        <v>2973</v>
      </c>
      <c r="E2063" t="s">
        <v>4925</v>
      </c>
      <c r="F2063">
        <v>21</v>
      </c>
      <c r="G2063" t="s">
        <v>5638</v>
      </c>
      <c r="H2063">
        <v>10031</v>
      </c>
      <c r="I2063" t="s">
        <v>5696</v>
      </c>
      <c r="J2063" t="s">
        <v>5696</v>
      </c>
      <c r="O2063" t="s">
        <v>6777</v>
      </c>
      <c r="R2063" t="s">
        <v>6795</v>
      </c>
      <c r="U2063">
        <v>0</v>
      </c>
      <c r="V2063" t="s">
        <v>6836</v>
      </c>
      <c r="Y2063" t="s">
        <v>8758</v>
      </c>
      <c r="AA2063" t="s">
        <v>10811</v>
      </c>
      <c r="AB2063">
        <v>0</v>
      </c>
      <c r="AE2063">
        <v>0</v>
      </c>
      <c r="AF2063">
        <v>1</v>
      </c>
      <c r="AG2063">
        <v>0</v>
      </c>
      <c r="AH2063">
        <v>74.08</v>
      </c>
      <c r="AK2063" t="s">
        <v>10966</v>
      </c>
      <c r="AL2063">
        <v>9252</v>
      </c>
      <c r="AR2063">
        <v>6.25</v>
      </c>
      <c r="AS2063" t="s">
        <v>6820</v>
      </c>
      <c r="AT2063" t="s">
        <v>229</v>
      </c>
      <c r="AV2063" t="s">
        <v>11231</v>
      </c>
      <c r="AW2063" t="s">
        <v>11136</v>
      </c>
    </row>
    <row r="2064" spans="1:49">
      <c r="A2064" s="1">
        <f>HYPERLINK("https://lsnyc.legalserver.org/matter/dynamic-profile/view/1902893","19-1902893")</f>
        <v>0</v>
      </c>
      <c r="B2064" t="s">
        <v>227</v>
      </c>
      <c r="C2064" t="s">
        <v>785</v>
      </c>
      <c r="D2064" t="s">
        <v>2974</v>
      </c>
      <c r="E2064" t="s">
        <v>4926</v>
      </c>
      <c r="G2064" t="s">
        <v>5644</v>
      </c>
      <c r="H2064">
        <v>11434</v>
      </c>
      <c r="I2064" t="s">
        <v>5696</v>
      </c>
      <c r="J2064" t="s">
        <v>5696</v>
      </c>
      <c r="O2064" t="s">
        <v>6767</v>
      </c>
      <c r="R2064" t="s">
        <v>6798</v>
      </c>
      <c r="U2064">
        <v>0</v>
      </c>
      <c r="V2064" t="s">
        <v>6837</v>
      </c>
      <c r="Y2064" t="s">
        <v>8759</v>
      </c>
      <c r="AA2064" t="s">
        <v>10812</v>
      </c>
      <c r="AB2064">
        <v>0</v>
      </c>
      <c r="AE2064">
        <v>0</v>
      </c>
      <c r="AF2064">
        <v>1</v>
      </c>
      <c r="AG2064">
        <v>0</v>
      </c>
      <c r="AH2064">
        <v>336.27</v>
      </c>
      <c r="AK2064" t="s">
        <v>10966</v>
      </c>
      <c r="AL2064">
        <v>42000</v>
      </c>
      <c r="AR2064">
        <v>5.4</v>
      </c>
      <c r="AS2064" t="s">
        <v>6809</v>
      </c>
      <c r="AT2064" t="s">
        <v>11181</v>
      </c>
      <c r="AV2064" t="s">
        <v>11231</v>
      </c>
      <c r="AW2064" t="s">
        <v>11131</v>
      </c>
    </row>
    <row r="2065" spans="1:49">
      <c r="A2065" s="1">
        <f>HYPERLINK("https://lsnyc.legalserver.org/matter/dynamic-profile/view/1893863","19-1893863")</f>
        <v>0</v>
      </c>
      <c r="B2065" t="s">
        <v>149</v>
      </c>
      <c r="C2065" t="s">
        <v>334</v>
      </c>
      <c r="D2065" t="s">
        <v>2975</v>
      </c>
      <c r="E2065" t="s">
        <v>4927</v>
      </c>
      <c r="G2065" t="s">
        <v>5636</v>
      </c>
      <c r="H2065">
        <v>10309</v>
      </c>
      <c r="I2065" t="s">
        <v>5696</v>
      </c>
      <c r="J2065" t="s">
        <v>5696</v>
      </c>
      <c r="O2065" t="s">
        <v>6782</v>
      </c>
      <c r="R2065" t="s">
        <v>6799</v>
      </c>
      <c r="U2065">
        <v>0</v>
      </c>
      <c r="V2065" t="s">
        <v>6834</v>
      </c>
      <c r="Y2065" t="s">
        <v>8760</v>
      </c>
      <c r="AA2065" t="s">
        <v>10813</v>
      </c>
      <c r="AB2065">
        <v>0</v>
      </c>
      <c r="AE2065">
        <v>0</v>
      </c>
      <c r="AF2065">
        <v>5</v>
      </c>
      <c r="AG2065">
        <v>0</v>
      </c>
      <c r="AH2065">
        <v>295</v>
      </c>
      <c r="AK2065" t="s">
        <v>10966</v>
      </c>
      <c r="AL2065">
        <v>89000</v>
      </c>
      <c r="AR2065">
        <v>13.8</v>
      </c>
      <c r="AS2065" t="s">
        <v>6815</v>
      </c>
      <c r="AT2065" t="s">
        <v>11211</v>
      </c>
      <c r="AV2065" t="s">
        <v>11231</v>
      </c>
      <c r="AW2065" t="s">
        <v>11119</v>
      </c>
    </row>
    <row r="2066" spans="1:49">
      <c r="A2066" s="1">
        <f>HYPERLINK("https://lsnyc.legalserver.org/matter/dynamic-profile/view/1894970","19-1894970")</f>
        <v>0</v>
      </c>
      <c r="B2066" t="s">
        <v>149</v>
      </c>
      <c r="C2066" t="s">
        <v>1552</v>
      </c>
      <c r="D2066" t="s">
        <v>2976</v>
      </c>
      <c r="E2066" t="s">
        <v>4928</v>
      </c>
      <c r="G2066" t="s">
        <v>5636</v>
      </c>
      <c r="H2066">
        <v>10304</v>
      </c>
      <c r="I2066" t="s">
        <v>5696</v>
      </c>
      <c r="J2066" t="s">
        <v>5696</v>
      </c>
      <c r="O2066" t="s">
        <v>6779</v>
      </c>
      <c r="R2066" t="s">
        <v>6799</v>
      </c>
      <c r="U2066">
        <v>0</v>
      </c>
      <c r="V2066" t="s">
        <v>6834</v>
      </c>
      <c r="X2066" t="s">
        <v>6870</v>
      </c>
      <c r="Y2066" t="s">
        <v>8761</v>
      </c>
      <c r="AA2066" t="s">
        <v>10814</v>
      </c>
      <c r="AB2066">
        <v>0</v>
      </c>
      <c r="AE2066">
        <v>0</v>
      </c>
      <c r="AF2066">
        <v>2</v>
      </c>
      <c r="AG2066">
        <v>3</v>
      </c>
      <c r="AH2066">
        <v>318.2</v>
      </c>
      <c r="AK2066" t="s">
        <v>10966</v>
      </c>
      <c r="AL2066">
        <v>96000</v>
      </c>
      <c r="AR2066">
        <v>17.3</v>
      </c>
      <c r="AS2066" t="s">
        <v>6827</v>
      </c>
      <c r="AT2066" t="s">
        <v>11211</v>
      </c>
      <c r="AV2066" t="s">
        <v>11231</v>
      </c>
      <c r="AW2066" t="s">
        <v>10960</v>
      </c>
    </row>
    <row r="2067" spans="1:49">
      <c r="A2067" s="1">
        <f>HYPERLINK("https://lsnyc.legalserver.org/matter/dynamic-profile/view/1904511","19-1904511")</f>
        <v>0</v>
      </c>
      <c r="B2067" t="s">
        <v>148</v>
      </c>
      <c r="C2067" t="s">
        <v>1553</v>
      </c>
      <c r="D2067" t="s">
        <v>2977</v>
      </c>
      <c r="E2067" t="s">
        <v>4929</v>
      </c>
      <c r="F2067" t="s">
        <v>5616</v>
      </c>
      <c r="G2067" t="s">
        <v>5635</v>
      </c>
      <c r="H2067">
        <v>10461</v>
      </c>
      <c r="I2067" t="s">
        <v>5696</v>
      </c>
      <c r="J2067" t="s">
        <v>5696</v>
      </c>
      <c r="O2067" t="s">
        <v>6784</v>
      </c>
      <c r="R2067" t="s">
        <v>6798</v>
      </c>
      <c r="U2067">
        <v>0</v>
      </c>
      <c r="V2067" t="s">
        <v>6833</v>
      </c>
      <c r="Y2067" t="s">
        <v>8762</v>
      </c>
      <c r="AA2067" t="s">
        <v>10815</v>
      </c>
      <c r="AB2067">
        <v>0</v>
      </c>
      <c r="AE2067">
        <v>0</v>
      </c>
      <c r="AF2067">
        <v>1</v>
      </c>
      <c r="AG2067">
        <v>0</v>
      </c>
      <c r="AH2067">
        <v>228.7</v>
      </c>
      <c r="AL2067">
        <v>28564.08</v>
      </c>
      <c r="AR2067">
        <v>8.5</v>
      </c>
      <c r="AS2067" t="s">
        <v>6819</v>
      </c>
      <c r="AT2067" t="s">
        <v>296</v>
      </c>
      <c r="AV2067" t="s">
        <v>11231</v>
      </c>
      <c r="AW2067" t="s">
        <v>6810</v>
      </c>
    </row>
    <row r="2068" spans="1:49">
      <c r="A2068" s="1">
        <f>HYPERLINK("https://lsnyc.legalserver.org/matter/dynamic-profile/view/1903036","19-1903036")</f>
        <v>0</v>
      </c>
      <c r="B2068" t="s">
        <v>68</v>
      </c>
      <c r="C2068" t="s">
        <v>809</v>
      </c>
      <c r="D2068" t="s">
        <v>2978</v>
      </c>
      <c r="E2068" t="s">
        <v>4930</v>
      </c>
      <c r="F2068" t="s">
        <v>5617</v>
      </c>
      <c r="G2068" t="s">
        <v>5637</v>
      </c>
      <c r="H2068">
        <v>11206</v>
      </c>
      <c r="I2068" t="s">
        <v>5696</v>
      </c>
      <c r="J2068" t="s">
        <v>5696</v>
      </c>
      <c r="O2068" t="s">
        <v>6748</v>
      </c>
      <c r="R2068" t="s">
        <v>6793</v>
      </c>
      <c r="U2068">
        <v>1000</v>
      </c>
      <c r="V2068" t="s">
        <v>6835</v>
      </c>
      <c r="W2068" t="s">
        <v>6843</v>
      </c>
      <c r="Y2068" t="s">
        <v>7394</v>
      </c>
      <c r="AA2068" t="s">
        <v>10816</v>
      </c>
      <c r="AB2068">
        <v>300</v>
      </c>
      <c r="AE2068">
        <v>50</v>
      </c>
      <c r="AF2068">
        <v>3</v>
      </c>
      <c r="AG2068">
        <v>0</v>
      </c>
      <c r="AH2068">
        <v>162.14</v>
      </c>
      <c r="AK2068" t="s">
        <v>10966</v>
      </c>
      <c r="AL2068">
        <v>34584</v>
      </c>
      <c r="AR2068">
        <v>1</v>
      </c>
      <c r="AS2068" t="s">
        <v>6815</v>
      </c>
      <c r="AT2068" t="s">
        <v>11181</v>
      </c>
      <c r="AV2068" t="s">
        <v>11231</v>
      </c>
      <c r="AW2068" t="s">
        <v>11138</v>
      </c>
    </row>
    <row r="2069" spans="1:49">
      <c r="A2069" s="1">
        <f>HYPERLINK("https://lsnyc.legalserver.org/matter/dynamic-profile/view/1899621","19-1899621")</f>
        <v>0</v>
      </c>
      <c r="B2069" t="s">
        <v>189</v>
      </c>
      <c r="C2069" t="s">
        <v>1130</v>
      </c>
      <c r="D2069" t="s">
        <v>2979</v>
      </c>
      <c r="E2069" t="s">
        <v>4931</v>
      </c>
      <c r="F2069">
        <v>106</v>
      </c>
      <c r="G2069" t="s">
        <v>5644</v>
      </c>
      <c r="H2069">
        <v>11432</v>
      </c>
      <c r="I2069" t="s">
        <v>5696</v>
      </c>
      <c r="J2069" t="s">
        <v>5696</v>
      </c>
      <c r="O2069" t="s">
        <v>6758</v>
      </c>
      <c r="R2069" t="s">
        <v>6793</v>
      </c>
      <c r="U2069">
        <v>1630</v>
      </c>
      <c r="V2069" t="s">
        <v>6837</v>
      </c>
      <c r="Y2069" t="s">
        <v>8763</v>
      </c>
      <c r="AA2069" t="s">
        <v>10817</v>
      </c>
      <c r="AB2069">
        <v>57</v>
      </c>
      <c r="AE2069">
        <v>2</v>
      </c>
      <c r="AF2069">
        <v>1</v>
      </c>
      <c r="AG2069">
        <v>0</v>
      </c>
      <c r="AH2069">
        <v>124.9</v>
      </c>
      <c r="AK2069" t="s">
        <v>10966</v>
      </c>
      <c r="AL2069">
        <v>15600</v>
      </c>
      <c r="AR2069">
        <v>3.1</v>
      </c>
      <c r="AS2069" t="s">
        <v>11124</v>
      </c>
      <c r="AT2069" t="s">
        <v>11192</v>
      </c>
      <c r="AV2069" t="s">
        <v>11231</v>
      </c>
      <c r="AW2069" t="s">
        <v>11128</v>
      </c>
    </row>
    <row r="2070" spans="1:49">
      <c r="A2070" s="1">
        <f>HYPERLINK("https://lsnyc.legalserver.org/matter/dynamic-profile/view/1902287","19-1902287")</f>
        <v>0</v>
      </c>
      <c r="B2070" t="s">
        <v>152</v>
      </c>
      <c r="C2070" t="s">
        <v>851</v>
      </c>
      <c r="D2070" t="s">
        <v>1930</v>
      </c>
      <c r="E2070" t="s">
        <v>4932</v>
      </c>
      <c r="F2070" t="s">
        <v>5116</v>
      </c>
      <c r="G2070" t="s">
        <v>5635</v>
      </c>
      <c r="H2070">
        <v>10472</v>
      </c>
      <c r="I2070" t="s">
        <v>5696</v>
      </c>
      <c r="J2070" t="s">
        <v>5696</v>
      </c>
      <c r="O2070" t="s">
        <v>6784</v>
      </c>
      <c r="R2070" t="s">
        <v>6798</v>
      </c>
      <c r="U2070">
        <v>0</v>
      </c>
      <c r="V2070" t="s">
        <v>6833</v>
      </c>
      <c r="Y2070" t="s">
        <v>8764</v>
      </c>
      <c r="AA2070" t="s">
        <v>10818</v>
      </c>
      <c r="AB2070">
        <v>0</v>
      </c>
      <c r="AE2070">
        <v>0</v>
      </c>
      <c r="AF2070">
        <v>2</v>
      </c>
      <c r="AG2070">
        <v>0</v>
      </c>
      <c r="AH2070">
        <v>0</v>
      </c>
      <c r="AK2070" t="s">
        <v>10966</v>
      </c>
      <c r="AL2070">
        <v>0</v>
      </c>
      <c r="AR2070">
        <v>4.5</v>
      </c>
      <c r="AS2070" t="s">
        <v>6814</v>
      </c>
      <c r="AT2070" t="s">
        <v>296</v>
      </c>
      <c r="AV2070" t="s">
        <v>11231</v>
      </c>
      <c r="AW2070" t="s">
        <v>11140</v>
      </c>
    </row>
    <row r="2071" spans="1:49">
      <c r="A2071" s="1">
        <f>HYPERLINK("https://lsnyc.legalserver.org/matter/dynamic-profile/view/1905216","19-1905216")</f>
        <v>0</v>
      </c>
      <c r="B2071" t="s">
        <v>152</v>
      </c>
      <c r="C2071" t="s">
        <v>1554</v>
      </c>
      <c r="D2071" t="s">
        <v>2449</v>
      </c>
      <c r="E2071" t="s">
        <v>4933</v>
      </c>
      <c r="F2071" t="s">
        <v>5176</v>
      </c>
      <c r="G2071" t="s">
        <v>5635</v>
      </c>
      <c r="H2071">
        <v>10473</v>
      </c>
      <c r="I2071" t="s">
        <v>5696</v>
      </c>
      <c r="J2071" t="s">
        <v>5696</v>
      </c>
      <c r="O2071" t="s">
        <v>6784</v>
      </c>
      <c r="R2071" t="s">
        <v>6798</v>
      </c>
      <c r="U2071">
        <v>0</v>
      </c>
      <c r="V2071" t="s">
        <v>6833</v>
      </c>
      <c r="Y2071" t="s">
        <v>8765</v>
      </c>
      <c r="AA2071" t="s">
        <v>10819</v>
      </c>
      <c r="AB2071">
        <v>0</v>
      </c>
      <c r="AE2071">
        <v>0</v>
      </c>
      <c r="AF2071">
        <v>1</v>
      </c>
      <c r="AG2071">
        <v>1</v>
      </c>
      <c r="AH2071">
        <v>172.21</v>
      </c>
      <c r="AK2071" t="s">
        <v>10966</v>
      </c>
      <c r="AL2071">
        <v>29120</v>
      </c>
      <c r="AR2071">
        <v>4</v>
      </c>
      <c r="AS2071" t="s">
        <v>6822</v>
      </c>
      <c r="AT2071" t="s">
        <v>296</v>
      </c>
      <c r="AV2071" t="s">
        <v>11231</v>
      </c>
      <c r="AW2071" t="s">
        <v>6808</v>
      </c>
    </row>
    <row r="2072" spans="1:49">
      <c r="A2072" s="1">
        <f>HYPERLINK("https://lsnyc.legalserver.org/matter/dynamic-profile/view/1901883","19-1901883")</f>
        <v>0</v>
      </c>
      <c r="B2072" t="s">
        <v>116</v>
      </c>
      <c r="C2072" t="s">
        <v>624</v>
      </c>
      <c r="D2072" t="s">
        <v>2980</v>
      </c>
      <c r="E2072" t="s">
        <v>4934</v>
      </c>
      <c r="G2072" t="s">
        <v>5660</v>
      </c>
      <c r="H2072">
        <v>11423</v>
      </c>
      <c r="I2072" t="s">
        <v>5696</v>
      </c>
      <c r="J2072" t="s">
        <v>5696</v>
      </c>
      <c r="O2072" t="s">
        <v>6767</v>
      </c>
      <c r="R2072" t="s">
        <v>6798</v>
      </c>
      <c r="U2072">
        <v>0</v>
      </c>
      <c r="V2072" t="s">
        <v>6837</v>
      </c>
      <c r="Y2072" t="s">
        <v>8766</v>
      </c>
      <c r="AA2072" t="s">
        <v>10820</v>
      </c>
      <c r="AB2072">
        <v>0</v>
      </c>
      <c r="AE2072">
        <v>0</v>
      </c>
      <c r="AF2072">
        <v>2</v>
      </c>
      <c r="AG2072">
        <v>0</v>
      </c>
      <c r="AH2072">
        <v>184.51</v>
      </c>
      <c r="AK2072" t="s">
        <v>10966</v>
      </c>
      <c r="AL2072">
        <v>31200</v>
      </c>
      <c r="AR2072">
        <v>1.75</v>
      </c>
      <c r="AS2072" t="s">
        <v>6813</v>
      </c>
      <c r="AT2072" t="s">
        <v>11203</v>
      </c>
      <c r="AV2072" t="s">
        <v>11231</v>
      </c>
      <c r="AW2072" t="s">
        <v>11150</v>
      </c>
    </row>
    <row r="2073" spans="1:49">
      <c r="A2073" s="1">
        <f>HYPERLINK("https://lsnyc.legalserver.org/matter/dynamic-profile/view/1897988","19-1897988")</f>
        <v>0</v>
      </c>
      <c r="B2073" t="s">
        <v>302</v>
      </c>
      <c r="C2073" t="s">
        <v>597</v>
      </c>
      <c r="D2073" t="s">
        <v>549</v>
      </c>
      <c r="E2073" t="s">
        <v>3441</v>
      </c>
      <c r="F2073" t="s">
        <v>5160</v>
      </c>
      <c r="G2073" t="s">
        <v>5635</v>
      </c>
      <c r="H2073">
        <v>10451</v>
      </c>
      <c r="I2073" t="s">
        <v>5696</v>
      </c>
      <c r="J2073" t="s">
        <v>5696</v>
      </c>
      <c r="O2073" t="s">
        <v>6791</v>
      </c>
      <c r="R2073" t="s">
        <v>6795</v>
      </c>
      <c r="U2073">
        <v>0</v>
      </c>
      <c r="V2073" t="s">
        <v>6833</v>
      </c>
      <c r="Y2073" t="s">
        <v>8767</v>
      </c>
      <c r="AA2073" t="s">
        <v>10821</v>
      </c>
      <c r="AB2073">
        <v>0</v>
      </c>
      <c r="AE2073">
        <v>0</v>
      </c>
      <c r="AF2073">
        <v>1</v>
      </c>
      <c r="AG2073">
        <v>0</v>
      </c>
      <c r="AH2073">
        <v>164.2</v>
      </c>
      <c r="AK2073" t="s">
        <v>10966</v>
      </c>
      <c r="AL2073">
        <v>20508</v>
      </c>
      <c r="AR2073">
        <v>4.85</v>
      </c>
      <c r="AS2073" t="s">
        <v>6819</v>
      </c>
      <c r="AT2073" t="s">
        <v>302</v>
      </c>
      <c r="AV2073" t="s">
        <v>11231</v>
      </c>
      <c r="AW2073" t="s">
        <v>11142</v>
      </c>
    </row>
    <row r="2074" spans="1:49">
      <c r="A2074" s="1">
        <f>HYPERLINK("https://lsnyc.legalserver.org/matter/dynamic-profile/view/1904153","19-1904153")</f>
        <v>0</v>
      </c>
      <c r="B2074" t="s">
        <v>68</v>
      </c>
      <c r="C2074" t="s">
        <v>1555</v>
      </c>
      <c r="D2074" t="s">
        <v>2758</v>
      </c>
      <c r="E2074" t="s">
        <v>4935</v>
      </c>
      <c r="F2074" t="s">
        <v>5298</v>
      </c>
      <c r="G2074" t="s">
        <v>5637</v>
      </c>
      <c r="H2074">
        <v>11210</v>
      </c>
      <c r="I2074" t="s">
        <v>5696</v>
      </c>
      <c r="J2074" t="s">
        <v>5696</v>
      </c>
      <c r="O2074" t="s">
        <v>6748</v>
      </c>
      <c r="R2074" t="s">
        <v>6793</v>
      </c>
      <c r="U2074">
        <v>970</v>
      </c>
      <c r="V2074" t="s">
        <v>6835</v>
      </c>
      <c r="W2074" t="s">
        <v>6853</v>
      </c>
      <c r="Y2074" t="s">
        <v>8768</v>
      </c>
      <c r="AA2074" t="s">
        <v>10822</v>
      </c>
      <c r="AB2074">
        <v>42</v>
      </c>
      <c r="AC2074" t="s">
        <v>10929</v>
      </c>
      <c r="AD2074" t="s">
        <v>10945</v>
      </c>
      <c r="AE2074">
        <v>41</v>
      </c>
      <c r="AF2074">
        <v>1</v>
      </c>
      <c r="AG2074">
        <v>0</v>
      </c>
      <c r="AH2074">
        <v>153.72</v>
      </c>
      <c r="AK2074" t="s">
        <v>10966</v>
      </c>
      <c r="AL2074">
        <v>19200</v>
      </c>
      <c r="AR2074">
        <v>0.6</v>
      </c>
      <c r="AS2074" t="s">
        <v>6818</v>
      </c>
      <c r="AT2074" t="s">
        <v>11188</v>
      </c>
      <c r="AV2074" t="s">
        <v>11231</v>
      </c>
      <c r="AW2074" t="s">
        <v>6818</v>
      </c>
    </row>
    <row r="2075" spans="1:49">
      <c r="A2075" s="1">
        <f>HYPERLINK("https://lsnyc.legalserver.org/matter/dynamic-profile/view/1902618","19-1902618")</f>
        <v>0</v>
      </c>
      <c r="B2075" t="s">
        <v>101</v>
      </c>
      <c r="C2075" t="s">
        <v>1556</v>
      </c>
      <c r="D2075" t="s">
        <v>2981</v>
      </c>
      <c r="E2075" t="s">
        <v>4936</v>
      </c>
      <c r="G2075" t="s">
        <v>5636</v>
      </c>
      <c r="H2075">
        <v>10303</v>
      </c>
      <c r="I2075" t="s">
        <v>5695</v>
      </c>
      <c r="J2075" t="s">
        <v>5696</v>
      </c>
      <c r="O2075" t="s">
        <v>6762</v>
      </c>
      <c r="R2075" t="s">
        <v>6793</v>
      </c>
      <c r="U2075">
        <v>0</v>
      </c>
      <c r="V2075" t="s">
        <v>6834</v>
      </c>
      <c r="Y2075" t="s">
        <v>8769</v>
      </c>
      <c r="AA2075" t="s">
        <v>10823</v>
      </c>
      <c r="AB2075">
        <v>0</v>
      </c>
      <c r="AE2075">
        <v>0</v>
      </c>
      <c r="AF2075">
        <v>1</v>
      </c>
      <c r="AG2075">
        <v>0</v>
      </c>
      <c r="AH2075">
        <v>175.01</v>
      </c>
      <c r="AK2075" t="s">
        <v>10966</v>
      </c>
      <c r="AL2075">
        <v>21859.2</v>
      </c>
      <c r="AR2075">
        <v>3.3</v>
      </c>
      <c r="AS2075" t="s">
        <v>6819</v>
      </c>
      <c r="AT2075" t="s">
        <v>264</v>
      </c>
      <c r="AU2075" t="s">
        <v>11228</v>
      </c>
      <c r="AV2075" t="s">
        <v>11231</v>
      </c>
      <c r="AW2075" t="s">
        <v>11137</v>
      </c>
    </row>
    <row r="2076" spans="1:49">
      <c r="A2076" s="1">
        <f>HYPERLINK("https://lsnyc.legalserver.org/matter/dynamic-profile/view/1905329","19-1905329")</f>
        <v>0</v>
      </c>
      <c r="B2076" t="s">
        <v>116</v>
      </c>
      <c r="C2076" t="s">
        <v>585</v>
      </c>
      <c r="D2076" t="s">
        <v>2681</v>
      </c>
      <c r="E2076" t="s">
        <v>4937</v>
      </c>
      <c r="G2076" t="s">
        <v>5644</v>
      </c>
      <c r="H2076">
        <v>11433</v>
      </c>
      <c r="I2076" t="s">
        <v>5696</v>
      </c>
      <c r="J2076" t="s">
        <v>5696</v>
      </c>
      <c r="O2076" t="s">
        <v>6778</v>
      </c>
      <c r="R2076" t="s">
        <v>6798</v>
      </c>
      <c r="U2076">
        <v>0</v>
      </c>
      <c r="V2076" t="s">
        <v>6837</v>
      </c>
      <c r="Y2076" t="s">
        <v>8770</v>
      </c>
      <c r="AA2076" t="s">
        <v>10824</v>
      </c>
      <c r="AB2076">
        <v>0</v>
      </c>
      <c r="AE2076">
        <v>0</v>
      </c>
      <c r="AF2076">
        <v>2</v>
      </c>
      <c r="AG2076">
        <v>0</v>
      </c>
      <c r="AH2076">
        <v>132.35</v>
      </c>
      <c r="AK2076" t="s">
        <v>10966</v>
      </c>
      <c r="AL2076">
        <v>22380</v>
      </c>
      <c r="AR2076">
        <v>1.2</v>
      </c>
      <c r="AS2076" t="s">
        <v>6819</v>
      </c>
      <c r="AT2076" t="s">
        <v>11203</v>
      </c>
      <c r="AV2076" t="s">
        <v>11231</v>
      </c>
      <c r="AW2076" t="s">
        <v>6828</v>
      </c>
    </row>
    <row r="2077" spans="1:49">
      <c r="A2077" s="1">
        <f>HYPERLINK("https://lsnyc.legalserver.org/matter/dynamic-profile/view/1899182","19-1899182")</f>
        <v>0</v>
      </c>
      <c r="B2077" t="s">
        <v>174</v>
      </c>
      <c r="C2077" t="s">
        <v>1557</v>
      </c>
      <c r="D2077" t="s">
        <v>2982</v>
      </c>
      <c r="E2077" t="s">
        <v>4938</v>
      </c>
      <c r="G2077" t="s">
        <v>5637</v>
      </c>
      <c r="H2077">
        <v>11207</v>
      </c>
      <c r="I2077" t="s">
        <v>5696</v>
      </c>
      <c r="J2077" t="s">
        <v>5696</v>
      </c>
      <c r="O2077" t="s">
        <v>6776</v>
      </c>
      <c r="R2077" t="s">
        <v>6798</v>
      </c>
      <c r="U2077">
        <v>0</v>
      </c>
      <c r="V2077" t="s">
        <v>6835</v>
      </c>
      <c r="Y2077" t="s">
        <v>8771</v>
      </c>
      <c r="AA2077" t="s">
        <v>10825</v>
      </c>
      <c r="AB2077">
        <v>0</v>
      </c>
      <c r="AE2077">
        <v>0</v>
      </c>
      <c r="AF2077">
        <v>3</v>
      </c>
      <c r="AG2077">
        <v>3</v>
      </c>
      <c r="AH2077">
        <v>72.84999999999999</v>
      </c>
      <c r="AK2077" t="s">
        <v>10966</v>
      </c>
      <c r="AL2077">
        <v>25200</v>
      </c>
      <c r="AR2077">
        <v>7.75</v>
      </c>
      <c r="AS2077" t="s">
        <v>11143</v>
      </c>
      <c r="AT2077" t="s">
        <v>144</v>
      </c>
      <c r="AV2077" t="s">
        <v>11231</v>
      </c>
      <c r="AW2077" t="s">
        <v>10957</v>
      </c>
    </row>
    <row r="2078" spans="1:49">
      <c r="A2078" s="1">
        <f>HYPERLINK("https://lsnyc.legalserver.org/matter/dynamic-profile/view/1901166","19-1901166")</f>
        <v>0</v>
      </c>
      <c r="B2078" t="s">
        <v>88</v>
      </c>
      <c r="C2078" t="s">
        <v>1558</v>
      </c>
      <c r="D2078" t="s">
        <v>1667</v>
      </c>
      <c r="E2078" t="s">
        <v>4939</v>
      </c>
      <c r="F2078" t="s">
        <v>5283</v>
      </c>
      <c r="G2078" t="s">
        <v>5637</v>
      </c>
      <c r="H2078">
        <v>11203</v>
      </c>
      <c r="I2078" t="s">
        <v>5696</v>
      </c>
      <c r="J2078" t="s">
        <v>5696</v>
      </c>
      <c r="O2078" t="s">
        <v>6748</v>
      </c>
      <c r="R2078" t="s">
        <v>6793</v>
      </c>
      <c r="U2078">
        <v>800</v>
      </c>
      <c r="V2078" t="s">
        <v>6835</v>
      </c>
      <c r="Y2078" t="s">
        <v>8772</v>
      </c>
      <c r="AA2078" t="s">
        <v>10826</v>
      </c>
      <c r="AB2078">
        <v>2</v>
      </c>
      <c r="AE2078">
        <v>11</v>
      </c>
      <c r="AF2078">
        <v>1</v>
      </c>
      <c r="AG2078">
        <v>0</v>
      </c>
      <c r="AH2078">
        <v>192.15</v>
      </c>
      <c r="AK2078" t="s">
        <v>10966</v>
      </c>
      <c r="AL2078">
        <v>24000</v>
      </c>
      <c r="AR2078">
        <v>1</v>
      </c>
      <c r="AS2078" t="s">
        <v>11143</v>
      </c>
      <c r="AT2078" t="s">
        <v>11192</v>
      </c>
      <c r="AV2078" t="s">
        <v>11231</v>
      </c>
      <c r="AW2078" t="s">
        <v>11143</v>
      </c>
    </row>
    <row r="2079" spans="1:49">
      <c r="A2079" s="1">
        <f>HYPERLINK("https://lsnyc.legalserver.org/matter/dynamic-profile/view/1903260","19-1903260")</f>
        <v>0</v>
      </c>
      <c r="B2079" t="s">
        <v>237</v>
      </c>
      <c r="C2079" t="s">
        <v>1559</v>
      </c>
      <c r="D2079" t="s">
        <v>2983</v>
      </c>
      <c r="E2079" t="s">
        <v>4940</v>
      </c>
      <c r="G2079" t="s">
        <v>5658</v>
      </c>
      <c r="H2079">
        <v>11416</v>
      </c>
      <c r="I2079" t="s">
        <v>5696</v>
      </c>
      <c r="J2079" t="s">
        <v>5696</v>
      </c>
      <c r="O2079" t="s">
        <v>6748</v>
      </c>
      <c r="R2079" t="s">
        <v>6793</v>
      </c>
      <c r="U2079">
        <v>850</v>
      </c>
      <c r="V2079" t="s">
        <v>6837</v>
      </c>
      <c r="W2079" t="s">
        <v>6843</v>
      </c>
      <c r="Y2079" t="s">
        <v>8773</v>
      </c>
      <c r="AA2079" t="s">
        <v>10827</v>
      </c>
      <c r="AB2079">
        <v>2</v>
      </c>
      <c r="AC2079" t="s">
        <v>10930</v>
      </c>
      <c r="AD2079" t="s">
        <v>5741</v>
      </c>
      <c r="AE2079">
        <v>11</v>
      </c>
      <c r="AF2079">
        <v>1</v>
      </c>
      <c r="AG2079">
        <v>0</v>
      </c>
      <c r="AH2079">
        <v>127.21</v>
      </c>
      <c r="AK2079" t="s">
        <v>10967</v>
      </c>
      <c r="AL2079">
        <v>15888</v>
      </c>
      <c r="AR2079">
        <v>0</v>
      </c>
      <c r="AT2079" t="s">
        <v>237</v>
      </c>
      <c r="AU2079" t="s">
        <v>11228</v>
      </c>
      <c r="AV2079" t="s">
        <v>11231</v>
      </c>
      <c r="AW2079" t="s">
        <v>11139</v>
      </c>
    </row>
    <row r="2080" spans="1:49">
      <c r="A2080" s="1">
        <f>HYPERLINK("https://lsnyc.legalserver.org/matter/dynamic-profile/view/1899035","19-1899035")</f>
        <v>0</v>
      </c>
      <c r="B2080" t="s">
        <v>197</v>
      </c>
      <c r="C2080" t="s">
        <v>731</v>
      </c>
      <c r="D2080" t="s">
        <v>1641</v>
      </c>
      <c r="E2080" t="s">
        <v>4941</v>
      </c>
      <c r="F2080" t="s">
        <v>5154</v>
      </c>
      <c r="G2080" t="s">
        <v>5638</v>
      </c>
      <c r="H2080">
        <v>10035</v>
      </c>
      <c r="I2080" t="s">
        <v>5696</v>
      </c>
      <c r="J2080" t="s">
        <v>5696</v>
      </c>
      <c r="O2080" t="s">
        <v>6748</v>
      </c>
      <c r="R2080" t="s">
        <v>6794</v>
      </c>
      <c r="U2080">
        <v>215</v>
      </c>
      <c r="V2080" t="s">
        <v>6836</v>
      </c>
      <c r="Y2080" t="s">
        <v>8774</v>
      </c>
      <c r="AA2080" t="s">
        <v>10828</v>
      </c>
      <c r="AB2080">
        <v>0</v>
      </c>
      <c r="AC2080" t="s">
        <v>10940</v>
      </c>
      <c r="AD2080" t="s">
        <v>5741</v>
      </c>
      <c r="AE2080">
        <v>62</v>
      </c>
      <c r="AF2080">
        <v>1</v>
      </c>
      <c r="AG2080">
        <v>0</v>
      </c>
      <c r="AH2080">
        <v>17.29</v>
      </c>
      <c r="AK2080" t="s">
        <v>10966</v>
      </c>
      <c r="AL2080">
        <v>2160</v>
      </c>
      <c r="AR2080">
        <v>1</v>
      </c>
      <c r="AS2080" t="s">
        <v>11156</v>
      </c>
      <c r="AT2080" t="s">
        <v>11184</v>
      </c>
      <c r="AV2080" t="s">
        <v>11231</v>
      </c>
      <c r="AW2080" t="s">
        <v>11156</v>
      </c>
    </row>
    <row r="2081" spans="1:49">
      <c r="A2081" s="1">
        <f>HYPERLINK("https://lsnyc.legalserver.org/matter/dynamic-profile/view/1905569","19-1905569")</f>
        <v>0</v>
      </c>
      <c r="B2081" t="s">
        <v>195</v>
      </c>
      <c r="C2081" t="s">
        <v>971</v>
      </c>
      <c r="D2081" t="s">
        <v>2414</v>
      </c>
      <c r="E2081" t="s">
        <v>4942</v>
      </c>
      <c r="F2081" t="s">
        <v>5400</v>
      </c>
      <c r="G2081" t="s">
        <v>5635</v>
      </c>
      <c r="H2081">
        <v>10453</v>
      </c>
      <c r="I2081" t="s">
        <v>5695</v>
      </c>
      <c r="J2081" t="s">
        <v>5696</v>
      </c>
      <c r="K2081" t="s">
        <v>6708</v>
      </c>
      <c r="O2081" t="s">
        <v>6747</v>
      </c>
      <c r="P2081" t="s">
        <v>5697</v>
      </c>
      <c r="R2081" t="s">
        <v>6793</v>
      </c>
      <c r="U2081">
        <v>1066</v>
      </c>
      <c r="V2081" t="s">
        <v>6833</v>
      </c>
      <c r="W2081" t="s">
        <v>6839</v>
      </c>
      <c r="Y2081" t="s">
        <v>8109</v>
      </c>
      <c r="AA2081" t="s">
        <v>10829</v>
      </c>
      <c r="AB2081">
        <v>0</v>
      </c>
      <c r="AC2081" t="s">
        <v>10941</v>
      </c>
      <c r="AD2081" t="s">
        <v>5741</v>
      </c>
      <c r="AE2081">
        <v>35</v>
      </c>
      <c r="AF2081">
        <v>3</v>
      </c>
      <c r="AG2081">
        <v>3</v>
      </c>
      <c r="AH2081">
        <v>80.17</v>
      </c>
      <c r="AK2081" t="s">
        <v>10966</v>
      </c>
      <c r="AL2081">
        <v>27732</v>
      </c>
      <c r="AR2081">
        <v>0</v>
      </c>
      <c r="AT2081" t="s">
        <v>11196</v>
      </c>
      <c r="AV2081" t="s">
        <v>11231</v>
      </c>
      <c r="AW2081" t="s">
        <v>6819</v>
      </c>
    </row>
    <row r="2082" spans="1:49">
      <c r="A2082" s="1">
        <f>HYPERLINK("https://lsnyc.legalserver.org/matter/dynamic-profile/view/1902819","19-1902819")</f>
        <v>0</v>
      </c>
      <c r="B2082" t="s">
        <v>115</v>
      </c>
      <c r="C2082" t="s">
        <v>343</v>
      </c>
      <c r="D2082" t="s">
        <v>2984</v>
      </c>
      <c r="E2082" t="s">
        <v>4943</v>
      </c>
      <c r="G2082" t="s">
        <v>5662</v>
      </c>
      <c r="H2082">
        <v>11368</v>
      </c>
      <c r="I2082" t="s">
        <v>5696</v>
      </c>
      <c r="J2082" t="s">
        <v>5696</v>
      </c>
      <c r="O2082" t="s">
        <v>6778</v>
      </c>
      <c r="R2082" t="s">
        <v>6798</v>
      </c>
      <c r="U2082">
        <v>0</v>
      </c>
      <c r="V2082" t="s">
        <v>6837</v>
      </c>
      <c r="Y2082" t="s">
        <v>8775</v>
      </c>
      <c r="AA2082" t="s">
        <v>10830</v>
      </c>
      <c r="AB2082">
        <v>0</v>
      </c>
      <c r="AE2082">
        <v>0</v>
      </c>
      <c r="AF2082">
        <v>5</v>
      </c>
      <c r="AG2082">
        <v>0</v>
      </c>
      <c r="AH2082">
        <v>361.95</v>
      </c>
      <c r="AK2082" t="s">
        <v>10967</v>
      </c>
      <c r="AL2082">
        <v>109200</v>
      </c>
      <c r="AR2082">
        <v>2.75</v>
      </c>
      <c r="AS2082" t="s">
        <v>11131</v>
      </c>
      <c r="AT2082" t="s">
        <v>169</v>
      </c>
      <c r="AV2082" t="s">
        <v>11231</v>
      </c>
      <c r="AW2082" t="s">
        <v>11133</v>
      </c>
    </row>
    <row r="2083" spans="1:49">
      <c r="A2083" s="1">
        <f>HYPERLINK("https://lsnyc.legalserver.org/matter/dynamic-profile/view/1902341","19-1902341")</f>
        <v>0</v>
      </c>
      <c r="B2083" t="s">
        <v>292</v>
      </c>
      <c r="C2083" t="s">
        <v>877</v>
      </c>
      <c r="D2083" t="s">
        <v>480</v>
      </c>
      <c r="E2083" t="s">
        <v>4944</v>
      </c>
      <c r="F2083" t="s">
        <v>5145</v>
      </c>
      <c r="G2083" t="s">
        <v>5635</v>
      </c>
      <c r="H2083">
        <v>10462</v>
      </c>
      <c r="I2083" t="s">
        <v>5696</v>
      </c>
      <c r="J2083" t="s">
        <v>5696</v>
      </c>
      <c r="O2083" t="s">
        <v>6784</v>
      </c>
      <c r="R2083" t="s">
        <v>6798</v>
      </c>
      <c r="U2083">
        <v>0</v>
      </c>
      <c r="V2083" t="s">
        <v>6833</v>
      </c>
      <c r="Y2083" t="s">
        <v>8776</v>
      </c>
      <c r="AA2083" t="s">
        <v>10831</v>
      </c>
      <c r="AB2083">
        <v>0</v>
      </c>
      <c r="AE2083">
        <v>0</v>
      </c>
      <c r="AF2083">
        <v>1</v>
      </c>
      <c r="AG2083">
        <v>2</v>
      </c>
      <c r="AH2083">
        <v>234.41</v>
      </c>
      <c r="AK2083" t="s">
        <v>10966</v>
      </c>
      <c r="AL2083">
        <v>50000</v>
      </c>
      <c r="AR2083">
        <v>13.5</v>
      </c>
      <c r="AS2083" t="s">
        <v>6821</v>
      </c>
      <c r="AT2083" t="s">
        <v>296</v>
      </c>
      <c r="AV2083" t="s">
        <v>11231</v>
      </c>
      <c r="AW2083" t="s">
        <v>11140</v>
      </c>
    </row>
    <row r="2084" spans="1:49">
      <c r="A2084" s="1">
        <f>HYPERLINK("https://lsnyc.legalserver.org/matter/dynamic-profile/view/1897779","19-1897779")</f>
        <v>0</v>
      </c>
      <c r="B2084" t="s">
        <v>117</v>
      </c>
      <c r="C2084" t="s">
        <v>335</v>
      </c>
      <c r="D2084" t="s">
        <v>2175</v>
      </c>
      <c r="E2084" t="s">
        <v>4945</v>
      </c>
      <c r="F2084" t="s">
        <v>5445</v>
      </c>
      <c r="G2084" t="s">
        <v>5637</v>
      </c>
      <c r="H2084">
        <v>11226</v>
      </c>
      <c r="I2084" t="s">
        <v>5696</v>
      </c>
      <c r="J2084" t="s">
        <v>5696</v>
      </c>
      <c r="O2084" t="s">
        <v>6748</v>
      </c>
      <c r="R2084" t="s">
        <v>6793</v>
      </c>
      <c r="U2084">
        <v>1087.36</v>
      </c>
      <c r="V2084" t="s">
        <v>6835</v>
      </c>
      <c r="W2084" t="s">
        <v>6841</v>
      </c>
      <c r="Y2084" t="s">
        <v>8777</v>
      </c>
      <c r="AA2084" t="s">
        <v>10832</v>
      </c>
      <c r="AB2084">
        <v>48</v>
      </c>
      <c r="AC2084" t="s">
        <v>10929</v>
      </c>
      <c r="AD2084" t="s">
        <v>10946</v>
      </c>
      <c r="AE2084">
        <v>21</v>
      </c>
      <c r="AF2084">
        <v>1</v>
      </c>
      <c r="AG2084">
        <v>1</v>
      </c>
      <c r="AH2084">
        <v>54.71</v>
      </c>
      <c r="AK2084" t="s">
        <v>10966</v>
      </c>
      <c r="AL2084">
        <v>9252</v>
      </c>
      <c r="AR2084">
        <v>3</v>
      </c>
      <c r="AS2084" t="s">
        <v>11132</v>
      </c>
      <c r="AT2084" t="s">
        <v>11184</v>
      </c>
      <c r="AV2084" t="s">
        <v>11231</v>
      </c>
      <c r="AW2084" t="s">
        <v>11129</v>
      </c>
    </row>
    <row r="2085" spans="1:49">
      <c r="A2085" s="1">
        <f>HYPERLINK("https://lsnyc.legalserver.org/matter/dynamic-profile/view/1896671","19-1896671")</f>
        <v>0</v>
      </c>
      <c r="B2085" t="s">
        <v>99</v>
      </c>
      <c r="C2085" t="s">
        <v>1560</v>
      </c>
      <c r="D2085" t="s">
        <v>2985</v>
      </c>
      <c r="E2085" t="s">
        <v>4946</v>
      </c>
      <c r="G2085" t="s">
        <v>5637</v>
      </c>
      <c r="H2085">
        <v>11210</v>
      </c>
      <c r="I2085" t="s">
        <v>5696</v>
      </c>
      <c r="J2085" t="s">
        <v>5696</v>
      </c>
      <c r="O2085" t="s">
        <v>6754</v>
      </c>
      <c r="R2085" t="s">
        <v>6797</v>
      </c>
      <c r="U2085">
        <v>0</v>
      </c>
      <c r="V2085" t="s">
        <v>6835</v>
      </c>
      <c r="Y2085" t="s">
        <v>8778</v>
      </c>
      <c r="AA2085" t="s">
        <v>10833</v>
      </c>
      <c r="AB2085">
        <v>0</v>
      </c>
      <c r="AE2085">
        <v>0</v>
      </c>
      <c r="AF2085">
        <v>1</v>
      </c>
      <c r="AG2085">
        <v>0</v>
      </c>
      <c r="AH2085">
        <v>137.87</v>
      </c>
      <c r="AK2085" t="s">
        <v>10966</v>
      </c>
      <c r="AL2085">
        <v>17220</v>
      </c>
      <c r="AR2085">
        <v>52.3</v>
      </c>
      <c r="AS2085" t="s">
        <v>6827</v>
      </c>
      <c r="AT2085" t="s">
        <v>99</v>
      </c>
      <c r="AV2085" t="s">
        <v>11231</v>
      </c>
      <c r="AW2085" t="s">
        <v>11122</v>
      </c>
    </row>
    <row r="2086" spans="1:49">
      <c r="A2086" s="1">
        <f>HYPERLINK("https://lsnyc.legalserver.org/matter/dynamic-profile/view/1901530","19-1901530")</f>
        <v>0</v>
      </c>
      <c r="B2086" t="s">
        <v>239</v>
      </c>
      <c r="C2086" t="s">
        <v>419</v>
      </c>
      <c r="D2086" t="s">
        <v>2265</v>
      </c>
      <c r="E2086" t="s">
        <v>4947</v>
      </c>
      <c r="G2086" t="s">
        <v>5637</v>
      </c>
      <c r="H2086">
        <v>11238</v>
      </c>
      <c r="I2086" t="s">
        <v>5696</v>
      </c>
      <c r="J2086" t="s">
        <v>5696</v>
      </c>
      <c r="O2086" t="s">
        <v>6780</v>
      </c>
      <c r="R2086" t="s">
        <v>6798</v>
      </c>
      <c r="U2086">
        <v>0</v>
      </c>
      <c r="V2086" t="s">
        <v>6835</v>
      </c>
      <c r="Y2086" t="s">
        <v>7097</v>
      </c>
      <c r="AA2086" t="s">
        <v>10834</v>
      </c>
      <c r="AB2086">
        <v>0</v>
      </c>
      <c r="AE2086">
        <v>0</v>
      </c>
      <c r="AF2086">
        <v>7</v>
      </c>
      <c r="AG2086">
        <v>3</v>
      </c>
      <c r="AH2086">
        <v>752.2</v>
      </c>
      <c r="AK2086" t="s">
        <v>10966</v>
      </c>
      <c r="AL2086">
        <v>393175</v>
      </c>
      <c r="AR2086">
        <v>5.85</v>
      </c>
      <c r="AS2086" t="s">
        <v>6815</v>
      </c>
      <c r="AT2086" t="s">
        <v>144</v>
      </c>
      <c r="AV2086" t="s">
        <v>11231</v>
      </c>
      <c r="AW2086" t="s">
        <v>6811</v>
      </c>
    </row>
    <row r="2087" spans="1:49">
      <c r="A2087" s="1">
        <f>HYPERLINK("https://lsnyc.legalserver.org/matter/dynamic-profile/view/1897945","19-1897945")</f>
        <v>0</v>
      </c>
      <c r="B2087" t="s">
        <v>68</v>
      </c>
      <c r="C2087" t="s">
        <v>1561</v>
      </c>
      <c r="D2087" t="s">
        <v>1043</v>
      </c>
      <c r="E2087" t="s">
        <v>4948</v>
      </c>
      <c r="F2087" t="s">
        <v>5105</v>
      </c>
      <c r="G2087" t="s">
        <v>5637</v>
      </c>
      <c r="H2087">
        <v>11213</v>
      </c>
      <c r="I2087" t="s">
        <v>5696</v>
      </c>
      <c r="J2087" t="s">
        <v>5696</v>
      </c>
      <c r="K2087" t="s">
        <v>6709</v>
      </c>
      <c r="O2087" t="s">
        <v>6754</v>
      </c>
      <c r="R2087" t="s">
        <v>6794</v>
      </c>
      <c r="U2087">
        <v>1074</v>
      </c>
      <c r="V2087" t="s">
        <v>6835</v>
      </c>
      <c r="Y2087" t="s">
        <v>8779</v>
      </c>
      <c r="AA2087" t="s">
        <v>10835</v>
      </c>
      <c r="AB2087">
        <v>16</v>
      </c>
      <c r="AE2087">
        <v>15</v>
      </c>
      <c r="AF2087">
        <v>1</v>
      </c>
      <c r="AG2087">
        <v>0</v>
      </c>
      <c r="AH2087">
        <v>19.98</v>
      </c>
      <c r="AK2087" t="s">
        <v>10966</v>
      </c>
      <c r="AL2087">
        <v>2496</v>
      </c>
      <c r="AR2087">
        <v>2.75</v>
      </c>
      <c r="AS2087" t="s">
        <v>11132</v>
      </c>
      <c r="AT2087" t="s">
        <v>11203</v>
      </c>
      <c r="AV2087" t="s">
        <v>11231</v>
      </c>
      <c r="AW2087" t="s">
        <v>11142</v>
      </c>
    </row>
    <row r="2088" spans="1:49">
      <c r="A2088" s="1">
        <f>HYPERLINK("https://lsnyc.legalserver.org/matter/dynamic-profile/view/1906067","19-1906067")</f>
        <v>0</v>
      </c>
      <c r="B2088" t="s">
        <v>297</v>
      </c>
      <c r="C2088" t="s">
        <v>642</v>
      </c>
      <c r="D2088" t="s">
        <v>2986</v>
      </c>
      <c r="E2088" t="s">
        <v>4949</v>
      </c>
      <c r="G2088" t="s">
        <v>5636</v>
      </c>
      <c r="H2088">
        <v>10312</v>
      </c>
      <c r="I2088" t="s">
        <v>5696</v>
      </c>
      <c r="J2088" t="s">
        <v>5696</v>
      </c>
      <c r="O2088" t="s">
        <v>6754</v>
      </c>
      <c r="R2088" t="s">
        <v>6795</v>
      </c>
      <c r="U2088">
        <v>0</v>
      </c>
      <c r="V2088" t="s">
        <v>6834</v>
      </c>
      <c r="Y2088" t="s">
        <v>8780</v>
      </c>
      <c r="AA2088" t="s">
        <v>10836</v>
      </c>
      <c r="AB2088">
        <v>0</v>
      </c>
      <c r="AE2088">
        <v>0</v>
      </c>
      <c r="AF2088">
        <v>4</v>
      </c>
      <c r="AG2088">
        <v>0</v>
      </c>
      <c r="AH2088">
        <v>88.62</v>
      </c>
      <c r="AK2088" t="s">
        <v>10966</v>
      </c>
      <c r="AL2088">
        <v>22820</v>
      </c>
      <c r="AR2088">
        <v>2.4</v>
      </c>
      <c r="AS2088" t="s">
        <v>6827</v>
      </c>
      <c r="AT2088" t="s">
        <v>11225</v>
      </c>
      <c r="AV2088" t="s">
        <v>11231</v>
      </c>
      <c r="AW2088" t="s">
        <v>6821</v>
      </c>
    </row>
    <row r="2089" spans="1:49">
      <c r="A2089" s="1">
        <f>HYPERLINK("https://lsnyc.legalserver.org/matter/dynamic-profile/view/1899393","19-1899393")</f>
        <v>0</v>
      </c>
      <c r="B2089" t="s">
        <v>152</v>
      </c>
      <c r="C2089" t="s">
        <v>1562</v>
      </c>
      <c r="D2089" t="s">
        <v>2987</v>
      </c>
      <c r="E2089" t="s">
        <v>4950</v>
      </c>
      <c r="F2089" t="s">
        <v>5228</v>
      </c>
      <c r="G2089" t="s">
        <v>5635</v>
      </c>
      <c r="H2089">
        <v>10462</v>
      </c>
      <c r="I2089" t="s">
        <v>5696</v>
      </c>
      <c r="J2089" t="s">
        <v>5696</v>
      </c>
      <c r="O2089" t="s">
        <v>6784</v>
      </c>
      <c r="R2089" t="s">
        <v>6798</v>
      </c>
      <c r="U2089">
        <v>0</v>
      </c>
      <c r="V2089" t="s">
        <v>6833</v>
      </c>
      <c r="Y2089" t="s">
        <v>8781</v>
      </c>
      <c r="AA2089" t="s">
        <v>10837</v>
      </c>
      <c r="AB2089">
        <v>0</v>
      </c>
      <c r="AE2089">
        <v>0</v>
      </c>
      <c r="AF2089">
        <v>1</v>
      </c>
      <c r="AG2089">
        <v>0</v>
      </c>
      <c r="AH2089">
        <v>113.82</v>
      </c>
      <c r="AK2089" t="s">
        <v>10966</v>
      </c>
      <c r="AL2089">
        <v>14216.02</v>
      </c>
      <c r="AR2089">
        <v>4</v>
      </c>
      <c r="AS2089" t="s">
        <v>6810</v>
      </c>
      <c r="AT2089" t="s">
        <v>296</v>
      </c>
      <c r="AV2089" t="s">
        <v>11231</v>
      </c>
      <c r="AW2089" t="s">
        <v>11169</v>
      </c>
    </row>
    <row r="2090" spans="1:49">
      <c r="A2090" s="1">
        <f>HYPERLINK("https://lsnyc.legalserver.org/matter/dynamic-profile/view/1900956","19-1900956")</f>
        <v>0</v>
      </c>
      <c r="B2090" t="s">
        <v>151</v>
      </c>
      <c r="C2090" t="s">
        <v>1563</v>
      </c>
      <c r="D2090" t="s">
        <v>2988</v>
      </c>
      <c r="E2090" t="s">
        <v>4951</v>
      </c>
      <c r="G2090" t="s">
        <v>5637</v>
      </c>
      <c r="H2090">
        <v>11236</v>
      </c>
      <c r="I2090" t="s">
        <v>5696</v>
      </c>
      <c r="J2090" t="s">
        <v>5696</v>
      </c>
      <c r="O2090" t="s">
        <v>6780</v>
      </c>
      <c r="R2090" t="s">
        <v>6798</v>
      </c>
      <c r="U2090">
        <v>0</v>
      </c>
      <c r="V2090" t="s">
        <v>6835</v>
      </c>
      <c r="Y2090" t="s">
        <v>8782</v>
      </c>
      <c r="AA2090" t="s">
        <v>10838</v>
      </c>
      <c r="AB2090">
        <v>0</v>
      </c>
      <c r="AE2090">
        <v>0</v>
      </c>
      <c r="AF2090">
        <v>1</v>
      </c>
      <c r="AG2090">
        <v>0</v>
      </c>
      <c r="AH2090">
        <v>48.04</v>
      </c>
      <c r="AK2090" t="s">
        <v>10966</v>
      </c>
      <c r="AL2090">
        <v>6000</v>
      </c>
      <c r="AR2090">
        <v>4.8</v>
      </c>
      <c r="AS2090" t="s">
        <v>11161</v>
      </c>
      <c r="AT2090" t="s">
        <v>151</v>
      </c>
      <c r="AV2090" t="s">
        <v>11231</v>
      </c>
      <c r="AW2090" t="s">
        <v>11120</v>
      </c>
    </row>
    <row r="2091" spans="1:49">
      <c r="A2091" s="1">
        <f>HYPERLINK("https://lsnyc.legalserver.org/matter/dynamic-profile/view/1902649","19-1902649")</f>
        <v>0</v>
      </c>
      <c r="B2091" t="s">
        <v>278</v>
      </c>
      <c r="C2091" t="s">
        <v>1251</v>
      </c>
      <c r="D2091" t="s">
        <v>1898</v>
      </c>
      <c r="E2091" t="s">
        <v>4390</v>
      </c>
      <c r="F2091" t="s">
        <v>5618</v>
      </c>
      <c r="G2091" t="s">
        <v>5637</v>
      </c>
      <c r="H2091">
        <v>11225</v>
      </c>
      <c r="I2091" t="s">
        <v>5696</v>
      </c>
      <c r="J2091" t="s">
        <v>5696</v>
      </c>
      <c r="O2091" t="s">
        <v>6748</v>
      </c>
      <c r="R2091" t="s">
        <v>6793</v>
      </c>
      <c r="U2091">
        <v>0</v>
      </c>
      <c r="V2091" t="s">
        <v>6835</v>
      </c>
      <c r="Y2091" t="s">
        <v>8223</v>
      </c>
      <c r="AA2091" t="s">
        <v>10263</v>
      </c>
      <c r="AB2091">
        <v>40</v>
      </c>
      <c r="AE2091">
        <v>15</v>
      </c>
      <c r="AF2091">
        <v>1</v>
      </c>
      <c r="AG2091">
        <v>2</v>
      </c>
      <c r="AH2091">
        <v>185.28</v>
      </c>
      <c r="AK2091" t="s">
        <v>10966</v>
      </c>
      <c r="AL2091">
        <v>39520</v>
      </c>
      <c r="AR2091">
        <v>1.1</v>
      </c>
      <c r="AS2091" t="s">
        <v>11131</v>
      </c>
      <c r="AT2091" t="s">
        <v>11183</v>
      </c>
      <c r="AV2091" t="s">
        <v>11231</v>
      </c>
      <c r="AW2091" t="s">
        <v>11137</v>
      </c>
    </row>
    <row r="2092" spans="1:49">
      <c r="A2092" s="1">
        <f>HYPERLINK("https://lsnyc.legalserver.org/matter/dynamic-profile/view/1896171","19-1896171")</f>
        <v>0</v>
      </c>
      <c r="B2092" t="s">
        <v>258</v>
      </c>
      <c r="C2092" t="s">
        <v>732</v>
      </c>
      <c r="D2092" t="s">
        <v>2266</v>
      </c>
      <c r="E2092" t="s">
        <v>4952</v>
      </c>
      <c r="G2092" t="s">
        <v>5638</v>
      </c>
      <c r="H2092">
        <v>10027</v>
      </c>
      <c r="I2092" t="s">
        <v>5696</v>
      </c>
      <c r="J2092" t="s">
        <v>5696</v>
      </c>
      <c r="O2092" t="s">
        <v>6749</v>
      </c>
      <c r="R2092" t="s">
        <v>6793</v>
      </c>
      <c r="U2092">
        <v>0</v>
      </c>
      <c r="V2092" t="s">
        <v>6836</v>
      </c>
      <c r="Y2092" t="s">
        <v>8783</v>
      </c>
      <c r="AA2092" t="s">
        <v>10839</v>
      </c>
      <c r="AB2092">
        <v>0</v>
      </c>
      <c r="AE2092">
        <v>0</v>
      </c>
      <c r="AF2092">
        <v>2</v>
      </c>
      <c r="AG2092">
        <v>1</v>
      </c>
      <c r="AH2092">
        <v>84.39</v>
      </c>
      <c r="AK2092" t="s">
        <v>10967</v>
      </c>
      <c r="AL2092">
        <v>18000</v>
      </c>
      <c r="AR2092">
        <v>6.85</v>
      </c>
      <c r="AS2092" t="s">
        <v>11141</v>
      </c>
      <c r="AT2092" t="s">
        <v>301</v>
      </c>
      <c r="AV2092" t="s">
        <v>11231</v>
      </c>
      <c r="AW2092" t="s">
        <v>11167</v>
      </c>
    </row>
    <row r="2093" spans="1:49">
      <c r="A2093" s="1">
        <f>HYPERLINK("https://lsnyc.legalserver.org/matter/dynamic-profile/view/1899695","19-1899695")</f>
        <v>0</v>
      </c>
      <c r="B2093" t="s">
        <v>288</v>
      </c>
      <c r="C2093" t="s">
        <v>1564</v>
      </c>
      <c r="D2093" t="s">
        <v>2989</v>
      </c>
      <c r="E2093" t="s">
        <v>4953</v>
      </c>
      <c r="F2093" t="s">
        <v>5139</v>
      </c>
      <c r="G2093" t="s">
        <v>5635</v>
      </c>
      <c r="H2093">
        <v>10462</v>
      </c>
      <c r="I2093" t="s">
        <v>5696</v>
      </c>
      <c r="J2093" t="s">
        <v>5696</v>
      </c>
      <c r="O2093" t="s">
        <v>6748</v>
      </c>
      <c r="R2093" t="s">
        <v>6793</v>
      </c>
      <c r="U2093">
        <v>1208.7</v>
      </c>
      <c r="V2093" t="s">
        <v>6833</v>
      </c>
      <c r="W2093" t="s">
        <v>6842</v>
      </c>
      <c r="Y2093" t="s">
        <v>8784</v>
      </c>
      <c r="AA2093" t="s">
        <v>10840</v>
      </c>
      <c r="AB2093">
        <v>130</v>
      </c>
      <c r="AD2093" t="s">
        <v>10944</v>
      </c>
      <c r="AE2093">
        <v>3</v>
      </c>
      <c r="AF2093">
        <v>1</v>
      </c>
      <c r="AG2093">
        <v>0</v>
      </c>
      <c r="AH2093">
        <v>74.08</v>
      </c>
      <c r="AK2093" t="s">
        <v>10966</v>
      </c>
      <c r="AL2093">
        <v>9252</v>
      </c>
      <c r="AR2093">
        <v>1</v>
      </c>
      <c r="AS2093" t="s">
        <v>11146</v>
      </c>
      <c r="AT2093" t="s">
        <v>11203</v>
      </c>
      <c r="AV2093" t="s">
        <v>11231</v>
      </c>
      <c r="AW2093" t="s">
        <v>11146</v>
      </c>
    </row>
    <row r="2094" spans="1:49">
      <c r="A2094" s="1">
        <f>HYPERLINK("https://lsnyc.legalserver.org/matter/dynamic-profile/view/1906262","19-1906262")</f>
        <v>0</v>
      </c>
      <c r="B2094" t="s">
        <v>149</v>
      </c>
      <c r="C2094" t="s">
        <v>1565</v>
      </c>
      <c r="D2094" t="s">
        <v>2990</v>
      </c>
      <c r="E2094" t="s">
        <v>4954</v>
      </c>
      <c r="G2094" t="s">
        <v>5636</v>
      </c>
      <c r="H2094">
        <v>10306</v>
      </c>
      <c r="I2094" t="s">
        <v>5696</v>
      </c>
      <c r="J2094" t="s">
        <v>5696</v>
      </c>
      <c r="O2094" t="s">
        <v>6779</v>
      </c>
      <c r="R2094" t="s">
        <v>6799</v>
      </c>
      <c r="U2094">
        <v>0</v>
      </c>
      <c r="V2094" t="s">
        <v>6834</v>
      </c>
      <c r="Y2094" t="s">
        <v>8785</v>
      </c>
      <c r="AA2094" t="s">
        <v>10841</v>
      </c>
      <c r="AB2094">
        <v>0</v>
      </c>
      <c r="AE2094">
        <v>0</v>
      </c>
      <c r="AF2094">
        <v>3</v>
      </c>
      <c r="AG2094">
        <v>0</v>
      </c>
      <c r="AH2094">
        <v>365.68</v>
      </c>
      <c r="AK2094" t="s">
        <v>10990</v>
      </c>
      <c r="AL2094">
        <v>78000</v>
      </c>
      <c r="AR2094">
        <v>0.2</v>
      </c>
      <c r="AS2094" t="s">
        <v>6821</v>
      </c>
      <c r="AT2094" t="s">
        <v>11211</v>
      </c>
      <c r="AV2094" t="s">
        <v>11231</v>
      </c>
      <c r="AW2094" t="s">
        <v>6827</v>
      </c>
    </row>
    <row r="2095" spans="1:49">
      <c r="A2095" s="1">
        <f>HYPERLINK("https://lsnyc.legalserver.org/matter/dynamic-profile/view/1899449","19-1899449")</f>
        <v>0</v>
      </c>
      <c r="B2095" t="s">
        <v>145</v>
      </c>
      <c r="C2095" t="s">
        <v>1566</v>
      </c>
      <c r="D2095" t="s">
        <v>2991</v>
      </c>
      <c r="E2095" t="s">
        <v>4843</v>
      </c>
      <c r="F2095">
        <v>304</v>
      </c>
      <c r="G2095" t="s">
        <v>5638</v>
      </c>
      <c r="H2095">
        <v>10035</v>
      </c>
      <c r="I2095" t="s">
        <v>5696</v>
      </c>
      <c r="J2095" t="s">
        <v>5696</v>
      </c>
      <c r="O2095" t="s">
        <v>6777</v>
      </c>
      <c r="R2095" t="s">
        <v>6793</v>
      </c>
      <c r="U2095">
        <v>0</v>
      </c>
      <c r="V2095" t="s">
        <v>6836</v>
      </c>
      <c r="Y2095" t="s">
        <v>7684</v>
      </c>
      <c r="AA2095" t="s">
        <v>10842</v>
      </c>
      <c r="AB2095">
        <v>0</v>
      </c>
      <c r="AE2095">
        <v>0</v>
      </c>
      <c r="AF2095">
        <v>3</v>
      </c>
      <c r="AG2095">
        <v>0</v>
      </c>
      <c r="AH2095">
        <v>97.89</v>
      </c>
      <c r="AL2095">
        <v>20880</v>
      </c>
      <c r="AR2095">
        <v>35</v>
      </c>
      <c r="AS2095" t="s">
        <v>6827</v>
      </c>
      <c r="AT2095" t="s">
        <v>153</v>
      </c>
      <c r="AV2095" t="s">
        <v>11231</v>
      </c>
      <c r="AW2095" t="s">
        <v>11158</v>
      </c>
    </row>
    <row r="2096" spans="1:49">
      <c r="A2096" s="1">
        <f>HYPERLINK("https://lsnyc.legalserver.org/matter/dynamic-profile/view/1896444","19-1896444")</f>
        <v>0</v>
      </c>
      <c r="B2096" t="s">
        <v>260</v>
      </c>
      <c r="C2096" t="s">
        <v>604</v>
      </c>
      <c r="D2096" t="s">
        <v>1863</v>
      </c>
      <c r="E2096" t="s">
        <v>4955</v>
      </c>
      <c r="G2096" t="s">
        <v>5647</v>
      </c>
      <c r="H2096">
        <v>11691</v>
      </c>
      <c r="I2096" t="s">
        <v>5696</v>
      </c>
      <c r="J2096" t="s">
        <v>5696</v>
      </c>
      <c r="O2096" t="s">
        <v>6753</v>
      </c>
      <c r="R2096" t="s">
        <v>6798</v>
      </c>
      <c r="U2096">
        <v>0</v>
      </c>
      <c r="V2096" t="s">
        <v>6837</v>
      </c>
      <c r="Y2096" t="s">
        <v>8786</v>
      </c>
      <c r="AA2096" t="s">
        <v>10843</v>
      </c>
      <c r="AB2096">
        <v>0</v>
      </c>
      <c r="AE2096">
        <v>0</v>
      </c>
      <c r="AF2096">
        <v>1</v>
      </c>
      <c r="AG2096">
        <v>0</v>
      </c>
      <c r="AH2096">
        <v>347.32</v>
      </c>
      <c r="AK2096" t="s">
        <v>10966</v>
      </c>
      <c r="AL2096">
        <v>43380</v>
      </c>
      <c r="AR2096">
        <v>2.3</v>
      </c>
      <c r="AS2096" t="s">
        <v>11141</v>
      </c>
      <c r="AT2096" t="s">
        <v>260</v>
      </c>
      <c r="AV2096" t="s">
        <v>11231</v>
      </c>
      <c r="AW2096" t="s">
        <v>11164</v>
      </c>
    </row>
    <row r="2097" spans="1:49">
      <c r="A2097" s="1">
        <f>HYPERLINK("https://lsnyc.legalserver.org/matter/dynamic-profile/view/1897991","19-1897991")</f>
        <v>0</v>
      </c>
      <c r="B2097" t="s">
        <v>290</v>
      </c>
      <c r="C2097" t="s">
        <v>1567</v>
      </c>
      <c r="D2097" t="s">
        <v>2992</v>
      </c>
      <c r="E2097" t="s">
        <v>4956</v>
      </c>
      <c r="G2097" t="s">
        <v>5635</v>
      </c>
      <c r="H2097">
        <v>10469</v>
      </c>
      <c r="I2097" t="s">
        <v>5696</v>
      </c>
      <c r="J2097" t="s">
        <v>5696</v>
      </c>
      <c r="O2097" t="s">
        <v>6784</v>
      </c>
      <c r="R2097" t="s">
        <v>6798</v>
      </c>
      <c r="U2097">
        <v>0</v>
      </c>
      <c r="V2097" t="s">
        <v>6833</v>
      </c>
      <c r="Y2097" t="s">
        <v>8787</v>
      </c>
      <c r="AA2097" t="s">
        <v>10844</v>
      </c>
      <c r="AB2097">
        <v>0</v>
      </c>
      <c r="AE2097">
        <v>0</v>
      </c>
      <c r="AF2097">
        <v>6</v>
      </c>
      <c r="AG2097">
        <v>0</v>
      </c>
      <c r="AH2097">
        <v>138.77</v>
      </c>
      <c r="AK2097" t="s">
        <v>10966</v>
      </c>
      <c r="AL2097">
        <v>48000</v>
      </c>
      <c r="AR2097">
        <v>4.25</v>
      </c>
      <c r="AS2097" t="s">
        <v>6815</v>
      </c>
      <c r="AT2097" t="s">
        <v>296</v>
      </c>
      <c r="AV2097" t="s">
        <v>11231</v>
      </c>
      <c r="AW2097" t="s">
        <v>11142</v>
      </c>
    </row>
    <row r="2098" spans="1:49">
      <c r="A2098" s="1">
        <f>HYPERLINK("https://lsnyc.legalserver.org/matter/dynamic-profile/view/1901326","19-1901326")</f>
        <v>0</v>
      </c>
      <c r="B2098" t="s">
        <v>88</v>
      </c>
      <c r="C2098" t="s">
        <v>1568</v>
      </c>
      <c r="D2098" t="s">
        <v>2489</v>
      </c>
      <c r="E2098" t="s">
        <v>4957</v>
      </c>
      <c r="F2098" t="s">
        <v>5098</v>
      </c>
      <c r="G2098" t="s">
        <v>5637</v>
      </c>
      <c r="H2098">
        <v>11226</v>
      </c>
      <c r="I2098" t="s">
        <v>5696</v>
      </c>
      <c r="J2098" t="s">
        <v>5696</v>
      </c>
      <c r="O2098" t="s">
        <v>6753</v>
      </c>
      <c r="R2098" t="s">
        <v>6793</v>
      </c>
      <c r="U2098">
        <v>1800</v>
      </c>
      <c r="V2098" t="s">
        <v>6835</v>
      </c>
      <c r="W2098" t="s">
        <v>6841</v>
      </c>
      <c r="Y2098" t="s">
        <v>8788</v>
      </c>
      <c r="AA2098" t="s">
        <v>10845</v>
      </c>
      <c r="AB2098">
        <v>2</v>
      </c>
      <c r="AE2098">
        <v>3</v>
      </c>
      <c r="AF2098">
        <v>3</v>
      </c>
      <c r="AG2098">
        <v>2</v>
      </c>
      <c r="AH2098">
        <v>348.03</v>
      </c>
      <c r="AK2098" t="s">
        <v>10966</v>
      </c>
      <c r="AL2098">
        <v>105000</v>
      </c>
      <c r="AR2098">
        <v>0.5</v>
      </c>
      <c r="AS2098" t="s">
        <v>11148</v>
      </c>
      <c r="AT2098" t="s">
        <v>11183</v>
      </c>
      <c r="AV2098" t="s">
        <v>11231</v>
      </c>
      <c r="AW2098" t="s">
        <v>11148</v>
      </c>
    </row>
    <row r="2099" spans="1:49">
      <c r="A2099" s="1">
        <f>HYPERLINK("https://lsnyc.legalserver.org/matter/dynamic-profile/view/1905156","19-1905156")</f>
        <v>0</v>
      </c>
      <c r="B2099" t="s">
        <v>116</v>
      </c>
      <c r="C2099" t="s">
        <v>1569</v>
      </c>
      <c r="D2099" t="s">
        <v>369</v>
      </c>
      <c r="E2099" t="s">
        <v>4958</v>
      </c>
      <c r="G2099" t="s">
        <v>5657</v>
      </c>
      <c r="H2099">
        <v>11412</v>
      </c>
      <c r="I2099" t="s">
        <v>5696</v>
      </c>
      <c r="J2099" t="s">
        <v>5696</v>
      </c>
      <c r="O2099" t="s">
        <v>6778</v>
      </c>
      <c r="R2099" t="s">
        <v>6798</v>
      </c>
      <c r="U2099">
        <v>0</v>
      </c>
      <c r="V2099" t="s">
        <v>6837</v>
      </c>
      <c r="Y2099" t="s">
        <v>8789</v>
      </c>
      <c r="AA2099" t="s">
        <v>10846</v>
      </c>
      <c r="AB2099">
        <v>0</v>
      </c>
      <c r="AE2099">
        <v>0</v>
      </c>
      <c r="AF2099">
        <v>4</v>
      </c>
      <c r="AG2099">
        <v>1</v>
      </c>
      <c r="AH2099">
        <v>563.47</v>
      </c>
      <c r="AK2099" t="s">
        <v>10966</v>
      </c>
      <c r="AL2099">
        <v>170000</v>
      </c>
      <c r="AR2099">
        <v>4.2</v>
      </c>
      <c r="AS2099" t="s">
        <v>6824</v>
      </c>
      <c r="AT2099" t="s">
        <v>11203</v>
      </c>
      <c r="AV2099" t="s">
        <v>11231</v>
      </c>
      <c r="AW2099" t="s">
        <v>6814</v>
      </c>
    </row>
    <row r="2100" spans="1:49">
      <c r="A2100" s="1">
        <f>HYPERLINK("https://lsnyc.legalserver.org/matter/dynamic-profile/view/1902421","19-1902421")</f>
        <v>0</v>
      </c>
      <c r="B2100" t="s">
        <v>299</v>
      </c>
      <c r="C2100" t="s">
        <v>1570</v>
      </c>
      <c r="D2100" t="s">
        <v>863</v>
      </c>
      <c r="E2100" t="s">
        <v>4959</v>
      </c>
      <c r="G2100" t="s">
        <v>5636</v>
      </c>
      <c r="H2100">
        <v>10310</v>
      </c>
      <c r="I2100" t="s">
        <v>5696</v>
      </c>
      <c r="J2100" t="s">
        <v>5696</v>
      </c>
      <c r="O2100" t="s">
        <v>6754</v>
      </c>
      <c r="R2100" t="s">
        <v>6799</v>
      </c>
      <c r="U2100">
        <v>0</v>
      </c>
      <c r="V2100" t="s">
        <v>6834</v>
      </c>
      <c r="Y2100" t="s">
        <v>8790</v>
      </c>
      <c r="AA2100" t="s">
        <v>10847</v>
      </c>
      <c r="AB2100">
        <v>0</v>
      </c>
      <c r="AE2100">
        <v>0</v>
      </c>
      <c r="AF2100">
        <v>0</v>
      </c>
      <c r="AG2100">
        <v>2</v>
      </c>
      <c r="AH2100">
        <v>312.24</v>
      </c>
      <c r="AK2100" t="s">
        <v>10966</v>
      </c>
      <c r="AL2100">
        <v>52800</v>
      </c>
      <c r="AR2100">
        <v>4.5</v>
      </c>
      <c r="AS2100" t="s">
        <v>6824</v>
      </c>
      <c r="AT2100" t="s">
        <v>11211</v>
      </c>
      <c r="AV2100" t="s">
        <v>11231</v>
      </c>
      <c r="AW2100" t="s">
        <v>11131</v>
      </c>
    </row>
    <row r="2101" spans="1:49">
      <c r="A2101" s="1">
        <f>HYPERLINK("https://lsnyc.legalserver.org/matter/dynamic-profile/view/1895995","19-1895995")</f>
        <v>0</v>
      </c>
      <c r="B2101" t="s">
        <v>205</v>
      </c>
      <c r="C2101" t="s">
        <v>588</v>
      </c>
      <c r="D2101" t="s">
        <v>1840</v>
      </c>
      <c r="E2101" t="s">
        <v>4960</v>
      </c>
      <c r="F2101">
        <v>13</v>
      </c>
      <c r="G2101" t="s">
        <v>5637</v>
      </c>
      <c r="H2101">
        <v>11208</v>
      </c>
      <c r="I2101" t="s">
        <v>5696</v>
      </c>
      <c r="J2101" t="s">
        <v>5696</v>
      </c>
      <c r="O2101" t="s">
        <v>6748</v>
      </c>
      <c r="R2101" t="s">
        <v>6793</v>
      </c>
      <c r="U2101">
        <v>1515</v>
      </c>
      <c r="V2101" t="s">
        <v>6835</v>
      </c>
      <c r="Y2101" t="s">
        <v>8465</v>
      </c>
      <c r="AA2101" t="s">
        <v>10848</v>
      </c>
      <c r="AB2101">
        <v>10</v>
      </c>
      <c r="AD2101" t="s">
        <v>10949</v>
      </c>
      <c r="AE2101">
        <v>1</v>
      </c>
      <c r="AF2101">
        <v>1</v>
      </c>
      <c r="AG2101">
        <v>2</v>
      </c>
      <c r="AH2101">
        <v>23.4</v>
      </c>
      <c r="AK2101" t="s">
        <v>10966</v>
      </c>
      <c r="AL2101">
        <v>4992</v>
      </c>
      <c r="AR2101">
        <v>2.8</v>
      </c>
      <c r="AS2101" t="s">
        <v>11128</v>
      </c>
      <c r="AT2101" t="s">
        <v>11192</v>
      </c>
      <c r="AV2101" t="s">
        <v>11231</v>
      </c>
      <c r="AW2101" t="s">
        <v>11170</v>
      </c>
    </row>
    <row r="2102" spans="1:49">
      <c r="A2102" s="1">
        <f>HYPERLINK("https://lsnyc.legalserver.org/matter/dynamic-profile/view/1895595","19-1895595")</f>
        <v>0</v>
      </c>
      <c r="B2102" t="s">
        <v>150</v>
      </c>
      <c r="C2102" t="s">
        <v>386</v>
      </c>
      <c r="D2102" t="s">
        <v>2993</v>
      </c>
      <c r="E2102" t="s">
        <v>4961</v>
      </c>
      <c r="G2102" t="s">
        <v>5636</v>
      </c>
      <c r="H2102">
        <v>10310</v>
      </c>
      <c r="I2102" t="s">
        <v>5696</v>
      </c>
      <c r="J2102" t="s">
        <v>5696</v>
      </c>
      <c r="O2102" t="s">
        <v>6782</v>
      </c>
      <c r="R2102" t="s">
        <v>6799</v>
      </c>
      <c r="U2102">
        <v>0</v>
      </c>
      <c r="V2102" t="s">
        <v>6834</v>
      </c>
      <c r="Y2102" t="s">
        <v>8791</v>
      </c>
      <c r="AA2102" t="s">
        <v>10849</v>
      </c>
      <c r="AB2102">
        <v>0</v>
      </c>
      <c r="AE2102">
        <v>0</v>
      </c>
      <c r="AF2102">
        <v>2</v>
      </c>
      <c r="AG2102">
        <v>2</v>
      </c>
      <c r="AH2102">
        <v>304.53</v>
      </c>
      <c r="AK2102" t="s">
        <v>10966</v>
      </c>
      <c r="AL2102">
        <v>78416</v>
      </c>
      <c r="AR2102">
        <v>17.3</v>
      </c>
      <c r="AS2102" t="s">
        <v>6827</v>
      </c>
      <c r="AT2102" t="s">
        <v>11211</v>
      </c>
      <c r="AV2102" t="s">
        <v>11231</v>
      </c>
      <c r="AW2102" t="s">
        <v>11154</v>
      </c>
    </row>
    <row r="2103" spans="1:49">
      <c r="A2103" s="1">
        <f>HYPERLINK("https://lsnyc.legalserver.org/matter/dynamic-profile/view/1904452","19-1904452")</f>
        <v>0</v>
      </c>
      <c r="B2103" t="s">
        <v>227</v>
      </c>
      <c r="C2103" t="s">
        <v>1571</v>
      </c>
      <c r="D2103" t="s">
        <v>1705</v>
      </c>
      <c r="E2103" t="s">
        <v>4962</v>
      </c>
      <c r="G2103" t="s">
        <v>5646</v>
      </c>
      <c r="H2103">
        <v>11355</v>
      </c>
      <c r="I2103" t="s">
        <v>5696</v>
      </c>
      <c r="J2103" t="s">
        <v>5696</v>
      </c>
      <c r="O2103" t="s">
        <v>6748</v>
      </c>
      <c r="R2103" t="s">
        <v>6798</v>
      </c>
      <c r="U2103">
        <v>0</v>
      </c>
      <c r="V2103" t="s">
        <v>6837</v>
      </c>
      <c r="Y2103" t="s">
        <v>8282</v>
      </c>
      <c r="AA2103" t="s">
        <v>10850</v>
      </c>
      <c r="AB2103">
        <v>0</v>
      </c>
      <c r="AE2103">
        <v>0</v>
      </c>
      <c r="AF2103">
        <v>2</v>
      </c>
      <c r="AG2103">
        <v>4</v>
      </c>
      <c r="AH2103">
        <v>95.40000000000001</v>
      </c>
      <c r="AK2103" t="s">
        <v>10968</v>
      </c>
      <c r="AL2103">
        <v>33000</v>
      </c>
      <c r="AR2103">
        <v>3.3</v>
      </c>
      <c r="AS2103" t="s">
        <v>6820</v>
      </c>
      <c r="AT2103" t="s">
        <v>11192</v>
      </c>
      <c r="AV2103" t="s">
        <v>11231</v>
      </c>
      <c r="AW2103" t="s">
        <v>6815</v>
      </c>
    </row>
    <row r="2104" spans="1:49">
      <c r="A2104" s="1">
        <f>HYPERLINK("https://lsnyc.legalserver.org/matter/dynamic-profile/view/1904183","19-1904183")</f>
        <v>0</v>
      </c>
      <c r="B2104" t="s">
        <v>189</v>
      </c>
      <c r="C2104" t="s">
        <v>491</v>
      </c>
      <c r="D2104" t="s">
        <v>1696</v>
      </c>
      <c r="E2104" t="s">
        <v>4963</v>
      </c>
      <c r="G2104" t="s">
        <v>5658</v>
      </c>
      <c r="H2104">
        <v>11417</v>
      </c>
      <c r="I2104" t="s">
        <v>5696</v>
      </c>
      <c r="J2104" t="s">
        <v>5696</v>
      </c>
      <c r="O2104" t="s">
        <v>6758</v>
      </c>
      <c r="R2104" t="s">
        <v>6793</v>
      </c>
      <c r="U2104">
        <v>0</v>
      </c>
      <c r="V2104" t="s">
        <v>6837</v>
      </c>
      <c r="Y2104" t="s">
        <v>8792</v>
      </c>
      <c r="AA2104" t="s">
        <v>10851</v>
      </c>
      <c r="AB2104">
        <v>0</v>
      </c>
      <c r="AE2104">
        <v>0</v>
      </c>
      <c r="AF2104">
        <v>1</v>
      </c>
      <c r="AG2104">
        <v>0</v>
      </c>
      <c r="AH2104">
        <v>278.62</v>
      </c>
      <c r="AK2104" t="s">
        <v>10966</v>
      </c>
      <c r="AL2104">
        <v>34800</v>
      </c>
      <c r="AR2104">
        <v>0.1</v>
      </c>
      <c r="AS2104" t="s">
        <v>6812</v>
      </c>
      <c r="AT2104" t="s">
        <v>147</v>
      </c>
      <c r="AV2104" t="s">
        <v>11231</v>
      </c>
      <c r="AW2104" t="s">
        <v>6818</v>
      </c>
    </row>
    <row r="2105" spans="1:49">
      <c r="A2105" s="1">
        <f>HYPERLINK("https://lsnyc.legalserver.org/matter/dynamic-profile/view/1900141","19-1900141")</f>
        <v>0</v>
      </c>
      <c r="B2105" t="s">
        <v>246</v>
      </c>
      <c r="C2105" t="s">
        <v>1572</v>
      </c>
      <c r="D2105" t="s">
        <v>2994</v>
      </c>
      <c r="E2105" t="s">
        <v>4964</v>
      </c>
      <c r="F2105" t="s">
        <v>5619</v>
      </c>
      <c r="G2105" t="s">
        <v>5674</v>
      </c>
      <c r="H2105">
        <v>11373</v>
      </c>
      <c r="I2105" t="s">
        <v>5696</v>
      </c>
      <c r="J2105" t="s">
        <v>5696</v>
      </c>
      <c r="O2105" t="s">
        <v>6770</v>
      </c>
      <c r="R2105" t="s">
        <v>6793</v>
      </c>
      <c r="U2105">
        <v>0</v>
      </c>
      <c r="V2105" t="s">
        <v>6837</v>
      </c>
      <c r="Y2105" t="s">
        <v>8793</v>
      </c>
      <c r="AA2105" t="s">
        <v>10852</v>
      </c>
      <c r="AB2105">
        <v>0</v>
      </c>
      <c r="AE2105">
        <v>0</v>
      </c>
      <c r="AF2105">
        <v>2</v>
      </c>
      <c r="AG2105">
        <v>0</v>
      </c>
      <c r="AH2105">
        <v>49.67</v>
      </c>
      <c r="AK2105" t="s">
        <v>10966</v>
      </c>
      <c r="AL2105">
        <v>8400</v>
      </c>
      <c r="AR2105">
        <v>3.9</v>
      </c>
      <c r="AS2105" t="s">
        <v>11139</v>
      </c>
      <c r="AT2105" t="s">
        <v>237</v>
      </c>
      <c r="AV2105" t="s">
        <v>11231</v>
      </c>
      <c r="AW2105" t="s">
        <v>10954</v>
      </c>
    </row>
    <row r="2106" spans="1:49">
      <c r="A2106" s="1">
        <f>HYPERLINK("https://lsnyc.legalserver.org/matter/dynamic-profile/view/1903396","19-1903396")</f>
        <v>0</v>
      </c>
      <c r="B2106" t="s">
        <v>99</v>
      </c>
      <c r="C2106" t="s">
        <v>350</v>
      </c>
      <c r="D2106" t="s">
        <v>1663</v>
      </c>
      <c r="E2106" t="s">
        <v>4965</v>
      </c>
      <c r="F2106" t="s">
        <v>5142</v>
      </c>
      <c r="G2106" t="s">
        <v>5637</v>
      </c>
      <c r="H2106">
        <v>11213</v>
      </c>
      <c r="I2106" t="s">
        <v>5696</v>
      </c>
      <c r="J2106" t="s">
        <v>5696</v>
      </c>
      <c r="O2106" t="s">
        <v>6754</v>
      </c>
      <c r="R2106" t="s">
        <v>6794</v>
      </c>
      <c r="U2106">
        <v>200</v>
      </c>
      <c r="V2106" t="s">
        <v>6835</v>
      </c>
      <c r="W2106" t="s">
        <v>6845</v>
      </c>
      <c r="Y2106" t="s">
        <v>8794</v>
      </c>
      <c r="AA2106" t="s">
        <v>10853</v>
      </c>
      <c r="AB2106">
        <v>16</v>
      </c>
      <c r="AC2106" t="s">
        <v>10931</v>
      </c>
      <c r="AE2106">
        <v>10</v>
      </c>
      <c r="AF2106">
        <v>1</v>
      </c>
      <c r="AG2106">
        <v>0</v>
      </c>
      <c r="AH2106">
        <v>73.98</v>
      </c>
      <c r="AK2106" t="s">
        <v>10966</v>
      </c>
      <c r="AL2106">
        <v>9240</v>
      </c>
      <c r="AR2106">
        <v>2.35</v>
      </c>
      <c r="AS2106" t="s">
        <v>6824</v>
      </c>
      <c r="AT2106" t="s">
        <v>11188</v>
      </c>
      <c r="AV2106" t="s">
        <v>11231</v>
      </c>
      <c r="AW2106" t="s">
        <v>11136</v>
      </c>
    </row>
    <row r="2107" spans="1:49">
      <c r="A2107" s="1">
        <f>HYPERLINK("https://lsnyc.legalserver.org/matter/dynamic-profile/view/1903278","19-1903278")</f>
        <v>0</v>
      </c>
      <c r="B2107" t="s">
        <v>115</v>
      </c>
      <c r="C2107" t="s">
        <v>1573</v>
      </c>
      <c r="D2107" t="s">
        <v>2995</v>
      </c>
      <c r="E2107" t="s">
        <v>4966</v>
      </c>
      <c r="G2107" t="s">
        <v>5685</v>
      </c>
      <c r="H2107">
        <v>11375</v>
      </c>
      <c r="I2107" t="s">
        <v>5696</v>
      </c>
      <c r="J2107" t="s">
        <v>5696</v>
      </c>
      <c r="O2107" t="s">
        <v>6770</v>
      </c>
      <c r="R2107" t="s">
        <v>6798</v>
      </c>
      <c r="U2107">
        <v>0</v>
      </c>
      <c r="V2107" t="s">
        <v>6837</v>
      </c>
      <c r="Y2107" t="s">
        <v>8795</v>
      </c>
      <c r="AA2107" t="s">
        <v>10854</v>
      </c>
      <c r="AB2107">
        <v>0</v>
      </c>
      <c r="AE2107">
        <v>0</v>
      </c>
      <c r="AF2107">
        <v>2</v>
      </c>
      <c r="AG2107">
        <v>1</v>
      </c>
      <c r="AH2107">
        <v>112.52</v>
      </c>
      <c r="AK2107" t="s">
        <v>10967</v>
      </c>
      <c r="AL2107">
        <v>24000</v>
      </c>
      <c r="AR2107">
        <v>1</v>
      </c>
      <c r="AS2107" t="s">
        <v>11138</v>
      </c>
      <c r="AT2107" t="s">
        <v>115</v>
      </c>
      <c r="AV2107" t="s">
        <v>11231</v>
      </c>
      <c r="AW2107" t="s">
        <v>11139</v>
      </c>
    </row>
    <row r="2108" spans="1:49">
      <c r="A2108" s="1">
        <f>HYPERLINK("https://lsnyc.legalserver.org/matter/dynamic-profile/view/1904877","19-1904877")</f>
        <v>0</v>
      </c>
      <c r="B2108" t="s">
        <v>150</v>
      </c>
      <c r="C2108" t="s">
        <v>438</v>
      </c>
      <c r="D2108" t="s">
        <v>2996</v>
      </c>
      <c r="E2108" t="s">
        <v>4967</v>
      </c>
      <c r="G2108" t="s">
        <v>5636</v>
      </c>
      <c r="H2108">
        <v>10306</v>
      </c>
      <c r="I2108" t="s">
        <v>5696</v>
      </c>
      <c r="J2108" t="s">
        <v>5696</v>
      </c>
      <c r="O2108" t="s">
        <v>6779</v>
      </c>
      <c r="R2108" t="s">
        <v>6799</v>
      </c>
      <c r="U2108">
        <v>0</v>
      </c>
      <c r="V2108" t="s">
        <v>6834</v>
      </c>
      <c r="Y2108" t="s">
        <v>8796</v>
      </c>
      <c r="AA2108" t="s">
        <v>10855</v>
      </c>
      <c r="AB2108">
        <v>0</v>
      </c>
      <c r="AE2108">
        <v>0</v>
      </c>
      <c r="AF2108">
        <v>3</v>
      </c>
      <c r="AG2108">
        <v>0</v>
      </c>
      <c r="AH2108">
        <v>180.25</v>
      </c>
      <c r="AK2108" t="s">
        <v>10966</v>
      </c>
      <c r="AL2108">
        <v>38448</v>
      </c>
      <c r="AR2108">
        <v>1.7</v>
      </c>
      <c r="AS2108" t="s">
        <v>6827</v>
      </c>
      <c r="AT2108" t="s">
        <v>11211</v>
      </c>
      <c r="AV2108" t="s">
        <v>11231</v>
      </c>
      <c r="AW2108" t="s">
        <v>6824</v>
      </c>
    </row>
    <row r="2109" spans="1:49">
      <c r="A2109" s="1">
        <f>HYPERLINK("https://lsnyc.legalserver.org/matter/dynamic-profile/view/1903623","19-1903623")</f>
        <v>0</v>
      </c>
      <c r="B2109" t="s">
        <v>68</v>
      </c>
      <c r="C2109" t="s">
        <v>768</v>
      </c>
      <c r="D2109" t="s">
        <v>2997</v>
      </c>
      <c r="E2109" t="s">
        <v>4968</v>
      </c>
      <c r="F2109" t="s">
        <v>5187</v>
      </c>
      <c r="G2109" t="s">
        <v>5637</v>
      </c>
      <c r="H2109">
        <v>11214</v>
      </c>
      <c r="I2109" t="s">
        <v>5696</v>
      </c>
      <c r="J2109" t="s">
        <v>5696</v>
      </c>
      <c r="O2109" t="s">
        <v>6748</v>
      </c>
      <c r="R2109" t="s">
        <v>6793</v>
      </c>
      <c r="U2109">
        <v>840</v>
      </c>
      <c r="V2109" t="s">
        <v>6835</v>
      </c>
      <c r="W2109" t="s">
        <v>6844</v>
      </c>
      <c r="Y2109" t="s">
        <v>8797</v>
      </c>
      <c r="AA2109" t="s">
        <v>10856</v>
      </c>
      <c r="AB2109">
        <v>109</v>
      </c>
      <c r="AD2109" t="s">
        <v>10945</v>
      </c>
      <c r="AE2109">
        <v>30</v>
      </c>
      <c r="AF2109">
        <v>1</v>
      </c>
      <c r="AG2109">
        <v>0</v>
      </c>
      <c r="AH2109">
        <v>83.59</v>
      </c>
      <c r="AK2109" t="s">
        <v>10966</v>
      </c>
      <c r="AL2109">
        <v>10440</v>
      </c>
      <c r="AR2109">
        <v>0.6</v>
      </c>
      <c r="AS2109" t="s">
        <v>11144</v>
      </c>
      <c r="AT2109" t="s">
        <v>11188</v>
      </c>
      <c r="AV2109" t="s">
        <v>11231</v>
      </c>
      <c r="AW2109" t="s">
        <v>11144</v>
      </c>
    </row>
    <row r="2110" spans="1:49">
      <c r="A2110" s="1">
        <f>HYPERLINK("https://lsnyc.legalserver.org/matter/dynamic-profile/view/1899736","19-1899736")</f>
        <v>0</v>
      </c>
      <c r="B2110" t="s">
        <v>118</v>
      </c>
      <c r="C2110" t="s">
        <v>1109</v>
      </c>
      <c r="D2110" t="s">
        <v>1698</v>
      </c>
      <c r="E2110" t="s">
        <v>4969</v>
      </c>
      <c r="F2110" t="s">
        <v>5316</v>
      </c>
      <c r="G2110" t="s">
        <v>5637</v>
      </c>
      <c r="H2110">
        <v>11231</v>
      </c>
      <c r="I2110" t="s">
        <v>5696</v>
      </c>
      <c r="J2110" t="s">
        <v>5696</v>
      </c>
      <c r="O2110" t="s">
        <v>6753</v>
      </c>
      <c r="R2110" t="s">
        <v>6793</v>
      </c>
      <c r="U2110">
        <v>1377</v>
      </c>
      <c r="V2110" t="s">
        <v>6835</v>
      </c>
      <c r="Y2110" t="s">
        <v>8798</v>
      </c>
      <c r="AA2110" t="s">
        <v>10857</v>
      </c>
      <c r="AB2110">
        <v>52</v>
      </c>
      <c r="AE2110">
        <v>12</v>
      </c>
      <c r="AF2110">
        <v>1</v>
      </c>
      <c r="AG2110">
        <v>0</v>
      </c>
      <c r="AH2110">
        <v>353.18</v>
      </c>
      <c r="AK2110" t="s">
        <v>10966</v>
      </c>
      <c r="AL2110">
        <v>44112</v>
      </c>
      <c r="AR2110">
        <v>5</v>
      </c>
      <c r="AS2110" t="s">
        <v>11143</v>
      </c>
      <c r="AT2110" t="s">
        <v>11192</v>
      </c>
      <c r="AV2110" t="s">
        <v>11231</v>
      </c>
      <c r="AW2110" t="s">
        <v>11146</v>
      </c>
    </row>
    <row r="2111" spans="1:49">
      <c r="A2111" s="1">
        <f>HYPERLINK("https://lsnyc.legalserver.org/matter/dynamic-profile/view/1905792","19-1905792")</f>
        <v>0</v>
      </c>
      <c r="B2111" t="s">
        <v>303</v>
      </c>
      <c r="C2111" t="s">
        <v>533</v>
      </c>
      <c r="D2111" t="s">
        <v>2386</v>
      </c>
      <c r="E2111" t="s">
        <v>4055</v>
      </c>
      <c r="F2111" t="s">
        <v>5247</v>
      </c>
      <c r="G2111" t="s">
        <v>5635</v>
      </c>
      <c r="H2111">
        <v>10452</v>
      </c>
      <c r="I2111" t="s">
        <v>5696</v>
      </c>
      <c r="J2111" t="s">
        <v>5696</v>
      </c>
      <c r="O2111" t="s">
        <v>6764</v>
      </c>
      <c r="R2111" t="s">
        <v>6793</v>
      </c>
      <c r="U2111">
        <v>983</v>
      </c>
      <c r="V2111" t="s">
        <v>6833</v>
      </c>
      <c r="W2111" t="s">
        <v>6843</v>
      </c>
      <c r="Y2111" t="s">
        <v>7850</v>
      </c>
      <c r="AA2111" t="s">
        <v>9906</v>
      </c>
      <c r="AB2111">
        <v>0</v>
      </c>
      <c r="AC2111" t="s">
        <v>10929</v>
      </c>
      <c r="AD2111" t="s">
        <v>5741</v>
      </c>
      <c r="AE2111">
        <v>40</v>
      </c>
      <c r="AF2111">
        <v>1</v>
      </c>
      <c r="AG2111">
        <v>0</v>
      </c>
      <c r="AH2111">
        <v>115.29</v>
      </c>
      <c r="AK2111" t="s">
        <v>10966</v>
      </c>
      <c r="AL2111">
        <v>14400</v>
      </c>
      <c r="AR2111">
        <v>2.25</v>
      </c>
      <c r="AS2111" t="s">
        <v>6823</v>
      </c>
      <c r="AT2111" t="s">
        <v>285</v>
      </c>
      <c r="AV2111" t="s">
        <v>11231</v>
      </c>
      <c r="AW2111" t="s">
        <v>6823</v>
      </c>
    </row>
    <row r="2112" spans="1:49">
      <c r="A2112" s="1">
        <f>HYPERLINK("https://lsnyc.legalserver.org/matter/dynamic-profile/view/1905015","19-1905015")</f>
        <v>0</v>
      </c>
      <c r="B2112" t="s">
        <v>244</v>
      </c>
      <c r="C2112" t="s">
        <v>1574</v>
      </c>
      <c r="D2112" t="s">
        <v>2998</v>
      </c>
      <c r="E2112" t="s">
        <v>4970</v>
      </c>
      <c r="G2112" t="s">
        <v>5638</v>
      </c>
      <c r="H2112">
        <v>10027</v>
      </c>
      <c r="I2112" t="s">
        <v>5696</v>
      </c>
      <c r="J2112" t="s">
        <v>5696</v>
      </c>
      <c r="O2112" t="s">
        <v>6749</v>
      </c>
      <c r="R2112" t="s">
        <v>6794</v>
      </c>
      <c r="U2112">
        <v>0</v>
      </c>
      <c r="V2112" t="s">
        <v>6836</v>
      </c>
      <c r="Y2112" t="s">
        <v>8799</v>
      </c>
      <c r="AA2112" t="s">
        <v>10858</v>
      </c>
      <c r="AB2112">
        <v>0</v>
      </c>
      <c r="AE2112">
        <v>0</v>
      </c>
      <c r="AF2112">
        <v>1</v>
      </c>
      <c r="AG2112">
        <v>0</v>
      </c>
      <c r="AH2112">
        <v>0</v>
      </c>
      <c r="AK2112" t="s">
        <v>10966</v>
      </c>
      <c r="AL2112">
        <v>0</v>
      </c>
      <c r="AR2112">
        <v>0</v>
      </c>
      <c r="AT2112" t="s">
        <v>301</v>
      </c>
      <c r="AV2112" t="s">
        <v>11231</v>
      </c>
      <c r="AW2112" t="s">
        <v>6812</v>
      </c>
    </row>
    <row r="2113" spans="1:49">
      <c r="A2113" s="1">
        <f>HYPERLINK("https://lsnyc.legalserver.org/matter/dynamic-profile/view/1897146","19-1897146")</f>
        <v>0</v>
      </c>
      <c r="B2113" t="s">
        <v>150</v>
      </c>
      <c r="C2113" t="s">
        <v>386</v>
      </c>
      <c r="D2113" t="s">
        <v>2999</v>
      </c>
      <c r="E2113" t="s">
        <v>4971</v>
      </c>
      <c r="G2113" t="s">
        <v>5636</v>
      </c>
      <c r="H2113">
        <v>10304</v>
      </c>
      <c r="I2113" t="s">
        <v>5696</v>
      </c>
      <c r="J2113" t="s">
        <v>5696</v>
      </c>
      <c r="O2113" t="s">
        <v>6754</v>
      </c>
      <c r="R2113" t="s">
        <v>6797</v>
      </c>
      <c r="U2113">
        <v>0</v>
      </c>
      <c r="V2113" t="s">
        <v>6834</v>
      </c>
      <c r="X2113" t="s">
        <v>6857</v>
      </c>
      <c r="Y2113" t="s">
        <v>8800</v>
      </c>
      <c r="AA2113" t="s">
        <v>10859</v>
      </c>
      <c r="AB2113">
        <v>0</v>
      </c>
      <c r="AE2113">
        <v>0</v>
      </c>
      <c r="AF2113">
        <v>3</v>
      </c>
      <c r="AG2113">
        <v>0</v>
      </c>
      <c r="AH2113">
        <v>166.33</v>
      </c>
      <c r="AK2113" t="s">
        <v>10966</v>
      </c>
      <c r="AL2113">
        <v>35479.08</v>
      </c>
      <c r="AR2113">
        <v>6.3</v>
      </c>
      <c r="AS2113" t="s">
        <v>6826</v>
      </c>
      <c r="AT2113" t="s">
        <v>150</v>
      </c>
      <c r="AV2113" t="s">
        <v>11231</v>
      </c>
      <c r="AW2113" t="s">
        <v>11121</v>
      </c>
    </row>
    <row r="2114" spans="1:49">
      <c r="A2114" s="1">
        <f>HYPERLINK("https://lsnyc.legalserver.org/matter/dynamic-profile/view/1900556","19-1900556")</f>
        <v>0</v>
      </c>
      <c r="B2114" t="s">
        <v>290</v>
      </c>
      <c r="C2114" t="s">
        <v>1575</v>
      </c>
      <c r="D2114" t="s">
        <v>3000</v>
      </c>
      <c r="E2114" t="s">
        <v>4972</v>
      </c>
      <c r="F2114" t="s">
        <v>5620</v>
      </c>
      <c r="G2114" t="s">
        <v>5635</v>
      </c>
      <c r="H2114">
        <v>10462</v>
      </c>
      <c r="I2114" t="s">
        <v>5696</v>
      </c>
      <c r="J2114" t="s">
        <v>5696</v>
      </c>
      <c r="O2114" t="s">
        <v>6784</v>
      </c>
      <c r="R2114" t="s">
        <v>6798</v>
      </c>
      <c r="U2114">
        <v>0</v>
      </c>
      <c r="V2114" t="s">
        <v>6833</v>
      </c>
      <c r="Y2114" t="s">
        <v>8801</v>
      </c>
      <c r="AA2114" t="s">
        <v>10860</v>
      </c>
      <c r="AB2114">
        <v>0</v>
      </c>
      <c r="AE2114">
        <v>0</v>
      </c>
      <c r="AF2114">
        <v>2</v>
      </c>
      <c r="AG2114">
        <v>2</v>
      </c>
      <c r="AH2114">
        <v>119.69</v>
      </c>
      <c r="AK2114" t="s">
        <v>10966</v>
      </c>
      <c r="AL2114">
        <v>30820</v>
      </c>
      <c r="AR2114">
        <v>6.25</v>
      </c>
      <c r="AS2114" t="s">
        <v>6822</v>
      </c>
      <c r="AT2114" t="s">
        <v>11179</v>
      </c>
      <c r="AV2114" t="s">
        <v>11231</v>
      </c>
      <c r="AW2114" t="s">
        <v>6815</v>
      </c>
    </row>
    <row r="2115" spans="1:49">
      <c r="A2115" s="1">
        <f>HYPERLINK("https://lsnyc.legalserver.org/matter/dynamic-profile/view/1897610","19-1897610")</f>
        <v>0</v>
      </c>
      <c r="B2115" t="s">
        <v>260</v>
      </c>
      <c r="C2115" t="s">
        <v>1576</v>
      </c>
      <c r="D2115" t="s">
        <v>2591</v>
      </c>
      <c r="E2115" t="s">
        <v>4973</v>
      </c>
      <c r="G2115" t="s">
        <v>5657</v>
      </c>
      <c r="H2115">
        <v>11412</v>
      </c>
      <c r="I2115" t="s">
        <v>5696</v>
      </c>
      <c r="J2115" t="s">
        <v>5696</v>
      </c>
      <c r="O2115" t="s">
        <v>6790</v>
      </c>
      <c r="R2115" t="s">
        <v>6798</v>
      </c>
      <c r="U2115">
        <v>0</v>
      </c>
      <c r="V2115" t="s">
        <v>6837</v>
      </c>
      <c r="Y2115" t="s">
        <v>8802</v>
      </c>
      <c r="AA2115" t="s">
        <v>10861</v>
      </c>
      <c r="AB2115">
        <v>0</v>
      </c>
      <c r="AE2115">
        <v>0</v>
      </c>
      <c r="AF2115">
        <v>1</v>
      </c>
      <c r="AG2115">
        <v>0</v>
      </c>
      <c r="AH2115">
        <v>181.49</v>
      </c>
      <c r="AK2115" t="s">
        <v>10966</v>
      </c>
      <c r="AL2115">
        <v>22668</v>
      </c>
      <c r="AR2115">
        <v>22</v>
      </c>
      <c r="AS2115" t="s">
        <v>6828</v>
      </c>
      <c r="AT2115" t="s">
        <v>146</v>
      </c>
      <c r="AV2115" t="s">
        <v>11231</v>
      </c>
      <c r="AW2115" t="s">
        <v>11159</v>
      </c>
    </row>
    <row r="2116" spans="1:49">
      <c r="A2116" s="1">
        <f>HYPERLINK("https://lsnyc.legalserver.org/matter/dynamic-profile/view/1899660","19-1899660")</f>
        <v>0</v>
      </c>
      <c r="B2116" t="s">
        <v>146</v>
      </c>
      <c r="C2116" t="s">
        <v>1577</v>
      </c>
      <c r="D2116" t="s">
        <v>3001</v>
      </c>
      <c r="E2116" t="s">
        <v>4974</v>
      </c>
      <c r="G2116" t="s">
        <v>5660</v>
      </c>
      <c r="H2116">
        <v>11423</v>
      </c>
      <c r="I2116" t="s">
        <v>5696</v>
      </c>
      <c r="J2116" t="s">
        <v>5696</v>
      </c>
      <c r="O2116" t="s">
        <v>6790</v>
      </c>
      <c r="R2116" t="s">
        <v>6798</v>
      </c>
      <c r="U2116">
        <v>0</v>
      </c>
      <c r="V2116" t="s">
        <v>6837</v>
      </c>
      <c r="Y2116" t="s">
        <v>8803</v>
      </c>
      <c r="AA2116" t="s">
        <v>10862</v>
      </c>
      <c r="AB2116">
        <v>0</v>
      </c>
      <c r="AE2116">
        <v>0</v>
      </c>
      <c r="AF2116">
        <v>1</v>
      </c>
      <c r="AG2116">
        <v>0</v>
      </c>
      <c r="AH2116">
        <v>144.12</v>
      </c>
      <c r="AK2116" t="s">
        <v>10966</v>
      </c>
      <c r="AL2116">
        <v>18000</v>
      </c>
      <c r="AR2116">
        <v>13.6</v>
      </c>
      <c r="AS2116" t="s">
        <v>6819</v>
      </c>
      <c r="AT2116" t="s">
        <v>11192</v>
      </c>
      <c r="AV2116" t="s">
        <v>11231</v>
      </c>
      <c r="AW2116" t="s">
        <v>11128</v>
      </c>
    </row>
    <row r="2117" spans="1:49">
      <c r="A2117" s="1">
        <f>HYPERLINK("https://lsnyc.legalserver.org/matter/dynamic-profile/view/1901298","19-1901298")</f>
        <v>0</v>
      </c>
      <c r="B2117" t="s">
        <v>293</v>
      </c>
      <c r="C2117" t="s">
        <v>460</v>
      </c>
      <c r="D2117" t="s">
        <v>1867</v>
      </c>
      <c r="E2117" t="s">
        <v>4975</v>
      </c>
      <c r="G2117" t="s">
        <v>5636</v>
      </c>
      <c r="H2117">
        <v>10308</v>
      </c>
      <c r="I2117" t="s">
        <v>5696</v>
      </c>
      <c r="J2117" t="s">
        <v>5696</v>
      </c>
      <c r="O2117" t="s">
        <v>6754</v>
      </c>
      <c r="R2117" t="s">
        <v>6799</v>
      </c>
      <c r="U2117">
        <v>0</v>
      </c>
      <c r="V2117" t="s">
        <v>6834</v>
      </c>
      <c r="Y2117" t="s">
        <v>8583</v>
      </c>
      <c r="AA2117" t="s">
        <v>10863</v>
      </c>
      <c r="AB2117">
        <v>0</v>
      </c>
      <c r="AE2117">
        <v>0</v>
      </c>
      <c r="AF2117">
        <v>2</v>
      </c>
      <c r="AG2117">
        <v>0</v>
      </c>
      <c r="AH2117">
        <v>67.63</v>
      </c>
      <c r="AL2117">
        <v>11436</v>
      </c>
      <c r="AR2117">
        <v>4.6</v>
      </c>
      <c r="AS2117" t="s">
        <v>6819</v>
      </c>
      <c r="AT2117" t="s">
        <v>11211</v>
      </c>
      <c r="AV2117" t="s">
        <v>11231</v>
      </c>
      <c r="AW2117" t="s">
        <v>11148</v>
      </c>
    </row>
    <row r="2118" spans="1:49">
      <c r="A2118" s="1">
        <f>HYPERLINK("https://lsnyc.legalserver.org/matter/dynamic-profile/view/1901833","19-1901833")</f>
        <v>0</v>
      </c>
      <c r="B2118" t="s">
        <v>255</v>
      </c>
      <c r="C2118" t="s">
        <v>848</v>
      </c>
      <c r="D2118" t="s">
        <v>1796</v>
      </c>
      <c r="E2118" t="s">
        <v>4976</v>
      </c>
      <c r="F2118" t="s">
        <v>5100</v>
      </c>
      <c r="G2118" t="s">
        <v>5637</v>
      </c>
      <c r="H2118">
        <v>11220</v>
      </c>
      <c r="I2118" t="s">
        <v>5696</v>
      </c>
      <c r="J2118" t="s">
        <v>5696</v>
      </c>
      <c r="O2118" t="s">
        <v>6756</v>
      </c>
      <c r="R2118" t="s">
        <v>6793</v>
      </c>
      <c r="U2118">
        <v>0</v>
      </c>
      <c r="V2118" t="s">
        <v>6835</v>
      </c>
      <c r="Y2118" t="s">
        <v>8804</v>
      </c>
      <c r="AA2118" t="s">
        <v>10864</v>
      </c>
      <c r="AB2118">
        <v>0</v>
      </c>
      <c r="AE2118">
        <v>0</v>
      </c>
      <c r="AF2118">
        <v>1</v>
      </c>
      <c r="AG2118">
        <v>0</v>
      </c>
      <c r="AH2118">
        <v>0</v>
      </c>
      <c r="AK2118" t="s">
        <v>10966</v>
      </c>
      <c r="AL2118">
        <v>0</v>
      </c>
      <c r="AR2118">
        <v>3.4</v>
      </c>
      <c r="AS2118" t="s">
        <v>11138</v>
      </c>
      <c r="AT2118" t="s">
        <v>158</v>
      </c>
      <c r="AV2118" t="s">
        <v>11231</v>
      </c>
      <c r="AW2118" t="s">
        <v>11163</v>
      </c>
    </row>
    <row r="2119" spans="1:49">
      <c r="A2119" s="1">
        <f>HYPERLINK("https://lsnyc.legalserver.org/matter/dynamic-profile/view/1904529","19-1904529")</f>
        <v>0</v>
      </c>
      <c r="B2119" t="s">
        <v>152</v>
      </c>
      <c r="C2119" t="s">
        <v>1578</v>
      </c>
      <c r="D2119" t="s">
        <v>3002</v>
      </c>
      <c r="E2119" t="s">
        <v>4977</v>
      </c>
      <c r="F2119">
        <v>1</v>
      </c>
      <c r="G2119" t="s">
        <v>5635</v>
      </c>
      <c r="H2119">
        <v>10466</v>
      </c>
      <c r="I2119" t="s">
        <v>5696</v>
      </c>
      <c r="J2119" t="s">
        <v>5696</v>
      </c>
      <c r="O2119" t="s">
        <v>6784</v>
      </c>
      <c r="R2119" t="s">
        <v>6798</v>
      </c>
      <c r="U2119">
        <v>0</v>
      </c>
      <c r="V2119" t="s">
        <v>6833</v>
      </c>
      <c r="Y2119" t="s">
        <v>8805</v>
      </c>
      <c r="AA2119" t="s">
        <v>10865</v>
      </c>
      <c r="AB2119">
        <v>0</v>
      </c>
      <c r="AE2119">
        <v>0</v>
      </c>
      <c r="AF2119">
        <v>1</v>
      </c>
      <c r="AG2119">
        <v>0</v>
      </c>
      <c r="AH2119">
        <v>803.84</v>
      </c>
      <c r="AK2119" t="s">
        <v>10966</v>
      </c>
      <c r="AL2119">
        <v>100400</v>
      </c>
      <c r="AR2119">
        <v>4.5</v>
      </c>
      <c r="AS2119" t="s">
        <v>6809</v>
      </c>
      <c r="AT2119" t="s">
        <v>296</v>
      </c>
      <c r="AV2119" t="s">
        <v>11231</v>
      </c>
      <c r="AW2119" t="s">
        <v>6810</v>
      </c>
    </row>
    <row r="2120" spans="1:49">
      <c r="A2120" s="1">
        <f>HYPERLINK("https://lsnyc.legalserver.org/matter/dynamic-profile/view/1904928","19-1904928")</f>
        <v>0</v>
      </c>
      <c r="B2120" t="s">
        <v>206</v>
      </c>
      <c r="C2120" t="s">
        <v>1579</v>
      </c>
      <c r="D2120" t="s">
        <v>3003</v>
      </c>
      <c r="E2120" t="s">
        <v>4978</v>
      </c>
      <c r="G2120" t="s">
        <v>5638</v>
      </c>
      <c r="H2120">
        <v>10014</v>
      </c>
      <c r="I2120" t="s">
        <v>5696</v>
      </c>
      <c r="J2120" t="s">
        <v>5696</v>
      </c>
      <c r="O2120" t="s">
        <v>6749</v>
      </c>
      <c r="R2120" t="s">
        <v>6794</v>
      </c>
      <c r="U2120">
        <v>0</v>
      </c>
      <c r="V2120" t="s">
        <v>6836</v>
      </c>
      <c r="Y2120" t="s">
        <v>8806</v>
      </c>
      <c r="AA2120" t="s">
        <v>10866</v>
      </c>
      <c r="AB2120">
        <v>0</v>
      </c>
      <c r="AE2120">
        <v>0</v>
      </c>
      <c r="AF2120">
        <v>1</v>
      </c>
      <c r="AG2120">
        <v>0</v>
      </c>
      <c r="AH2120">
        <v>155.64</v>
      </c>
      <c r="AK2120" t="s">
        <v>10966</v>
      </c>
      <c r="AL2120">
        <v>19440</v>
      </c>
      <c r="AR2120">
        <v>1</v>
      </c>
      <c r="AS2120" t="s">
        <v>6808</v>
      </c>
      <c r="AT2120" t="s">
        <v>301</v>
      </c>
      <c r="AV2120" t="s">
        <v>11231</v>
      </c>
      <c r="AW2120" t="s">
        <v>6812</v>
      </c>
    </row>
    <row r="2121" spans="1:49">
      <c r="A2121" s="1">
        <f>HYPERLINK("https://lsnyc.legalserver.org/matter/dynamic-profile/view/1901389","19-1901389")</f>
        <v>0</v>
      </c>
      <c r="B2121" t="s">
        <v>174</v>
      </c>
      <c r="C2121" t="s">
        <v>359</v>
      </c>
      <c r="D2121" t="s">
        <v>3004</v>
      </c>
      <c r="E2121" t="s">
        <v>4979</v>
      </c>
      <c r="G2121" t="s">
        <v>5637</v>
      </c>
      <c r="H2121">
        <v>11212</v>
      </c>
      <c r="I2121" t="s">
        <v>5696</v>
      </c>
      <c r="J2121" t="s">
        <v>5696</v>
      </c>
      <c r="O2121" t="s">
        <v>6775</v>
      </c>
      <c r="R2121" t="s">
        <v>6799</v>
      </c>
      <c r="U2121">
        <v>0</v>
      </c>
      <c r="V2121" t="s">
        <v>6835</v>
      </c>
      <c r="Y2121" t="s">
        <v>8807</v>
      </c>
      <c r="AA2121" t="s">
        <v>10867</v>
      </c>
      <c r="AB2121">
        <v>0</v>
      </c>
      <c r="AE2121">
        <v>0</v>
      </c>
      <c r="AF2121">
        <v>1</v>
      </c>
      <c r="AG2121">
        <v>0</v>
      </c>
      <c r="AH2121">
        <v>73.40000000000001</v>
      </c>
      <c r="AL2121">
        <v>9168</v>
      </c>
      <c r="AR2121">
        <v>7.2</v>
      </c>
      <c r="AS2121" t="s">
        <v>6816</v>
      </c>
      <c r="AT2121" t="s">
        <v>144</v>
      </c>
      <c r="AV2121" t="s">
        <v>11231</v>
      </c>
      <c r="AW2121" t="s">
        <v>6807</v>
      </c>
    </row>
    <row r="2122" spans="1:49">
      <c r="A2122" s="1">
        <f>HYPERLINK("https://lsnyc.legalserver.org/matter/dynamic-profile/view/1904627","19-1904627")</f>
        <v>0</v>
      </c>
      <c r="B2122" t="s">
        <v>146</v>
      </c>
      <c r="C2122" t="s">
        <v>851</v>
      </c>
      <c r="D2122" t="s">
        <v>3005</v>
      </c>
      <c r="E2122" t="s">
        <v>4980</v>
      </c>
      <c r="G2122" t="s">
        <v>5672</v>
      </c>
      <c r="H2122">
        <v>11411</v>
      </c>
      <c r="I2122" t="s">
        <v>5696</v>
      </c>
      <c r="J2122" t="s">
        <v>5696</v>
      </c>
      <c r="O2122" t="s">
        <v>6778</v>
      </c>
      <c r="R2122" t="s">
        <v>6798</v>
      </c>
      <c r="U2122">
        <v>0</v>
      </c>
      <c r="V2122" t="s">
        <v>6837</v>
      </c>
      <c r="Y2122" t="s">
        <v>8808</v>
      </c>
      <c r="AA2122" t="s">
        <v>10868</v>
      </c>
      <c r="AB2122">
        <v>0</v>
      </c>
      <c r="AE2122">
        <v>0</v>
      </c>
      <c r="AF2122">
        <v>4</v>
      </c>
      <c r="AG2122">
        <v>0</v>
      </c>
      <c r="AH2122">
        <v>344.02</v>
      </c>
      <c r="AK2122" t="s">
        <v>10966</v>
      </c>
      <c r="AL2122">
        <v>88584</v>
      </c>
      <c r="AR2122">
        <v>1.5</v>
      </c>
      <c r="AS2122" t="s">
        <v>6809</v>
      </c>
      <c r="AT2122" t="s">
        <v>146</v>
      </c>
      <c r="AV2122" t="s">
        <v>11231</v>
      </c>
      <c r="AW2122" t="s">
        <v>6809</v>
      </c>
    </row>
    <row r="2123" spans="1:49">
      <c r="A2123" s="1">
        <f>HYPERLINK("https://lsnyc.legalserver.org/matter/dynamic-profile/view/1896062","19-1896062")</f>
        <v>0</v>
      </c>
      <c r="B2123" t="s">
        <v>116</v>
      </c>
      <c r="C2123" t="s">
        <v>1580</v>
      </c>
      <c r="D2123" t="s">
        <v>3006</v>
      </c>
      <c r="E2123" t="s">
        <v>4981</v>
      </c>
      <c r="G2123" t="s">
        <v>5657</v>
      </c>
      <c r="H2123">
        <v>11412</v>
      </c>
      <c r="I2123" t="s">
        <v>5696</v>
      </c>
      <c r="J2123" t="s">
        <v>5696</v>
      </c>
      <c r="O2123" t="s">
        <v>6767</v>
      </c>
      <c r="R2123" t="s">
        <v>6798</v>
      </c>
      <c r="U2123">
        <v>0</v>
      </c>
      <c r="V2123" t="s">
        <v>6837</v>
      </c>
      <c r="Y2123" t="s">
        <v>8809</v>
      </c>
      <c r="AA2123" t="s">
        <v>10869</v>
      </c>
      <c r="AB2123">
        <v>0</v>
      </c>
      <c r="AE2123">
        <v>0</v>
      </c>
      <c r="AF2123">
        <v>1</v>
      </c>
      <c r="AG2123">
        <v>0</v>
      </c>
      <c r="AH2123">
        <v>352.28</v>
      </c>
      <c r="AK2123" t="s">
        <v>10966</v>
      </c>
      <c r="AL2123">
        <v>44000</v>
      </c>
      <c r="AR2123">
        <v>2.15</v>
      </c>
      <c r="AS2123" t="s">
        <v>6828</v>
      </c>
      <c r="AT2123" t="s">
        <v>11188</v>
      </c>
      <c r="AV2123" t="s">
        <v>11231</v>
      </c>
      <c r="AW2123" t="s">
        <v>10962</v>
      </c>
    </row>
    <row r="2124" spans="1:49">
      <c r="A2124" s="1">
        <f>HYPERLINK("https://lsnyc.legalserver.org/matter/dynamic-profile/view/1906046","19-1906046")</f>
        <v>0</v>
      </c>
      <c r="B2124" t="s">
        <v>68</v>
      </c>
      <c r="C2124" t="s">
        <v>1366</v>
      </c>
      <c r="D2124" t="s">
        <v>2744</v>
      </c>
      <c r="E2124" t="s">
        <v>4575</v>
      </c>
      <c r="F2124" t="s">
        <v>5182</v>
      </c>
      <c r="G2124" t="s">
        <v>5637</v>
      </c>
      <c r="H2124">
        <v>11235</v>
      </c>
      <c r="I2124" t="s">
        <v>5696</v>
      </c>
      <c r="J2124" t="s">
        <v>5696</v>
      </c>
      <c r="O2124" t="s">
        <v>6748</v>
      </c>
      <c r="R2124" t="s">
        <v>6793</v>
      </c>
      <c r="U2124">
        <v>0</v>
      </c>
      <c r="V2124" t="s">
        <v>6835</v>
      </c>
      <c r="Y2124" t="s">
        <v>7115</v>
      </c>
      <c r="AA2124" t="s">
        <v>10450</v>
      </c>
      <c r="AB2124">
        <v>0</v>
      </c>
      <c r="AE2124">
        <v>0</v>
      </c>
      <c r="AF2124">
        <v>1</v>
      </c>
      <c r="AG2124">
        <v>0</v>
      </c>
      <c r="AH2124">
        <v>42.27</v>
      </c>
      <c r="AK2124" t="s">
        <v>10969</v>
      </c>
      <c r="AL2124">
        <v>5280</v>
      </c>
      <c r="AR2124">
        <v>0.7</v>
      </c>
      <c r="AS2124" t="s">
        <v>6821</v>
      </c>
      <c r="AT2124" t="s">
        <v>11186</v>
      </c>
      <c r="AV2124" t="s">
        <v>11231</v>
      </c>
      <c r="AW2124" t="s">
        <v>6820</v>
      </c>
    </row>
    <row r="2125" spans="1:49">
      <c r="A2125" s="1">
        <f>HYPERLINK("https://lsnyc.legalserver.org/matter/dynamic-profile/view/1904566","19-1904566")</f>
        <v>0</v>
      </c>
      <c r="B2125" t="s">
        <v>153</v>
      </c>
      <c r="C2125" t="s">
        <v>605</v>
      </c>
      <c r="D2125" t="s">
        <v>2843</v>
      </c>
      <c r="E2125" t="s">
        <v>4982</v>
      </c>
      <c r="F2125">
        <v>618</v>
      </c>
      <c r="G2125" t="s">
        <v>5638</v>
      </c>
      <c r="H2125">
        <v>10032</v>
      </c>
      <c r="I2125" t="s">
        <v>5696</v>
      </c>
      <c r="J2125" t="s">
        <v>5696</v>
      </c>
      <c r="O2125" t="s">
        <v>6777</v>
      </c>
      <c r="R2125" t="s">
        <v>6800</v>
      </c>
      <c r="U2125">
        <v>0</v>
      </c>
      <c r="V2125" t="s">
        <v>6836</v>
      </c>
      <c r="Y2125" t="s">
        <v>8810</v>
      </c>
      <c r="AA2125" t="s">
        <v>10870</v>
      </c>
      <c r="AB2125">
        <v>0</v>
      </c>
      <c r="AE2125">
        <v>0</v>
      </c>
      <c r="AF2125">
        <v>1</v>
      </c>
      <c r="AG2125">
        <v>0</v>
      </c>
      <c r="AH2125">
        <v>89.93000000000001</v>
      </c>
      <c r="AK2125" t="s">
        <v>10966</v>
      </c>
      <c r="AL2125">
        <v>11232</v>
      </c>
      <c r="AR2125">
        <v>3.25</v>
      </c>
      <c r="AS2125" t="s">
        <v>6814</v>
      </c>
      <c r="AT2125" t="s">
        <v>11203</v>
      </c>
      <c r="AV2125" t="s">
        <v>11231</v>
      </c>
      <c r="AW2125" t="s">
        <v>6810</v>
      </c>
    </row>
    <row r="2126" spans="1:49">
      <c r="A2126" s="1">
        <f>HYPERLINK("https://lsnyc.legalserver.org/matter/dynamic-profile/view/1905244","19-1905244")</f>
        <v>0</v>
      </c>
      <c r="B2126" t="s">
        <v>304</v>
      </c>
      <c r="C2126" t="s">
        <v>546</v>
      </c>
      <c r="D2126" t="s">
        <v>2513</v>
      </c>
      <c r="E2126" t="s">
        <v>4983</v>
      </c>
      <c r="F2126">
        <v>213</v>
      </c>
      <c r="G2126" t="s">
        <v>5638</v>
      </c>
      <c r="H2126">
        <v>10037</v>
      </c>
      <c r="I2126" t="s">
        <v>5696</v>
      </c>
      <c r="J2126" t="s">
        <v>5696</v>
      </c>
      <c r="O2126" t="s">
        <v>6777</v>
      </c>
      <c r="R2126" t="s">
        <v>6793</v>
      </c>
      <c r="U2126">
        <v>0</v>
      </c>
      <c r="V2126" t="s">
        <v>6836</v>
      </c>
      <c r="Y2126" t="s">
        <v>7689</v>
      </c>
      <c r="AA2126" t="s">
        <v>10871</v>
      </c>
      <c r="AB2126">
        <v>0</v>
      </c>
      <c r="AE2126">
        <v>0</v>
      </c>
      <c r="AF2126">
        <v>1</v>
      </c>
      <c r="AG2126">
        <v>0</v>
      </c>
      <c r="AH2126">
        <v>276.22</v>
      </c>
      <c r="AL2126">
        <v>34500</v>
      </c>
      <c r="AR2126">
        <v>5.25</v>
      </c>
      <c r="AS2126" t="s">
        <v>6821</v>
      </c>
      <c r="AT2126" t="s">
        <v>229</v>
      </c>
      <c r="AV2126" t="s">
        <v>11231</v>
      </c>
      <c r="AW2126" t="s">
        <v>6816</v>
      </c>
    </row>
    <row r="2127" spans="1:49">
      <c r="A2127" s="1">
        <f>HYPERLINK("https://lsnyc.legalserver.org/matter/dynamic-profile/view/1902468","19-1902468")</f>
        <v>0</v>
      </c>
      <c r="B2127" t="s">
        <v>116</v>
      </c>
      <c r="C2127" t="s">
        <v>1066</v>
      </c>
      <c r="D2127" t="s">
        <v>3007</v>
      </c>
      <c r="E2127" t="s">
        <v>4984</v>
      </c>
      <c r="G2127" t="s">
        <v>5665</v>
      </c>
      <c r="H2127">
        <v>11377</v>
      </c>
      <c r="I2127" t="s">
        <v>5696</v>
      </c>
      <c r="J2127" t="s">
        <v>5696</v>
      </c>
      <c r="O2127" t="s">
        <v>6767</v>
      </c>
      <c r="R2127" t="s">
        <v>6798</v>
      </c>
      <c r="U2127">
        <v>0</v>
      </c>
      <c r="V2127" t="s">
        <v>6837</v>
      </c>
      <c r="Y2127" t="s">
        <v>8811</v>
      </c>
      <c r="AA2127" t="s">
        <v>10872</v>
      </c>
      <c r="AB2127">
        <v>0</v>
      </c>
      <c r="AE2127">
        <v>0</v>
      </c>
      <c r="AF2127">
        <v>2</v>
      </c>
      <c r="AG2127">
        <v>0</v>
      </c>
      <c r="AH2127">
        <v>92.25</v>
      </c>
      <c r="AK2127" t="s">
        <v>10966</v>
      </c>
      <c r="AL2127">
        <v>15600</v>
      </c>
      <c r="AR2127">
        <v>1.35</v>
      </c>
      <c r="AS2127" t="s">
        <v>6813</v>
      </c>
      <c r="AT2127" t="s">
        <v>11183</v>
      </c>
      <c r="AV2127" t="s">
        <v>11231</v>
      </c>
      <c r="AW2127" t="s">
        <v>11117</v>
      </c>
    </row>
    <row r="2128" spans="1:49">
      <c r="A2128" s="1">
        <f>HYPERLINK("https://lsnyc.legalserver.org/matter/dynamic-profile/view/1904214","19-1904214")</f>
        <v>0</v>
      </c>
      <c r="B2128" t="s">
        <v>145</v>
      </c>
      <c r="C2128" t="s">
        <v>698</v>
      </c>
      <c r="D2128" t="s">
        <v>3008</v>
      </c>
      <c r="E2128" t="s">
        <v>4843</v>
      </c>
      <c r="F2128">
        <v>515</v>
      </c>
      <c r="G2128" t="s">
        <v>5638</v>
      </c>
      <c r="H2128">
        <v>10035</v>
      </c>
      <c r="I2128" t="s">
        <v>5696</v>
      </c>
      <c r="J2128" t="s">
        <v>5696</v>
      </c>
      <c r="O2128" t="s">
        <v>6777</v>
      </c>
      <c r="R2128" t="s">
        <v>6793</v>
      </c>
      <c r="U2128">
        <v>0</v>
      </c>
      <c r="V2128" t="s">
        <v>6836</v>
      </c>
      <c r="Y2128" t="s">
        <v>8812</v>
      </c>
      <c r="AA2128" t="s">
        <v>10873</v>
      </c>
      <c r="AB2128">
        <v>0</v>
      </c>
      <c r="AE2128">
        <v>0</v>
      </c>
      <c r="AF2128">
        <v>1</v>
      </c>
      <c r="AG2128">
        <v>1</v>
      </c>
      <c r="AH2128">
        <v>122.13</v>
      </c>
      <c r="AK2128" t="s">
        <v>10966</v>
      </c>
      <c r="AL2128">
        <v>20652</v>
      </c>
      <c r="AR2128">
        <v>9.25</v>
      </c>
      <c r="AS2128" t="s">
        <v>6819</v>
      </c>
      <c r="AT2128" t="s">
        <v>229</v>
      </c>
      <c r="AV2128" t="s">
        <v>11231</v>
      </c>
      <c r="AW2128" t="s">
        <v>6818</v>
      </c>
    </row>
    <row r="2129" spans="1:49">
      <c r="A2129" s="1">
        <f>HYPERLINK("https://lsnyc.legalserver.org/matter/dynamic-profile/view/1900303","19-1900303")</f>
        <v>0</v>
      </c>
      <c r="B2129" t="s">
        <v>146</v>
      </c>
      <c r="C2129" t="s">
        <v>1581</v>
      </c>
      <c r="D2129" t="s">
        <v>3009</v>
      </c>
      <c r="E2129" t="s">
        <v>4985</v>
      </c>
      <c r="G2129" t="s">
        <v>5663</v>
      </c>
      <c r="H2129">
        <v>11361</v>
      </c>
      <c r="I2129" t="s">
        <v>5696</v>
      </c>
      <c r="J2129" t="s">
        <v>5696</v>
      </c>
      <c r="O2129" t="s">
        <v>6778</v>
      </c>
      <c r="R2129" t="s">
        <v>6798</v>
      </c>
      <c r="U2129">
        <v>0</v>
      </c>
      <c r="V2129" t="s">
        <v>6837</v>
      </c>
      <c r="Y2129" t="s">
        <v>8813</v>
      </c>
      <c r="AA2129" t="s">
        <v>10874</v>
      </c>
      <c r="AB2129">
        <v>0</v>
      </c>
      <c r="AE2129">
        <v>0</v>
      </c>
      <c r="AF2129">
        <v>3</v>
      </c>
      <c r="AG2129">
        <v>0</v>
      </c>
      <c r="AH2129">
        <v>178.9</v>
      </c>
      <c r="AL2129">
        <v>38160</v>
      </c>
      <c r="AR2129">
        <v>1.9</v>
      </c>
      <c r="AS2129" t="s">
        <v>11135</v>
      </c>
      <c r="AT2129" t="s">
        <v>146</v>
      </c>
      <c r="AV2129" t="s">
        <v>11231</v>
      </c>
      <c r="AW2129" t="s">
        <v>11155</v>
      </c>
    </row>
    <row r="2130" spans="1:49">
      <c r="A2130" s="1">
        <f>HYPERLINK("https://lsnyc.legalserver.org/matter/dynamic-profile/view/1902323","19-1902323")</f>
        <v>0</v>
      </c>
      <c r="B2130" t="s">
        <v>205</v>
      </c>
      <c r="C2130" t="s">
        <v>1582</v>
      </c>
      <c r="D2130" t="s">
        <v>1980</v>
      </c>
      <c r="E2130" t="s">
        <v>4986</v>
      </c>
      <c r="F2130" t="s">
        <v>5215</v>
      </c>
      <c r="G2130" t="s">
        <v>5637</v>
      </c>
      <c r="H2130">
        <v>11217</v>
      </c>
      <c r="I2130" t="s">
        <v>5696</v>
      </c>
      <c r="J2130" t="s">
        <v>5696</v>
      </c>
      <c r="O2130" t="s">
        <v>6748</v>
      </c>
      <c r="R2130" t="s">
        <v>6795</v>
      </c>
      <c r="U2130">
        <v>1550</v>
      </c>
      <c r="V2130" t="s">
        <v>6835</v>
      </c>
      <c r="Y2130" t="s">
        <v>8814</v>
      </c>
      <c r="AA2130" t="s">
        <v>10875</v>
      </c>
      <c r="AB2130">
        <v>6</v>
      </c>
      <c r="AE2130">
        <v>9</v>
      </c>
      <c r="AF2130">
        <v>1</v>
      </c>
      <c r="AG2130">
        <v>0</v>
      </c>
      <c r="AH2130">
        <v>0</v>
      </c>
      <c r="AK2130" t="s">
        <v>10966</v>
      </c>
      <c r="AL2130">
        <v>0</v>
      </c>
      <c r="AR2130">
        <v>2.1</v>
      </c>
      <c r="AS2130" t="s">
        <v>6825</v>
      </c>
      <c r="AT2130" t="s">
        <v>11185</v>
      </c>
      <c r="AV2130" t="s">
        <v>11231</v>
      </c>
      <c r="AW2130" t="s">
        <v>11140</v>
      </c>
    </row>
    <row r="2131" spans="1:49">
      <c r="A2131" s="1">
        <f>HYPERLINK("https://lsnyc.legalserver.org/matter/dynamic-profile/view/1902964","19-1902964")</f>
        <v>0</v>
      </c>
      <c r="B2131" t="s">
        <v>269</v>
      </c>
      <c r="C2131" t="s">
        <v>472</v>
      </c>
      <c r="D2131" t="s">
        <v>2750</v>
      </c>
      <c r="E2131" t="s">
        <v>4987</v>
      </c>
      <c r="G2131" t="s">
        <v>5636</v>
      </c>
      <c r="H2131">
        <v>10314</v>
      </c>
      <c r="I2131" t="s">
        <v>5696</v>
      </c>
      <c r="J2131" t="s">
        <v>5696</v>
      </c>
      <c r="O2131" t="s">
        <v>6762</v>
      </c>
      <c r="R2131" t="s">
        <v>6793</v>
      </c>
      <c r="U2131">
        <v>0</v>
      </c>
      <c r="V2131" t="s">
        <v>6834</v>
      </c>
      <c r="Y2131" t="s">
        <v>8815</v>
      </c>
      <c r="AA2131" t="s">
        <v>10876</v>
      </c>
      <c r="AB2131">
        <v>0</v>
      </c>
      <c r="AE2131">
        <v>0</v>
      </c>
      <c r="AF2131">
        <v>3</v>
      </c>
      <c r="AG2131">
        <v>2</v>
      </c>
      <c r="AH2131">
        <v>180.74</v>
      </c>
      <c r="AK2131" t="s">
        <v>10966</v>
      </c>
      <c r="AL2131">
        <v>54529.8</v>
      </c>
      <c r="AR2131">
        <v>3</v>
      </c>
      <c r="AS2131" t="s">
        <v>6809</v>
      </c>
      <c r="AT2131" t="s">
        <v>264</v>
      </c>
      <c r="AV2131" t="s">
        <v>11231</v>
      </c>
      <c r="AW2131" t="s">
        <v>11138</v>
      </c>
    </row>
    <row r="2132" spans="1:49">
      <c r="A2132" s="1">
        <f>HYPERLINK("https://lsnyc.legalserver.org/matter/dynamic-profile/view/1905977","19-1905977")</f>
        <v>0</v>
      </c>
      <c r="B2132" t="s">
        <v>112</v>
      </c>
      <c r="C2132" t="s">
        <v>1583</v>
      </c>
      <c r="D2132" t="s">
        <v>3010</v>
      </c>
      <c r="E2132" t="s">
        <v>4988</v>
      </c>
      <c r="F2132" t="s">
        <v>5252</v>
      </c>
      <c r="G2132" t="s">
        <v>5638</v>
      </c>
      <c r="H2132">
        <v>10035</v>
      </c>
      <c r="I2132" t="s">
        <v>5696</v>
      </c>
      <c r="J2132" t="s">
        <v>5696</v>
      </c>
      <c r="O2132" t="s">
        <v>6748</v>
      </c>
      <c r="R2132" t="s">
        <v>6793</v>
      </c>
      <c r="U2132">
        <v>1475</v>
      </c>
      <c r="V2132" t="s">
        <v>6836</v>
      </c>
      <c r="W2132" t="s">
        <v>6848</v>
      </c>
      <c r="Y2132" t="s">
        <v>8816</v>
      </c>
      <c r="AA2132" t="s">
        <v>10877</v>
      </c>
      <c r="AB2132">
        <v>15</v>
      </c>
      <c r="AD2132" t="s">
        <v>10944</v>
      </c>
      <c r="AE2132">
        <v>14</v>
      </c>
      <c r="AF2132">
        <v>2</v>
      </c>
      <c r="AG2132">
        <v>2</v>
      </c>
      <c r="AH2132">
        <v>8.16</v>
      </c>
      <c r="AK2132" t="s">
        <v>10966</v>
      </c>
      <c r="AL2132">
        <v>2100</v>
      </c>
      <c r="AR2132">
        <v>1</v>
      </c>
      <c r="AS2132" t="s">
        <v>6826</v>
      </c>
      <c r="AT2132" t="s">
        <v>11203</v>
      </c>
      <c r="AV2132" t="s">
        <v>11231</v>
      </c>
      <c r="AW2132" t="s">
        <v>6826</v>
      </c>
    </row>
    <row r="2133" spans="1:49">
      <c r="A2133" s="1">
        <f>HYPERLINK("https://lsnyc.legalserver.org/matter/dynamic-profile/view/1898692","19-1898692")</f>
        <v>0</v>
      </c>
      <c r="B2133" t="s">
        <v>192</v>
      </c>
      <c r="C2133" t="s">
        <v>1572</v>
      </c>
      <c r="D2133" t="s">
        <v>2543</v>
      </c>
      <c r="E2133" t="s">
        <v>4989</v>
      </c>
      <c r="F2133">
        <v>3</v>
      </c>
      <c r="G2133" t="s">
        <v>5635</v>
      </c>
      <c r="H2133">
        <v>10467</v>
      </c>
      <c r="I2133" t="s">
        <v>5696</v>
      </c>
      <c r="J2133" t="s">
        <v>5696</v>
      </c>
      <c r="O2133" t="s">
        <v>6748</v>
      </c>
      <c r="R2133" t="s">
        <v>6795</v>
      </c>
      <c r="U2133">
        <v>0</v>
      </c>
      <c r="V2133" t="s">
        <v>6833</v>
      </c>
      <c r="Y2133" t="s">
        <v>8817</v>
      </c>
      <c r="AA2133" t="s">
        <v>10878</v>
      </c>
      <c r="AB2133">
        <v>0</v>
      </c>
      <c r="AE2133">
        <v>0</v>
      </c>
      <c r="AF2133">
        <v>1</v>
      </c>
      <c r="AG2133">
        <v>3</v>
      </c>
      <c r="AH2133">
        <v>32.62</v>
      </c>
      <c r="AK2133" t="s">
        <v>10966</v>
      </c>
      <c r="AL2133">
        <v>8400</v>
      </c>
      <c r="AR2133">
        <v>1.5</v>
      </c>
      <c r="AS2133" t="s">
        <v>10957</v>
      </c>
      <c r="AT2133" t="s">
        <v>11185</v>
      </c>
      <c r="AV2133" t="s">
        <v>11231</v>
      </c>
      <c r="AW2133" t="s">
        <v>11152</v>
      </c>
    </row>
    <row r="2134" spans="1:49">
      <c r="A2134" s="1">
        <f>HYPERLINK("https://lsnyc.legalserver.org/matter/dynamic-profile/view/1898788","19-1898788")</f>
        <v>0</v>
      </c>
      <c r="B2134" t="s">
        <v>152</v>
      </c>
      <c r="C2134" t="s">
        <v>1360</v>
      </c>
      <c r="D2134" t="s">
        <v>3011</v>
      </c>
      <c r="E2134" t="s">
        <v>4990</v>
      </c>
      <c r="F2134" t="s">
        <v>5203</v>
      </c>
      <c r="G2134" t="s">
        <v>5635</v>
      </c>
      <c r="H2134">
        <v>10462</v>
      </c>
      <c r="I2134" t="s">
        <v>5696</v>
      </c>
      <c r="J2134" t="s">
        <v>5696</v>
      </c>
      <c r="O2134" t="s">
        <v>6784</v>
      </c>
      <c r="R2134" t="s">
        <v>6797</v>
      </c>
      <c r="U2134">
        <v>0</v>
      </c>
      <c r="V2134" t="s">
        <v>6833</v>
      </c>
      <c r="Y2134" t="s">
        <v>8818</v>
      </c>
      <c r="AA2134" t="s">
        <v>10879</v>
      </c>
      <c r="AB2134">
        <v>0</v>
      </c>
      <c r="AE2134">
        <v>0</v>
      </c>
      <c r="AF2134">
        <v>2</v>
      </c>
      <c r="AG2134">
        <v>0</v>
      </c>
      <c r="AH2134">
        <v>354.82</v>
      </c>
      <c r="AK2134" t="s">
        <v>10966</v>
      </c>
      <c r="AL2134">
        <v>60000</v>
      </c>
      <c r="AR2134">
        <v>4.5</v>
      </c>
      <c r="AS2134" t="s">
        <v>10959</v>
      </c>
      <c r="AT2134" t="s">
        <v>296</v>
      </c>
      <c r="AV2134" t="s">
        <v>11231</v>
      </c>
      <c r="AW2134" t="s">
        <v>11152</v>
      </c>
    </row>
    <row r="2135" spans="1:49">
      <c r="A2135" s="1">
        <f>HYPERLINK("https://lsnyc.legalserver.org/matter/dynamic-profile/view/1904393","19-1904393")</f>
        <v>0</v>
      </c>
      <c r="B2135" t="s">
        <v>293</v>
      </c>
      <c r="C2135" t="s">
        <v>435</v>
      </c>
      <c r="D2135" t="s">
        <v>3012</v>
      </c>
      <c r="E2135" t="s">
        <v>4991</v>
      </c>
      <c r="F2135" t="s">
        <v>5508</v>
      </c>
      <c r="G2135" t="s">
        <v>5636</v>
      </c>
      <c r="H2135">
        <v>10314</v>
      </c>
      <c r="I2135" t="s">
        <v>5696</v>
      </c>
      <c r="J2135" t="s">
        <v>5696</v>
      </c>
      <c r="O2135" t="s">
        <v>6754</v>
      </c>
      <c r="R2135" t="s">
        <v>6799</v>
      </c>
      <c r="U2135">
        <v>0</v>
      </c>
      <c r="V2135" t="s">
        <v>6834</v>
      </c>
      <c r="Y2135" t="s">
        <v>8684</v>
      </c>
      <c r="AA2135" t="s">
        <v>10880</v>
      </c>
      <c r="AB2135">
        <v>0</v>
      </c>
      <c r="AE2135">
        <v>0</v>
      </c>
      <c r="AF2135">
        <v>4</v>
      </c>
      <c r="AG2135">
        <v>0</v>
      </c>
      <c r="AH2135">
        <v>99.98999999999999</v>
      </c>
      <c r="AK2135" t="s">
        <v>10966</v>
      </c>
      <c r="AL2135">
        <v>25748.4</v>
      </c>
      <c r="AR2135">
        <v>2</v>
      </c>
      <c r="AS2135" t="s">
        <v>6827</v>
      </c>
      <c r="AT2135" t="s">
        <v>11211</v>
      </c>
      <c r="AV2135" t="s">
        <v>11231</v>
      </c>
      <c r="AW2135" t="s">
        <v>6815</v>
      </c>
    </row>
    <row r="2136" spans="1:49">
      <c r="A2136" s="1">
        <f>HYPERLINK("https://lsnyc.legalserver.org/matter/dynamic-profile/view/1905214","19-1905214")</f>
        <v>0</v>
      </c>
      <c r="B2136" t="s">
        <v>156</v>
      </c>
      <c r="C2136" t="s">
        <v>1584</v>
      </c>
      <c r="D2136" t="s">
        <v>3013</v>
      </c>
      <c r="E2136" t="s">
        <v>4992</v>
      </c>
      <c r="F2136" t="s">
        <v>5621</v>
      </c>
      <c r="G2136" t="s">
        <v>5646</v>
      </c>
      <c r="H2136">
        <v>11373</v>
      </c>
      <c r="I2136" t="s">
        <v>5696</v>
      </c>
      <c r="J2136" t="s">
        <v>5696</v>
      </c>
      <c r="O2136" t="s">
        <v>6753</v>
      </c>
      <c r="R2136" t="s">
        <v>6793</v>
      </c>
      <c r="U2136">
        <v>0</v>
      </c>
      <c r="V2136" t="s">
        <v>6835</v>
      </c>
      <c r="Y2136" t="s">
        <v>8819</v>
      </c>
      <c r="AA2136" t="s">
        <v>10881</v>
      </c>
      <c r="AB2136">
        <v>0</v>
      </c>
      <c r="AE2136">
        <v>0</v>
      </c>
      <c r="AF2136">
        <v>3</v>
      </c>
      <c r="AG2136">
        <v>0</v>
      </c>
      <c r="AH2136">
        <v>243.79</v>
      </c>
      <c r="AK2136" t="s">
        <v>10967</v>
      </c>
      <c r="AL2136">
        <v>52000</v>
      </c>
      <c r="AR2136">
        <v>1.6</v>
      </c>
      <c r="AS2136" t="s">
        <v>6821</v>
      </c>
      <c r="AT2136" t="s">
        <v>72</v>
      </c>
      <c r="AV2136" t="s">
        <v>11231</v>
      </c>
      <c r="AW2136" t="s">
        <v>6814</v>
      </c>
    </row>
    <row r="2137" spans="1:49">
      <c r="A2137" s="1">
        <f>HYPERLINK("https://lsnyc.legalserver.org/matter/dynamic-profile/view/1906062","19-1906062")</f>
        <v>0</v>
      </c>
      <c r="B2137" t="s">
        <v>50</v>
      </c>
      <c r="C2137" t="s">
        <v>1585</v>
      </c>
      <c r="D2137" t="s">
        <v>3014</v>
      </c>
      <c r="E2137" t="s">
        <v>3665</v>
      </c>
      <c r="F2137" t="s">
        <v>5153</v>
      </c>
      <c r="G2137" t="s">
        <v>5635</v>
      </c>
      <c r="H2137">
        <v>10474</v>
      </c>
      <c r="I2137" t="s">
        <v>5695</v>
      </c>
      <c r="J2137" t="s">
        <v>5696</v>
      </c>
      <c r="O2137" t="s">
        <v>6745</v>
      </c>
      <c r="P2137" t="s">
        <v>5695</v>
      </c>
      <c r="R2137" t="s">
        <v>6793</v>
      </c>
      <c r="U2137">
        <v>1425</v>
      </c>
      <c r="V2137" t="s">
        <v>6833</v>
      </c>
      <c r="W2137" t="s">
        <v>6838</v>
      </c>
      <c r="Y2137" t="s">
        <v>8820</v>
      </c>
      <c r="AA2137" t="s">
        <v>10882</v>
      </c>
      <c r="AB2137">
        <v>47</v>
      </c>
      <c r="AC2137" t="s">
        <v>10929</v>
      </c>
      <c r="AD2137" t="s">
        <v>5741</v>
      </c>
      <c r="AE2137">
        <v>4</v>
      </c>
      <c r="AF2137">
        <v>2</v>
      </c>
      <c r="AG2137">
        <v>0</v>
      </c>
      <c r="AH2137">
        <v>292.13</v>
      </c>
      <c r="AK2137" t="s">
        <v>10966</v>
      </c>
      <c r="AL2137">
        <v>49400</v>
      </c>
      <c r="AR2137">
        <v>11.5</v>
      </c>
      <c r="AS2137" t="s">
        <v>6821</v>
      </c>
      <c r="AT2137" t="s">
        <v>11196</v>
      </c>
      <c r="AV2137" t="s">
        <v>11231</v>
      </c>
      <c r="AW2137" t="s">
        <v>6820</v>
      </c>
    </row>
    <row r="2138" spans="1:49">
      <c r="A2138" s="1">
        <f>HYPERLINK("https://lsnyc.legalserver.org/matter/dynamic-profile/view/1899320","19-1899320")</f>
        <v>0</v>
      </c>
      <c r="B2138" t="s">
        <v>292</v>
      </c>
      <c r="C2138" t="s">
        <v>343</v>
      </c>
      <c r="D2138" t="s">
        <v>3015</v>
      </c>
      <c r="E2138" t="s">
        <v>4993</v>
      </c>
      <c r="G2138" t="s">
        <v>5635</v>
      </c>
      <c r="H2138">
        <v>10469</v>
      </c>
      <c r="I2138" t="s">
        <v>5696</v>
      </c>
      <c r="J2138" t="s">
        <v>5696</v>
      </c>
      <c r="O2138" t="s">
        <v>6784</v>
      </c>
      <c r="R2138" t="s">
        <v>6798</v>
      </c>
      <c r="U2138">
        <v>0</v>
      </c>
      <c r="V2138" t="s">
        <v>6833</v>
      </c>
      <c r="Y2138" t="s">
        <v>8821</v>
      </c>
      <c r="AA2138" t="s">
        <v>10883</v>
      </c>
      <c r="AB2138">
        <v>0</v>
      </c>
      <c r="AE2138">
        <v>0</v>
      </c>
      <c r="AF2138">
        <v>1</v>
      </c>
      <c r="AG2138">
        <v>0</v>
      </c>
      <c r="AH2138">
        <v>380.11</v>
      </c>
      <c r="AK2138" t="s">
        <v>10966</v>
      </c>
      <c r="AL2138">
        <v>47476</v>
      </c>
      <c r="AR2138">
        <v>21.25</v>
      </c>
      <c r="AS2138" t="s">
        <v>6808</v>
      </c>
      <c r="AT2138" t="s">
        <v>296</v>
      </c>
      <c r="AV2138" t="s">
        <v>11231</v>
      </c>
      <c r="AW2138" t="s">
        <v>11169</v>
      </c>
    </row>
    <row r="2139" spans="1:49">
      <c r="A2139" s="1">
        <f>HYPERLINK("https://lsnyc.legalserver.org/matter/dynamic-profile/view/1899957","19-1899957")</f>
        <v>0</v>
      </c>
      <c r="B2139" t="s">
        <v>152</v>
      </c>
      <c r="C2139" t="s">
        <v>1586</v>
      </c>
      <c r="D2139" t="s">
        <v>2730</v>
      </c>
      <c r="E2139" t="s">
        <v>4994</v>
      </c>
      <c r="F2139" t="s">
        <v>5622</v>
      </c>
      <c r="G2139" t="s">
        <v>5635</v>
      </c>
      <c r="H2139">
        <v>10456</v>
      </c>
      <c r="I2139" t="s">
        <v>5696</v>
      </c>
      <c r="J2139" t="s">
        <v>5696</v>
      </c>
      <c r="O2139" t="s">
        <v>6784</v>
      </c>
      <c r="R2139" t="s">
        <v>6797</v>
      </c>
      <c r="U2139">
        <v>0</v>
      </c>
      <c r="V2139" t="s">
        <v>6833</v>
      </c>
      <c r="Y2139" t="s">
        <v>8822</v>
      </c>
      <c r="AA2139" t="s">
        <v>10884</v>
      </c>
      <c r="AB2139">
        <v>0</v>
      </c>
      <c r="AE2139">
        <v>0</v>
      </c>
      <c r="AF2139">
        <v>3</v>
      </c>
      <c r="AG2139">
        <v>0</v>
      </c>
      <c r="AH2139">
        <v>118.91</v>
      </c>
      <c r="AK2139" t="s">
        <v>10966</v>
      </c>
      <c r="AL2139">
        <v>25363.2</v>
      </c>
      <c r="AR2139">
        <v>7.5</v>
      </c>
      <c r="AS2139" t="s">
        <v>11149</v>
      </c>
      <c r="AT2139" t="s">
        <v>296</v>
      </c>
      <c r="AV2139" t="s">
        <v>11231</v>
      </c>
      <c r="AW2139" t="s">
        <v>10957</v>
      </c>
    </row>
    <row r="2140" spans="1:49">
      <c r="A2140" s="1">
        <f>HYPERLINK("https://lsnyc.legalserver.org/matter/dynamic-profile/view/1904569","19-1904569")</f>
        <v>0</v>
      </c>
      <c r="B2140" t="s">
        <v>205</v>
      </c>
      <c r="C2140" t="s">
        <v>321</v>
      </c>
      <c r="D2140" t="s">
        <v>3016</v>
      </c>
      <c r="E2140" t="s">
        <v>4995</v>
      </c>
      <c r="F2140">
        <v>2</v>
      </c>
      <c r="G2140" t="s">
        <v>5637</v>
      </c>
      <c r="H2140">
        <v>11219</v>
      </c>
      <c r="I2140" t="s">
        <v>5696</v>
      </c>
      <c r="J2140" t="s">
        <v>5696</v>
      </c>
      <c r="O2140" t="s">
        <v>6748</v>
      </c>
      <c r="R2140" t="s">
        <v>6793</v>
      </c>
      <c r="U2140">
        <v>1300</v>
      </c>
      <c r="V2140" t="s">
        <v>6835</v>
      </c>
      <c r="Y2140" t="s">
        <v>8823</v>
      </c>
      <c r="AA2140" t="s">
        <v>10885</v>
      </c>
      <c r="AB2140">
        <v>2</v>
      </c>
      <c r="AE2140">
        <v>1100</v>
      </c>
      <c r="AF2140">
        <v>1</v>
      </c>
      <c r="AG2140">
        <v>0</v>
      </c>
      <c r="AH2140">
        <v>67.25</v>
      </c>
      <c r="AK2140" t="s">
        <v>10966</v>
      </c>
      <c r="AL2140">
        <v>8400</v>
      </c>
      <c r="AR2140">
        <v>1.1</v>
      </c>
      <c r="AS2140" t="s">
        <v>6814</v>
      </c>
      <c r="AT2140" t="s">
        <v>11192</v>
      </c>
      <c r="AV2140" t="s">
        <v>11231</v>
      </c>
      <c r="AW2140" t="s">
        <v>6810</v>
      </c>
    </row>
    <row r="2141" spans="1:49">
      <c r="A2141" s="1">
        <f>HYPERLINK("https://lsnyc.legalserver.org/matter/dynamic-profile/view/1904157","19-1904157")</f>
        <v>0</v>
      </c>
      <c r="B2141" t="s">
        <v>68</v>
      </c>
      <c r="C2141" t="s">
        <v>1587</v>
      </c>
      <c r="D2141" t="s">
        <v>3017</v>
      </c>
      <c r="E2141" t="s">
        <v>4996</v>
      </c>
      <c r="F2141">
        <v>58</v>
      </c>
      <c r="G2141" t="s">
        <v>5637</v>
      </c>
      <c r="H2141">
        <v>11235</v>
      </c>
      <c r="I2141" t="s">
        <v>5696</v>
      </c>
      <c r="J2141" t="s">
        <v>5696</v>
      </c>
      <c r="O2141" t="s">
        <v>6748</v>
      </c>
      <c r="R2141" t="s">
        <v>6793</v>
      </c>
      <c r="U2141">
        <v>1074</v>
      </c>
      <c r="V2141" t="s">
        <v>6835</v>
      </c>
      <c r="Y2141" t="s">
        <v>8824</v>
      </c>
      <c r="AA2141" t="s">
        <v>10886</v>
      </c>
      <c r="AB2141">
        <v>60</v>
      </c>
      <c r="AE2141">
        <v>17</v>
      </c>
      <c r="AF2141">
        <v>1</v>
      </c>
      <c r="AG2141">
        <v>0</v>
      </c>
      <c r="AH2141">
        <v>0</v>
      </c>
      <c r="AK2141" t="s">
        <v>10969</v>
      </c>
      <c r="AL2141">
        <v>0</v>
      </c>
      <c r="AR2141">
        <v>1.4</v>
      </c>
      <c r="AS2141" t="s">
        <v>6814</v>
      </c>
      <c r="AT2141" t="s">
        <v>11192</v>
      </c>
      <c r="AV2141" t="s">
        <v>11231</v>
      </c>
      <c r="AW2141" t="s">
        <v>6818</v>
      </c>
    </row>
    <row r="2142" spans="1:49">
      <c r="A2142" s="1">
        <f>HYPERLINK("https://lsnyc.legalserver.org/matter/dynamic-profile/view/1905328","19-1905328")</f>
        <v>0</v>
      </c>
      <c r="B2142" t="s">
        <v>68</v>
      </c>
      <c r="C2142" t="s">
        <v>1588</v>
      </c>
      <c r="D2142" t="s">
        <v>2263</v>
      </c>
      <c r="E2142" t="s">
        <v>4997</v>
      </c>
      <c r="F2142" t="s">
        <v>5344</v>
      </c>
      <c r="G2142" t="s">
        <v>5637</v>
      </c>
      <c r="H2142">
        <v>11226</v>
      </c>
      <c r="I2142" t="s">
        <v>5696</v>
      </c>
      <c r="J2142" t="s">
        <v>5696</v>
      </c>
      <c r="O2142" t="s">
        <v>6748</v>
      </c>
      <c r="R2142" t="s">
        <v>6793</v>
      </c>
      <c r="U2142">
        <v>732</v>
      </c>
      <c r="V2142" t="s">
        <v>6835</v>
      </c>
      <c r="W2142" t="s">
        <v>6843</v>
      </c>
      <c r="Y2142" t="s">
        <v>8825</v>
      </c>
      <c r="AA2142" t="s">
        <v>10887</v>
      </c>
      <c r="AB2142">
        <v>20</v>
      </c>
      <c r="AD2142" t="s">
        <v>10944</v>
      </c>
      <c r="AE2142">
        <v>42</v>
      </c>
      <c r="AF2142">
        <v>1</v>
      </c>
      <c r="AG2142">
        <v>0</v>
      </c>
      <c r="AH2142">
        <v>75.8</v>
      </c>
      <c r="AK2142" t="s">
        <v>10966</v>
      </c>
      <c r="AL2142">
        <v>9468</v>
      </c>
      <c r="AR2142">
        <v>0.6</v>
      </c>
      <c r="AS2142" t="s">
        <v>6828</v>
      </c>
      <c r="AT2142" t="s">
        <v>11188</v>
      </c>
      <c r="AV2142" t="s">
        <v>11231</v>
      </c>
      <c r="AW2142" t="s">
        <v>6828</v>
      </c>
    </row>
    <row r="2143" spans="1:49">
      <c r="A2143" s="1">
        <f>HYPERLINK("https://lsnyc.legalserver.org/matter/dynamic-profile/view/1903666","19-1903666")</f>
        <v>0</v>
      </c>
      <c r="B2143" t="s">
        <v>278</v>
      </c>
      <c r="C2143" t="s">
        <v>501</v>
      </c>
      <c r="D2143" t="s">
        <v>2758</v>
      </c>
      <c r="E2143" t="s">
        <v>4998</v>
      </c>
      <c r="F2143" t="s">
        <v>5198</v>
      </c>
      <c r="G2143" t="s">
        <v>5637</v>
      </c>
      <c r="H2143">
        <v>11203</v>
      </c>
      <c r="I2143" t="s">
        <v>5696</v>
      </c>
      <c r="J2143" t="s">
        <v>5696</v>
      </c>
      <c r="O2143" t="s">
        <v>6748</v>
      </c>
      <c r="R2143" t="s">
        <v>6793</v>
      </c>
      <c r="U2143">
        <v>820</v>
      </c>
      <c r="V2143" t="s">
        <v>6835</v>
      </c>
      <c r="W2143" t="s">
        <v>6842</v>
      </c>
      <c r="Y2143" t="s">
        <v>8826</v>
      </c>
      <c r="AA2143" t="s">
        <v>10888</v>
      </c>
      <c r="AB2143">
        <v>109</v>
      </c>
      <c r="AC2143" t="s">
        <v>10929</v>
      </c>
      <c r="AD2143" t="s">
        <v>10945</v>
      </c>
      <c r="AE2143">
        <v>41</v>
      </c>
      <c r="AF2143">
        <v>2</v>
      </c>
      <c r="AG2143">
        <v>2</v>
      </c>
      <c r="AH2143">
        <v>42.55</v>
      </c>
      <c r="AK2143" t="s">
        <v>10966</v>
      </c>
      <c r="AL2143">
        <v>10956</v>
      </c>
      <c r="AR2143">
        <v>0.6</v>
      </c>
      <c r="AS2143" t="s">
        <v>11144</v>
      </c>
      <c r="AT2143" t="s">
        <v>11188</v>
      </c>
      <c r="AV2143" t="s">
        <v>11231</v>
      </c>
      <c r="AW2143" t="s">
        <v>11144</v>
      </c>
    </row>
    <row r="2144" spans="1:49">
      <c r="A2144" s="1">
        <f>HYPERLINK("https://lsnyc.legalserver.org/matter/dynamic-profile/view/1898995","19-1898995")</f>
        <v>0</v>
      </c>
      <c r="B2144" t="s">
        <v>85</v>
      </c>
      <c r="C2144" t="s">
        <v>329</v>
      </c>
      <c r="D2144" t="s">
        <v>3018</v>
      </c>
      <c r="E2144" t="s">
        <v>4999</v>
      </c>
      <c r="F2144" t="s">
        <v>5463</v>
      </c>
      <c r="G2144" t="s">
        <v>5637</v>
      </c>
      <c r="H2144">
        <v>11212</v>
      </c>
      <c r="I2144" t="s">
        <v>5696</v>
      </c>
      <c r="J2144" t="s">
        <v>5696</v>
      </c>
      <c r="O2144" t="s">
        <v>6754</v>
      </c>
      <c r="R2144" t="s">
        <v>6794</v>
      </c>
      <c r="U2144">
        <v>410.6</v>
      </c>
      <c r="V2144" t="s">
        <v>6835</v>
      </c>
      <c r="W2144" t="s">
        <v>6841</v>
      </c>
      <c r="Y2144" t="s">
        <v>8827</v>
      </c>
      <c r="AA2144" t="s">
        <v>10889</v>
      </c>
      <c r="AB2144">
        <v>0</v>
      </c>
      <c r="AC2144" t="s">
        <v>10940</v>
      </c>
      <c r="AE2144">
        <v>25</v>
      </c>
      <c r="AF2144">
        <v>2</v>
      </c>
      <c r="AG2144">
        <v>0</v>
      </c>
      <c r="AH2144">
        <v>106.45</v>
      </c>
      <c r="AK2144" t="s">
        <v>10966</v>
      </c>
      <c r="AL2144">
        <v>18000</v>
      </c>
      <c r="AR2144">
        <v>11.25</v>
      </c>
      <c r="AS2144" t="s">
        <v>6807</v>
      </c>
      <c r="AT2144" t="s">
        <v>11184</v>
      </c>
      <c r="AV2144" t="s">
        <v>11231</v>
      </c>
      <c r="AW2144" t="s">
        <v>11156</v>
      </c>
    </row>
    <row r="2145" spans="1:49">
      <c r="A2145" s="1">
        <f>HYPERLINK("https://lsnyc.legalserver.org/matter/dynamic-profile/view/1905760","19-1905760")</f>
        <v>0</v>
      </c>
      <c r="B2145" t="s">
        <v>174</v>
      </c>
      <c r="C2145" t="s">
        <v>1589</v>
      </c>
      <c r="D2145" t="s">
        <v>3019</v>
      </c>
      <c r="E2145" t="s">
        <v>5000</v>
      </c>
      <c r="G2145" t="s">
        <v>5637</v>
      </c>
      <c r="H2145">
        <v>11212</v>
      </c>
      <c r="I2145" t="s">
        <v>5696</v>
      </c>
      <c r="J2145" t="s">
        <v>5696</v>
      </c>
      <c r="O2145" t="s">
        <v>6775</v>
      </c>
      <c r="R2145" t="s">
        <v>6798</v>
      </c>
      <c r="U2145">
        <v>0</v>
      </c>
      <c r="V2145" t="s">
        <v>6835</v>
      </c>
      <c r="Y2145" t="s">
        <v>8828</v>
      </c>
      <c r="AA2145" t="s">
        <v>10890</v>
      </c>
      <c r="AB2145">
        <v>0</v>
      </c>
      <c r="AE2145">
        <v>0</v>
      </c>
      <c r="AF2145">
        <v>3</v>
      </c>
      <c r="AG2145">
        <v>0</v>
      </c>
      <c r="AH2145">
        <v>72.73999999999999</v>
      </c>
      <c r="AK2145" t="s">
        <v>10966</v>
      </c>
      <c r="AL2145">
        <v>15516</v>
      </c>
      <c r="AR2145">
        <v>5.5</v>
      </c>
      <c r="AS2145" t="s">
        <v>6827</v>
      </c>
      <c r="AT2145" t="s">
        <v>144</v>
      </c>
      <c r="AV2145" t="s">
        <v>11231</v>
      </c>
      <c r="AW2145" t="s">
        <v>6827</v>
      </c>
    </row>
    <row r="2146" spans="1:49">
      <c r="A2146" s="1">
        <f>HYPERLINK("https://lsnyc.legalserver.org/matter/dynamic-profile/view/1900707","19-1900707")</f>
        <v>0</v>
      </c>
      <c r="B2146" t="s">
        <v>136</v>
      </c>
      <c r="C2146" t="s">
        <v>1590</v>
      </c>
      <c r="D2146" t="s">
        <v>478</v>
      </c>
      <c r="E2146" t="s">
        <v>5001</v>
      </c>
      <c r="F2146" t="s">
        <v>5153</v>
      </c>
      <c r="G2146" t="s">
        <v>5637</v>
      </c>
      <c r="H2146">
        <v>11206</v>
      </c>
      <c r="I2146" t="s">
        <v>5696</v>
      </c>
      <c r="J2146" t="s">
        <v>5696</v>
      </c>
      <c r="O2146" t="s">
        <v>6771</v>
      </c>
      <c r="R2146" t="s">
        <v>6800</v>
      </c>
      <c r="U2146">
        <v>0</v>
      </c>
      <c r="V2146" t="s">
        <v>6835</v>
      </c>
      <c r="Y2146" t="s">
        <v>8829</v>
      </c>
      <c r="AA2146" t="s">
        <v>10891</v>
      </c>
      <c r="AB2146">
        <v>0</v>
      </c>
      <c r="AE2146">
        <v>0</v>
      </c>
      <c r="AF2146">
        <v>1</v>
      </c>
      <c r="AG2146">
        <v>0</v>
      </c>
      <c r="AH2146">
        <v>82.15000000000001</v>
      </c>
      <c r="AK2146" t="s">
        <v>10966</v>
      </c>
      <c r="AL2146">
        <v>10260</v>
      </c>
      <c r="AR2146">
        <v>14.5</v>
      </c>
      <c r="AS2146" t="s">
        <v>6808</v>
      </c>
      <c r="AT2146" t="s">
        <v>141</v>
      </c>
      <c r="AV2146" t="s">
        <v>11231</v>
      </c>
      <c r="AW2146" t="s">
        <v>6895</v>
      </c>
    </row>
    <row r="2147" spans="1:49">
      <c r="A2147" s="1">
        <f>HYPERLINK("https://lsnyc.legalserver.org/matter/dynamic-profile/view/1902481","19-1902481")</f>
        <v>0</v>
      </c>
      <c r="B2147" t="s">
        <v>135</v>
      </c>
      <c r="C2147" t="s">
        <v>929</v>
      </c>
      <c r="D2147" t="s">
        <v>1762</v>
      </c>
      <c r="E2147" t="s">
        <v>5002</v>
      </c>
      <c r="F2147">
        <v>4</v>
      </c>
      <c r="G2147" t="s">
        <v>5637</v>
      </c>
      <c r="H2147">
        <v>11238</v>
      </c>
      <c r="I2147" t="s">
        <v>5696</v>
      </c>
      <c r="J2147" t="s">
        <v>5696</v>
      </c>
      <c r="O2147" t="s">
        <v>6775</v>
      </c>
      <c r="R2147" t="s">
        <v>6798</v>
      </c>
      <c r="U2147">
        <v>0</v>
      </c>
      <c r="V2147" t="s">
        <v>6835</v>
      </c>
      <c r="Y2147" t="s">
        <v>8830</v>
      </c>
      <c r="AA2147" t="s">
        <v>10892</v>
      </c>
      <c r="AB2147">
        <v>0</v>
      </c>
      <c r="AE2147">
        <v>0</v>
      </c>
      <c r="AF2147">
        <v>2</v>
      </c>
      <c r="AG2147">
        <v>0</v>
      </c>
      <c r="AH2147">
        <v>366.65</v>
      </c>
      <c r="AL2147">
        <v>62000</v>
      </c>
      <c r="AR2147">
        <v>5.25</v>
      </c>
      <c r="AS2147" t="s">
        <v>6827</v>
      </c>
      <c r="AT2147" t="s">
        <v>144</v>
      </c>
      <c r="AV2147" t="s">
        <v>11231</v>
      </c>
      <c r="AW2147" t="s">
        <v>11144</v>
      </c>
    </row>
    <row r="2148" spans="1:49">
      <c r="A2148" s="1">
        <f>HYPERLINK("https://lsnyc.legalserver.org/matter/dynamic-profile/view/1901671","19-1901671")</f>
        <v>0</v>
      </c>
      <c r="B2148" t="s">
        <v>291</v>
      </c>
      <c r="C2148" t="s">
        <v>1591</v>
      </c>
      <c r="D2148" t="s">
        <v>1045</v>
      </c>
      <c r="E2148" t="s">
        <v>5003</v>
      </c>
      <c r="G2148" t="s">
        <v>5635</v>
      </c>
      <c r="H2148">
        <v>10466</v>
      </c>
      <c r="I2148" t="s">
        <v>5696</v>
      </c>
      <c r="J2148" t="s">
        <v>5696</v>
      </c>
      <c r="O2148" t="s">
        <v>6748</v>
      </c>
      <c r="R2148" t="s">
        <v>6793</v>
      </c>
      <c r="U2148">
        <v>600</v>
      </c>
      <c r="V2148" t="s">
        <v>6833</v>
      </c>
      <c r="W2148" t="s">
        <v>6848</v>
      </c>
      <c r="Y2148" t="s">
        <v>7398</v>
      </c>
      <c r="AA2148" t="s">
        <v>10893</v>
      </c>
      <c r="AB2148">
        <v>0</v>
      </c>
      <c r="AD2148" t="s">
        <v>5741</v>
      </c>
      <c r="AE2148">
        <v>0</v>
      </c>
      <c r="AF2148">
        <v>2</v>
      </c>
      <c r="AG2148">
        <v>0</v>
      </c>
      <c r="AH2148">
        <v>70.95999999999999</v>
      </c>
      <c r="AK2148" t="s">
        <v>10966</v>
      </c>
      <c r="AL2148">
        <v>12000</v>
      </c>
      <c r="AR2148">
        <v>1.2</v>
      </c>
      <c r="AS2148" t="s">
        <v>11140</v>
      </c>
      <c r="AT2148" t="s">
        <v>11203</v>
      </c>
      <c r="AV2148" t="s">
        <v>11231</v>
      </c>
      <c r="AW2148" t="s">
        <v>11124</v>
      </c>
    </row>
    <row r="2149" spans="1:49">
      <c r="A2149" s="1">
        <f>HYPERLINK("https://lsnyc.legalserver.org/matter/dynamic-profile/view/1904492","19-1904492")</f>
        <v>0</v>
      </c>
      <c r="B2149" t="s">
        <v>152</v>
      </c>
      <c r="C2149" t="s">
        <v>1592</v>
      </c>
      <c r="D2149" t="s">
        <v>1251</v>
      </c>
      <c r="E2149" t="s">
        <v>5004</v>
      </c>
      <c r="F2149">
        <v>1</v>
      </c>
      <c r="G2149" t="s">
        <v>5635</v>
      </c>
      <c r="H2149">
        <v>10467</v>
      </c>
      <c r="I2149" t="s">
        <v>5696</v>
      </c>
      <c r="J2149" t="s">
        <v>5696</v>
      </c>
      <c r="O2149" t="s">
        <v>6784</v>
      </c>
      <c r="R2149" t="s">
        <v>6797</v>
      </c>
      <c r="U2149">
        <v>0</v>
      </c>
      <c r="V2149" t="s">
        <v>6833</v>
      </c>
      <c r="Y2149" t="s">
        <v>8831</v>
      </c>
      <c r="AA2149" t="s">
        <v>10894</v>
      </c>
      <c r="AB2149">
        <v>0</v>
      </c>
      <c r="AE2149">
        <v>0</v>
      </c>
      <c r="AF2149">
        <v>1</v>
      </c>
      <c r="AG2149">
        <v>0</v>
      </c>
      <c r="AH2149">
        <v>886.89</v>
      </c>
      <c r="AK2149" t="s">
        <v>10966</v>
      </c>
      <c r="AL2149">
        <v>110772</v>
      </c>
      <c r="AR2149">
        <v>5.5</v>
      </c>
      <c r="AS2149" t="s">
        <v>6809</v>
      </c>
      <c r="AT2149" t="s">
        <v>296</v>
      </c>
      <c r="AV2149" t="s">
        <v>11231</v>
      </c>
      <c r="AW2149" t="s">
        <v>6810</v>
      </c>
    </row>
    <row r="2150" spans="1:49">
      <c r="A2150" s="1">
        <f>HYPERLINK("https://lsnyc.legalserver.org/matter/dynamic-profile/view/1897725","19-1897725")</f>
        <v>0</v>
      </c>
      <c r="B2150" t="s">
        <v>68</v>
      </c>
      <c r="C2150" t="s">
        <v>1593</v>
      </c>
      <c r="D2150" t="s">
        <v>3020</v>
      </c>
      <c r="E2150" t="s">
        <v>5005</v>
      </c>
      <c r="F2150">
        <v>1</v>
      </c>
      <c r="G2150" t="s">
        <v>5637</v>
      </c>
      <c r="H2150">
        <v>11233</v>
      </c>
      <c r="I2150" t="s">
        <v>5696</v>
      </c>
      <c r="J2150" t="s">
        <v>5696</v>
      </c>
      <c r="O2150" t="s">
        <v>6754</v>
      </c>
      <c r="R2150" t="s">
        <v>6798</v>
      </c>
      <c r="U2150">
        <v>0</v>
      </c>
      <c r="V2150" t="s">
        <v>6835</v>
      </c>
      <c r="Y2150" t="s">
        <v>8832</v>
      </c>
      <c r="AA2150" t="s">
        <v>10895</v>
      </c>
      <c r="AB2150">
        <v>0</v>
      </c>
      <c r="AE2150">
        <v>0</v>
      </c>
      <c r="AF2150">
        <v>1</v>
      </c>
      <c r="AG2150">
        <v>0</v>
      </c>
      <c r="AH2150">
        <v>72.06</v>
      </c>
      <c r="AL2150">
        <v>9000</v>
      </c>
      <c r="AR2150">
        <v>122.4</v>
      </c>
      <c r="AS2150" t="s">
        <v>6821</v>
      </c>
      <c r="AT2150" t="s">
        <v>68</v>
      </c>
      <c r="AV2150" t="s">
        <v>11231</v>
      </c>
      <c r="AW2150" t="s">
        <v>11156</v>
      </c>
    </row>
    <row r="2151" spans="1:49">
      <c r="A2151" s="1">
        <f>HYPERLINK("https://lsnyc.legalserver.org/matter/dynamic-profile/view/1896936","19-1896936")</f>
        <v>0</v>
      </c>
      <c r="B2151" t="s">
        <v>296</v>
      </c>
      <c r="C2151" t="s">
        <v>988</v>
      </c>
      <c r="D2151" t="s">
        <v>1657</v>
      </c>
      <c r="E2151" t="s">
        <v>5006</v>
      </c>
      <c r="G2151" t="s">
        <v>5635</v>
      </c>
      <c r="H2151">
        <v>10469</v>
      </c>
      <c r="I2151" t="s">
        <v>5696</v>
      </c>
      <c r="J2151" t="s">
        <v>5696</v>
      </c>
      <c r="O2151" t="s">
        <v>6784</v>
      </c>
      <c r="R2151" t="s">
        <v>6798</v>
      </c>
      <c r="U2151">
        <v>0</v>
      </c>
      <c r="V2151" t="s">
        <v>6833</v>
      </c>
      <c r="Y2151" t="s">
        <v>8833</v>
      </c>
      <c r="AA2151" t="s">
        <v>10896</v>
      </c>
      <c r="AB2151">
        <v>0</v>
      </c>
      <c r="AE2151">
        <v>0</v>
      </c>
      <c r="AF2151">
        <v>1</v>
      </c>
      <c r="AG2151">
        <v>0</v>
      </c>
      <c r="AH2151">
        <v>240.19</v>
      </c>
      <c r="AK2151" t="s">
        <v>10966</v>
      </c>
      <c r="AL2151">
        <v>30000</v>
      </c>
      <c r="AR2151">
        <v>6</v>
      </c>
      <c r="AS2151" t="s">
        <v>11131</v>
      </c>
      <c r="AT2151" t="s">
        <v>11181</v>
      </c>
      <c r="AV2151" t="s">
        <v>11231</v>
      </c>
      <c r="AW2151" t="s">
        <v>11130</v>
      </c>
    </row>
    <row r="2152" spans="1:49">
      <c r="A2152" s="1">
        <f>HYPERLINK("https://lsnyc.legalserver.org/matter/dynamic-profile/view/1906194","19-1906194")</f>
        <v>0</v>
      </c>
      <c r="B2152" t="s">
        <v>141</v>
      </c>
      <c r="C2152" t="s">
        <v>1594</v>
      </c>
      <c r="D2152" t="s">
        <v>1862</v>
      </c>
      <c r="E2152" t="s">
        <v>5007</v>
      </c>
      <c r="F2152" t="s">
        <v>5109</v>
      </c>
      <c r="G2152" t="s">
        <v>5637</v>
      </c>
      <c r="H2152">
        <v>11206</v>
      </c>
      <c r="I2152" t="s">
        <v>5696</v>
      </c>
      <c r="J2152" t="s">
        <v>5696</v>
      </c>
      <c r="O2152" t="s">
        <v>6748</v>
      </c>
      <c r="R2152" t="s">
        <v>6793</v>
      </c>
      <c r="U2152">
        <v>1660</v>
      </c>
      <c r="V2152" t="s">
        <v>6835</v>
      </c>
      <c r="W2152" t="s">
        <v>6853</v>
      </c>
      <c r="Y2152" t="s">
        <v>8834</v>
      </c>
      <c r="AA2152" t="s">
        <v>10897</v>
      </c>
      <c r="AB2152">
        <v>8</v>
      </c>
      <c r="AC2152" t="s">
        <v>10929</v>
      </c>
      <c r="AD2152" t="s">
        <v>5741</v>
      </c>
      <c r="AE2152">
        <v>6</v>
      </c>
      <c r="AF2152">
        <v>1</v>
      </c>
      <c r="AG2152">
        <v>0</v>
      </c>
      <c r="AH2152">
        <v>96.08</v>
      </c>
      <c r="AK2152" t="s">
        <v>10966</v>
      </c>
      <c r="AL2152">
        <v>12000</v>
      </c>
      <c r="AR2152">
        <v>1.25</v>
      </c>
      <c r="AS2152" t="s">
        <v>6827</v>
      </c>
      <c r="AT2152" t="s">
        <v>11203</v>
      </c>
      <c r="AV2152" t="s">
        <v>11231</v>
      </c>
      <c r="AW2152" t="s">
        <v>6821</v>
      </c>
    </row>
    <row r="2153" spans="1:49">
      <c r="A2153" s="1">
        <f>HYPERLINK("https://lsnyc.legalserver.org/matter/dynamic-profile/view/1898666","19-1898666")</f>
        <v>0</v>
      </c>
      <c r="B2153" t="s">
        <v>149</v>
      </c>
      <c r="C2153" t="s">
        <v>479</v>
      </c>
      <c r="D2153" t="s">
        <v>2511</v>
      </c>
      <c r="E2153" t="s">
        <v>5008</v>
      </c>
      <c r="G2153" t="s">
        <v>5636</v>
      </c>
      <c r="H2153">
        <v>10310</v>
      </c>
      <c r="I2153" t="s">
        <v>5696</v>
      </c>
      <c r="J2153" t="s">
        <v>5696</v>
      </c>
      <c r="O2153" t="s">
        <v>6754</v>
      </c>
      <c r="R2153" t="s">
        <v>6799</v>
      </c>
      <c r="U2153">
        <v>0</v>
      </c>
      <c r="V2153" t="s">
        <v>6834</v>
      </c>
      <c r="Y2153" t="s">
        <v>8835</v>
      </c>
      <c r="AA2153" t="s">
        <v>10898</v>
      </c>
      <c r="AB2153">
        <v>0</v>
      </c>
      <c r="AE2153">
        <v>0</v>
      </c>
      <c r="AF2153">
        <v>1</v>
      </c>
      <c r="AG2153">
        <v>0</v>
      </c>
      <c r="AH2153">
        <v>0</v>
      </c>
      <c r="AK2153" t="s">
        <v>10966</v>
      </c>
      <c r="AL2153">
        <v>0</v>
      </c>
      <c r="AR2153">
        <v>5.8</v>
      </c>
      <c r="AS2153" t="s">
        <v>6823</v>
      </c>
      <c r="AT2153" t="s">
        <v>11211</v>
      </c>
      <c r="AV2153" t="s">
        <v>11231</v>
      </c>
      <c r="AW2153" t="s">
        <v>10957</v>
      </c>
    </row>
    <row r="2154" spans="1:49">
      <c r="A2154" s="1">
        <f>HYPERLINK("https://lsnyc.legalserver.org/matter/dynamic-profile/view/1900314","19-1900314")</f>
        <v>0</v>
      </c>
      <c r="B2154" t="s">
        <v>150</v>
      </c>
      <c r="C2154" t="s">
        <v>1595</v>
      </c>
      <c r="D2154" t="s">
        <v>3021</v>
      </c>
      <c r="E2154" t="s">
        <v>5009</v>
      </c>
      <c r="G2154" t="s">
        <v>5636</v>
      </c>
      <c r="H2154">
        <v>10304</v>
      </c>
      <c r="I2154" t="s">
        <v>5696</v>
      </c>
      <c r="J2154" t="s">
        <v>5696</v>
      </c>
      <c r="O2154" t="s">
        <v>6779</v>
      </c>
      <c r="R2154" t="s">
        <v>6799</v>
      </c>
      <c r="U2154">
        <v>0</v>
      </c>
      <c r="V2154" t="s">
        <v>6834</v>
      </c>
      <c r="Y2154" t="s">
        <v>8836</v>
      </c>
      <c r="AA2154" t="s">
        <v>10899</v>
      </c>
      <c r="AB2154">
        <v>0</v>
      </c>
      <c r="AE2154">
        <v>0</v>
      </c>
      <c r="AF2154">
        <v>5</v>
      </c>
      <c r="AG2154">
        <v>0</v>
      </c>
      <c r="AH2154">
        <v>245.28</v>
      </c>
      <c r="AK2154" t="s">
        <v>10991</v>
      </c>
      <c r="AL2154">
        <v>74000</v>
      </c>
      <c r="AR2154">
        <v>6.8</v>
      </c>
      <c r="AS2154" t="s">
        <v>6828</v>
      </c>
      <c r="AT2154" t="s">
        <v>11211</v>
      </c>
      <c r="AV2154" t="s">
        <v>11231</v>
      </c>
      <c r="AW2154" t="s">
        <v>11147</v>
      </c>
    </row>
    <row r="2155" spans="1:49">
      <c r="A2155" s="1">
        <f>HYPERLINK("https://lsnyc.legalserver.org/matter/dynamic-profile/view/1895698","19-1895698")</f>
        <v>0</v>
      </c>
      <c r="B2155" t="s">
        <v>197</v>
      </c>
      <c r="C2155" t="s">
        <v>1596</v>
      </c>
      <c r="D2155" t="s">
        <v>1635</v>
      </c>
      <c r="E2155" t="s">
        <v>5010</v>
      </c>
      <c r="F2155" t="s">
        <v>5176</v>
      </c>
      <c r="G2155" t="s">
        <v>5638</v>
      </c>
      <c r="H2155">
        <v>10010</v>
      </c>
      <c r="I2155" t="s">
        <v>5696</v>
      </c>
      <c r="J2155" t="s">
        <v>5696</v>
      </c>
      <c r="O2155" t="s">
        <v>6753</v>
      </c>
      <c r="R2155" t="s">
        <v>6793</v>
      </c>
      <c r="U2155">
        <v>537.0700000000001</v>
      </c>
      <c r="V2155" t="s">
        <v>6836</v>
      </c>
      <c r="W2155" t="s">
        <v>6853</v>
      </c>
      <c r="Y2155" t="s">
        <v>8837</v>
      </c>
      <c r="AA2155" t="s">
        <v>10900</v>
      </c>
      <c r="AB2155">
        <v>9</v>
      </c>
      <c r="AC2155" t="s">
        <v>10936</v>
      </c>
      <c r="AD2155" t="s">
        <v>5741</v>
      </c>
      <c r="AE2155">
        <v>51</v>
      </c>
      <c r="AF2155">
        <v>2</v>
      </c>
      <c r="AG2155">
        <v>0</v>
      </c>
      <c r="AH2155">
        <v>254.19</v>
      </c>
      <c r="AK2155" t="s">
        <v>10966</v>
      </c>
      <c r="AL2155">
        <v>42984</v>
      </c>
      <c r="AR2155">
        <v>1</v>
      </c>
      <c r="AS2155" t="s">
        <v>11119</v>
      </c>
      <c r="AT2155" t="s">
        <v>11184</v>
      </c>
      <c r="AV2155" t="s">
        <v>11231</v>
      </c>
      <c r="AW2155" t="s">
        <v>11119</v>
      </c>
    </row>
    <row r="2156" spans="1:49">
      <c r="A2156" s="1">
        <f>HYPERLINK("https://lsnyc.legalserver.org/matter/dynamic-profile/view/1900257","19-1900257")</f>
        <v>0</v>
      </c>
      <c r="B2156" t="s">
        <v>158</v>
      </c>
      <c r="C2156" t="s">
        <v>1597</v>
      </c>
      <c r="D2156" t="s">
        <v>2315</v>
      </c>
      <c r="E2156" t="s">
        <v>5011</v>
      </c>
      <c r="F2156" t="s">
        <v>5623</v>
      </c>
      <c r="G2156" t="s">
        <v>5637</v>
      </c>
      <c r="H2156">
        <v>11237</v>
      </c>
      <c r="I2156" t="s">
        <v>5696</v>
      </c>
      <c r="J2156" t="s">
        <v>5696</v>
      </c>
      <c r="O2156" t="s">
        <v>6745</v>
      </c>
      <c r="R2156" t="s">
        <v>6793</v>
      </c>
      <c r="U2156">
        <v>1950</v>
      </c>
      <c r="V2156" t="s">
        <v>6835</v>
      </c>
      <c r="W2156" t="s">
        <v>6841</v>
      </c>
      <c r="Y2156" t="s">
        <v>8838</v>
      </c>
      <c r="AA2156" t="s">
        <v>10901</v>
      </c>
      <c r="AB2156">
        <v>0</v>
      </c>
      <c r="AC2156" t="s">
        <v>10936</v>
      </c>
      <c r="AE2156">
        <v>3</v>
      </c>
      <c r="AF2156">
        <v>1</v>
      </c>
      <c r="AG2156">
        <v>0</v>
      </c>
      <c r="AH2156">
        <v>39.14</v>
      </c>
      <c r="AK2156" t="s">
        <v>10966</v>
      </c>
      <c r="AL2156">
        <v>4888</v>
      </c>
      <c r="AR2156">
        <v>1.3</v>
      </c>
      <c r="AS2156" t="s">
        <v>11135</v>
      </c>
      <c r="AT2156" t="s">
        <v>11183</v>
      </c>
      <c r="AV2156" t="s">
        <v>11231</v>
      </c>
      <c r="AW2156" t="s">
        <v>11127</v>
      </c>
    </row>
    <row r="2157" spans="1:49">
      <c r="A2157" s="1">
        <f>HYPERLINK("https://lsnyc.legalserver.org/matter/dynamic-profile/view/1902884","19-1902884")</f>
        <v>0</v>
      </c>
      <c r="B2157" t="s">
        <v>152</v>
      </c>
      <c r="C2157" t="s">
        <v>1598</v>
      </c>
      <c r="D2157" t="s">
        <v>3022</v>
      </c>
      <c r="E2157" t="s">
        <v>5012</v>
      </c>
      <c r="G2157" t="s">
        <v>5635</v>
      </c>
      <c r="H2157">
        <v>10452</v>
      </c>
      <c r="I2157" t="s">
        <v>5696</v>
      </c>
      <c r="J2157" t="s">
        <v>5696</v>
      </c>
      <c r="O2157" t="s">
        <v>6784</v>
      </c>
      <c r="R2157" t="s">
        <v>6797</v>
      </c>
      <c r="U2157">
        <v>0</v>
      </c>
      <c r="V2157" t="s">
        <v>6833</v>
      </c>
      <c r="Y2157" t="s">
        <v>8839</v>
      </c>
      <c r="AA2157" t="s">
        <v>10902</v>
      </c>
      <c r="AB2157">
        <v>0</v>
      </c>
      <c r="AE2157">
        <v>0</v>
      </c>
      <c r="AF2157">
        <v>1</v>
      </c>
      <c r="AG2157">
        <v>0</v>
      </c>
      <c r="AH2157">
        <v>220.98</v>
      </c>
      <c r="AK2157" t="s">
        <v>10966</v>
      </c>
      <c r="AL2157">
        <v>27600</v>
      </c>
      <c r="AR2157">
        <v>4</v>
      </c>
      <c r="AS2157" t="s">
        <v>6814</v>
      </c>
      <c r="AT2157" t="s">
        <v>296</v>
      </c>
      <c r="AV2157" t="s">
        <v>11231</v>
      </c>
      <c r="AW2157" t="s">
        <v>11131</v>
      </c>
    </row>
    <row r="2158" spans="1:49">
      <c r="A2158" s="1">
        <f>HYPERLINK("https://lsnyc.legalserver.org/matter/dynamic-profile/view/1905870","19-1905870")</f>
        <v>0</v>
      </c>
      <c r="B2158" t="s">
        <v>152</v>
      </c>
      <c r="C2158" t="s">
        <v>1599</v>
      </c>
      <c r="D2158" t="s">
        <v>3023</v>
      </c>
      <c r="E2158" t="s">
        <v>5013</v>
      </c>
      <c r="G2158" t="s">
        <v>5635</v>
      </c>
      <c r="H2158">
        <v>10469</v>
      </c>
      <c r="I2158" t="s">
        <v>5696</v>
      </c>
      <c r="J2158" t="s">
        <v>5696</v>
      </c>
      <c r="O2158" t="s">
        <v>6784</v>
      </c>
      <c r="R2158" t="s">
        <v>6798</v>
      </c>
      <c r="U2158">
        <v>0</v>
      </c>
      <c r="V2158" t="s">
        <v>6833</v>
      </c>
      <c r="Y2158" t="s">
        <v>7151</v>
      </c>
      <c r="AA2158" t="s">
        <v>10903</v>
      </c>
      <c r="AB2158">
        <v>0</v>
      </c>
      <c r="AE2158">
        <v>0</v>
      </c>
      <c r="AF2158">
        <v>6</v>
      </c>
      <c r="AG2158">
        <v>0</v>
      </c>
      <c r="AH2158">
        <v>225.5</v>
      </c>
      <c r="AK2158" t="s">
        <v>10966</v>
      </c>
      <c r="AL2158">
        <v>78000</v>
      </c>
      <c r="AR2158">
        <v>2</v>
      </c>
      <c r="AS2158" t="s">
        <v>6824</v>
      </c>
      <c r="AT2158" t="s">
        <v>296</v>
      </c>
      <c r="AV2158" t="s">
        <v>11231</v>
      </c>
      <c r="AW2158" t="s">
        <v>6824</v>
      </c>
    </row>
    <row r="2159" spans="1:49">
      <c r="A2159" s="1">
        <f>HYPERLINK("https://lsnyc.legalserver.org/matter/dynamic-profile/view/1904339","19-1904339")</f>
        <v>0</v>
      </c>
      <c r="B2159" t="s">
        <v>163</v>
      </c>
      <c r="C2159" t="s">
        <v>1357</v>
      </c>
      <c r="D2159" t="s">
        <v>1667</v>
      </c>
      <c r="E2159" t="s">
        <v>5014</v>
      </c>
      <c r="G2159" t="s">
        <v>5637</v>
      </c>
      <c r="H2159">
        <v>11236</v>
      </c>
      <c r="I2159" t="s">
        <v>5696</v>
      </c>
      <c r="J2159" t="s">
        <v>5696</v>
      </c>
      <c r="O2159" t="s">
        <v>6775</v>
      </c>
      <c r="R2159" t="s">
        <v>6799</v>
      </c>
      <c r="U2159">
        <v>0</v>
      </c>
      <c r="V2159" t="s">
        <v>6835</v>
      </c>
      <c r="Y2159" t="s">
        <v>8840</v>
      </c>
      <c r="AA2159" t="s">
        <v>10904</v>
      </c>
      <c r="AB2159">
        <v>0</v>
      </c>
      <c r="AE2159">
        <v>0</v>
      </c>
      <c r="AF2159">
        <v>3</v>
      </c>
      <c r="AG2159">
        <v>2</v>
      </c>
      <c r="AH2159">
        <v>280.81</v>
      </c>
      <c r="AL2159">
        <v>84720.58</v>
      </c>
      <c r="AR2159">
        <v>6.2</v>
      </c>
      <c r="AS2159" t="s">
        <v>6824</v>
      </c>
      <c r="AT2159" t="s">
        <v>163</v>
      </c>
      <c r="AV2159" t="s">
        <v>11231</v>
      </c>
      <c r="AW2159" t="s">
        <v>11235</v>
      </c>
    </row>
    <row r="2160" spans="1:49">
      <c r="A2160" s="1">
        <f>HYPERLINK("https://lsnyc.legalserver.org/matter/dynamic-profile/view/1901817","19-1901817")</f>
        <v>0</v>
      </c>
      <c r="B2160" t="s">
        <v>260</v>
      </c>
      <c r="C2160" t="s">
        <v>548</v>
      </c>
      <c r="D2160" t="s">
        <v>3024</v>
      </c>
      <c r="E2160" t="s">
        <v>5015</v>
      </c>
      <c r="G2160" t="s">
        <v>5642</v>
      </c>
      <c r="H2160">
        <v>11422</v>
      </c>
      <c r="I2160" t="s">
        <v>5696</v>
      </c>
      <c r="J2160" t="s">
        <v>5696</v>
      </c>
      <c r="O2160" t="s">
        <v>6778</v>
      </c>
      <c r="R2160" t="s">
        <v>6798</v>
      </c>
      <c r="U2160">
        <v>0</v>
      </c>
      <c r="V2160" t="s">
        <v>6837</v>
      </c>
      <c r="Y2160" t="s">
        <v>8841</v>
      </c>
      <c r="AA2160" t="s">
        <v>10905</v>
      </c>
      <c r="AB2160">
        <v>0</v>
      </c>
      <c r="AE2160">
        <v>0</v>
      </c>
      <c r="AF2160">
        <v>1</v>
      </c>
      <c r="AG2160">
        <v>0</v>
      </c>
      <c r="AH2160">
        <v>192.15</v>
      </c>
      <c r="AK2160" t="s">
        <v>10966</v>
      </c>
      <c r="AL2160">
        <v>24000</v>
      </c>
      <c r="AR2160">
        <v>1.8</v>
      </c>
      <c r="AS2160" t="s">
        <v>6815</v>
      </c>
      <c r="AT2160" t="s">
        <v>260</v>
      </c>
      <c r="AV2160" t="s">
        <v>11231</v>
      </c>
      <c r="AW2160" t="s">
        <v>11149</v>
      </c>
    </row>
    <row r="2161" spans="1:49">
      <c r="A2161" s="1">
        <f>HYPERLINK("https://lsnyc.legalserver.org/matter/dynamic-profile/view/1905722","19-1905722")</f>
        <v>0</v>
      </c>
      <c r="B2161" t="s">
        <v>205</v>
      </c>
      <c r="C2161" t="s">
        <v>935</v>
      </c>
      <c r="D2161" t="s">
        <v>3025</v>
      </c>
      <c r="E2161" t="s">
        <v>5016</v>
      </c>
      <c r="F2161">
        <v>1</v>
      </c>
      <c r="G2161" t="s">
        <v>5637</v>
      </c>
      <c r="H2161">
        <v>11213</v>
      </c>
      <c r="I2161" t="s">
        <v>5696</v>
      </c>
      <c r="J2161" t="s">
        <v>5696</v>
      </c>
      <c r="O2161" t="s">
        <v>6748</v>
      </c>
      <c r="R2161" t="s">
        <v>6793</v>
      </c>
      <c r="U2161">
        <v>2000</v>
      </c>
      <c r="V2161" t="s">
        <v>6835</v>
      </c>
      <c r="Y2161" t="s">
        <v>8842</v>
      </c>
      <c r="AA2161" t="s">
        <v>10906</v>
      </c>
      <c r="AB2161">
        <v>3</v>
      </c>
      <c r="AE2161">
        <v>5</v>
      </c>
      <c r="AF2161">
        <v>1</v>
      </c>
      <c r="AG2161">
        <v>0</v>
      </c>
      <c r="AH2161">
        <v>0</v>
      </c>
      <c r="AK2161" t="s">
        <v>10966</v>
      </c>
      <c r="AL2161">
        <v>0</v>
      </c>
      <c r="AR2161">
        <v>1.1</v>
      </c>
      <c r="AS2161" t="s">
        <v>6821</v>
      </c>
      <c r="AT2161" t="s">
        <v>11192</v>
      </c>
      <c r="AV2161" t="s">
        <v>11231</v>
      </c>
      <c r="AW2161" t="s">
        <v>6823</v>
      </c>
    </row>
    <row r="2162" spans="1:49">
      <c r="A2162" s="1">
        <f>HYPERLINK("https://lsnyc.legalserver.org/matter/dynamic-profile/view/1897677","19-1897677")</f>
        <v>0</v>
      </c>
      <c r="B2162" t="s">
        <v>244</v>
      </c>
      <c r="C2162" t="s">
        <v>1600</v>
      </c>
      <c r="D2162" t="s">
        <v>2531</v>
      </c>
      <c r="E2162" t="s">
        <v>5017</v>
      </c>
      <c r="F2162">
        <v>37</v>
      </c>
      <c r="G2162" t="s">
        <v>5638</v>
      </c>
      <c r="H2162">
        <v>10002</v>
      </c>
      <c r="I2162" t="s">
        <v>5696</v>
      </c>
      <c r="J2162" t="s">
        <v>5696</v>
      </c>
      <c r="O2162" t="s">
        <v>6759</v>
      </c>
      <c r="R2162" t="s">
        <v>6793</v>
      </c>
      <c r="U2162">
        <v>693</v>
      </c>
      <c r="V2162" t="s">
        <v>6836</v>
      </c>
      <c r="Y2162" t="s">
        <v>8843</v>
      </c>
      <c r="AA2162" t="s">
        <v>10907</v>
      </c>
      <c r="AB2162">
        <v>0</v>
      </c>
      <c r="AE2162">
        <v>16</v>
      </c>
      <c r="AF2162">
        <v>2</v>
      </c>
      <c r="AG2162">
        <v>0</v>
      </c>
      <c r="AH2162">
        <v>154.72</v>
      </c>
      <c r="AK2162" t="s">
        <v>10966</v>
      </c>
      <c r="AL2162">
        <v>26163.96</v>
      </c>
      <c r="AR2162">
        <v>0</v>
      </c>
      <c r="AT2162" t="s">
        <v>11194</v>
      </c>
      <c r="AV2162" t="s">
        <v>11231</v>
      </c>
      <c r="AW2162" t="s">
        <v>11159</v>
      </c>
    </row>
    <row r="2163" spans="1:49">
      <c r="A2163" s="1">
        <f>HYPERLINK("https://lsnyc.legalserver.org/matter/dynamic-profile/view/1905841","19-1905841")</f>
        <v>0</v>
      </c>
      <c r="B2163" t="s">
        <v>152</v>
      </c>
      <c r="C2163" t="s">
        <v>366</v>
      </c>
      <c r="D2163" t="s">
        <v>3026</v>
      </c>
      <c r="E2163" t="s">
        <v>5018</v>
      </c>
      <c r="G2163" t="s">
        <v>5635</v>
      </c>
      <c r="H2163">
        <v>10466</v>
      </c>
      <c r="I2163" t="s">
        <v>5696</v>
      </c>
      <c r="J2163" t="s">
        <v>5696</v>
      </c>
      <c r="O2163" t="s">
        <v>6784</v>
      </c>
      <c r="R2163" t="s">
        <v>6798</v>
      </c>
      <c r="U2163">
        <v>0</v>
      </c>
      <c r="V2163" t="s">
        <v>6833</v>
      </c>
      <c r="Y2163" t="s">
        <v>8844</v>
      </c>
      <c r="AA2163" t="s">
        <v>10908</v>
      </c>
      <c r="AB2163">
        <v>0</v>
      </c>
      <c r="AE2163">
        <v>0</v>
      </c>
      <c r="AF2163">
        <v>1</v>
      </c>
      <c r="AG2163">
        <v>0</v>
      </c>
      <c r="AH2163">
        <v>334.35</v>
      </c>
      <c r="AK2163" t="s">
        <v>10966</v>
      </c>
      <c r="AL2163">
        <v>41760</v>
      </c>
      <c r="AR2163">
        <v>2.8</v>
      </c>
      <c r="AS2163" t="s">
        <v>6827</v>
      </c>
      <c r="AT2163" t="s">
        <v>296</v>
      </c>
      <c r="AV2163" t="s">
        <v>11231</v>
      </c>
      <c r="AW2163" t="s">
        <v>6824</v>
      </c>
    </row>
    <row r="2164" spans="1:49">
      <c r="A2164" s="1">
        <f>HYPERLINK("https://lsnyc.legalserver.org/matter/dynamic-profile/view/1902727","19-1902727")</f>
        <v>0</v>
      </c>
      <c r="B2164" t="s">
        <v>278</v>
      </c>
      <c r="C2164" t="s">
        <v>1601</v>
      </c>
      <c r="D2164" t="s">
        <v>2269</v>
      </c>
      <c r="E2164" t="s">
        <v>3896</v>
      </c>
      <c r="F2164" t="s">
        <v>5248</v>
      </c>
      <c r="G2164" t="s">
        <v>5637</v>
      </c>
      <c r="H2164">
        <v>11226</v>
      </c>
      <c r="I2164" t="s">
        <v>5696</v>
      </c>
      <c r="J2164" t="s">
        <v>5696</v>
      </c>
      <c r="K2164" t="s">
        <v>6023</v>
      </c>
      <c r="O2164" t="s">
        <v>6748</v>
      </c>
      <c r="R2164" t="s">
        <v>6793</v>
      </c>
      <c r="U2164">
        <v>1500</v>
      </c>
      <c r="V2164" t="s">
        <v>6835</v>
      </c>
      <c r="W2164" t="s">
        <v>6848</v>
      </c>
      <c r="Y2164" t="s">
        <v>7692</v>
      </c>
      <c r="AA2164" t="s">
        <v>10909</v>
      </c>
      <c r="AB2164">
        <v>8</v>
      </c>
      <c r="AC2164" t="s">
        <v>10929</v>
      </c>
      <c r="AD2164" t="s">
        <v>5741</v>
      </c>
      <c r="AE2164">
        <v>20</v>
      </c>
      <c r="AF2164">
        <v>2</v>
      </c>
      <c r="AG2164">
        <v>2</v>
      </c>
      <c r="AH2164">
        <v>47.21</v>
      </c>
      <c r="AK2164" t="s">
        <v>10966</v>
      </c>
      <c r="AL2164">
        <v>12156</v>
      </c>
      <c r="AR2164">
        <v>1.4</v>
      </c>
      <c r="AS2164" t="s">
        <v>11133</v>
      </c>
      <c r="AT2164" t="s">
        <v>11203</v>
      </c>
      <c r="AV2164" t="s">
        <v>11231</v>
      </c>
      <c r="AW2164" t="s">
        <v>11133</v>
      </c>
    </row>
    <row r="2165" spans="1:49">
      <c r="A2165" s="1">
        <f>HYPERLINK("https://lsnyc.legalserver.org/matter/dynamic-profile/view/1901739","19-1901739")</f>
        <v>0</v>
      </c>
      <c r="B2165" t="s">
        <v>292</v>
      </c>
      <c r="C2165" t="s">
        <v>1602</v>
      </c>
      <c r="D2165" t="s">
        <v>1934</v>
      </c>
      <c r="E2165" t="s">
        <v>5019</v>
      </c>
      <c r="G2165" t="s">
        <v>5635</v>
      </c>
      <c r="H2165">
        <v>10466</v>
      </c>
      <c r="I2165" t="s">
        <v>5696</v>
      </c>
      <c r="J2165" t="s">
        <v>5696</v>
      </c>
      <c r="O2165" t="s">
        <v>6784</v>
      </c>
      <c r="R2165" t="s">
        <v>6798</v>
      </c>
      <c r="U2165">
        <v>0</v>
      </c>
      <c r="V2165" t="s">
        <v>6833</v>
      </c>
      <c r="Y2165" t="s">
        <v>8845</v>
      </c>
      <c r="AA2165" t="s">
        <v>10910</v>
      </c>
      <c r="AB2165">
        <v>0</v>
      </c>
      <c r="AE2165">
        <v>0</v>
      </c>
      <c r="AF2165">
        <v>2</v>
      </c>
      <c r="AG2165">
        <v>0</v>
      </c>
      <c r="AH2165">
        <v>199.48</v>
      </c>
      <c r="AK2165" t="s">
        <v>10967</v>
      </c>
      <c r="AL2165">
        <v>33732</v>
      </c>
      <c r="AR2165">
        <v>7</v>
      </c>
      <c r="AS2165" t="s">
        <v>6821</v>
      </c>
      <c r="AT2165" t="s">
        <v>296</v>
      </c>
      <c r="AV2165" t="s">
        <v>11231</v>
      </c>
      <c r="AW2165" t="s">
        <v>11149</v>
      </c>
    </row>
    <row r="2166" spans="1:49">
      <c r="A2166" s="1">
        <f>HYPERLINK("https://lsnyc.legalserver.org/matter/dynamic-profile/view/1906229","19-1906229")</f>
        <v>0</v>
      </c>
      <c r="B2166" t="s">
        <v>75</v>
      </c>
      <c r="C2166" t="s">
        <v>342</v>
      </c>
      <c r="D2166" t="s">
        <v>3027</v>
      </c>
      <c r="E2166" t="s">
        <v>5020</v>
      </c>
      <c r="F2166" t="s">
        <v>5231</v>
      </c>
      <c r="G2166" t="s">
        <v>5638</v>
      </c>
      <c r="H2166">
        <v>10009</v>
      </c>
      <c r="I2166" t="s">
        <v>5696</v>
      </c>
      <c r="J2166" t="s">
        <v>5696</v>
      </c>
      <c r="O2166" t="s">
        <v>6753</v>
      </c>
      <c r="R2166" t="s">
        <v>6794</v>
      </c>
      <c r="U2166">
        <v>400</v>
      </c>
      <c r="V2166" t="s">
        <v>6836</v>
      </c>
      <c r="W2166" t="s">
        <v>6842</v>
      </c>
      <c r="Y2166" t="s">
        <v>8846</v>
      </c>
      <c r="AA2166" t="s">
        <v>10911</v>
      </c>
      <c r="AB2166">
        <v>0</v>
      </c>
      <c r="AC2166" t="s">
        <v>10940</v>
      </c>
      <c r="AD2166" t="s">
        <v>5741</v>
      </c>
      <c r="AE2166">
        <v>45</v>
      </c>
      <c r="AF2166">
        <v>1</v>
      </c>
      <c r="AG2166">
        <v>0</v>
      </c>
      <c r="AH2166">
        <v>269.02</v>
      </c>
      <c r="AK2166" t="s">
        <v>10966</v>
      </c>
      <c r="AL2166">
        <v>33600</v>
      </c>
      <c r="AR2166">
        <v>0.6</v>
      </c>
      <c r="AS2166" t="s">
        <v>6821</v>
      </c>
      <c r="AT2166" t="s">
        <v>11188</v>
      </c>
      <c r="AV2166" t="s">
        <v>11231</v>
      </c>
      <c r="AW2166" t="s">
        <v>6821</v>
      </c>
    </row>
    <row r="2167" spans="1:49">
      <c r="A2167" s="1">
        <f>HYPERLINK("https://lsnyc.legalserver.org/matter/dynamic-profile/view/1896692","19-1896692")</f>
        <v>0</v>
      </c>
      <c r="B2167" t="s">
        <v>287</v>
      </c>
      <c r="C2167" t="s">
        <v>479</v>
      </c>
      <c r="D2167" t="s">
        <v>1757</v>
      </c>
      <c r="E2167" t="s">
        <v>5021</v>
      </c>
      <c r="F2167" t="s">
        <v>5154</v>
      </c>
      <c r="G2167" t="s">
        <v>5638</v>
      </c>
      <c r="H2167">
        <v>10029</v>
      </c>
      <c r="I2167" t="s">
        <v>5696</v>
      </c>
      <c r="J2167" t="s">
        <v>5696</v>
      </c>
      <c r="O2167" t="s">
        <v>6748</v>
      </c>
      <c r="R2167" t="s">
        <v>6793</v>
      </c>
      <c r="U2167">
        <v>0</v>
      </c>
      <c r="V2167" t="s">
        <v>6836</v>
      </c>
      <c r="Y2167" t="s">
        <v>8421</v>
      </c>
      <c r="AA2167" t="s">
        <v>10912</v>
      </c>
      <c r="AB2167">
        <v>0</v>
      </c>
      <c r="AE2167">
        <v>0</v>
      </c>
      <c r="AF2167">
        <v>1</v>
      </c>
      <c r="AG2167">
        <v>0</v>
      </c>
      <c r="AH2167">
        <v>0</v>
      </c>
      <c r="AK2167" t="s">
        <v>10967</v>
      </c>
      <c r="AL2167">
        <v>0</v>
      </c>
      <c r="AR2167">
        <v>1.35</v>
      </c>
      <c r="AS2167" t="s">
        <v>10957</v>
      </c>
      <c r="AT2167" t="s">
        <v>11189</v>
      </c>
      <c r="AV2167" t="s">
        <v>11231</v>
      </c>
      <c r="AW2167" t="s">
        <v>11122</v>
      </c>
    </row>
    <row r="2168" spans="1:49">
      <c r="A2168" s="1">
        <f>HYPERLINK("https://lsnyc.legalserver.org/matter/dynamic-profile/view/1904552","19-1904552")</f>
        <v>0</v>
      </c>
      <c r="B2168" t="s">
        <v>305</v>
      </c>
      <c r="C2168" t="s">
        <v>708</v>
      </c>
      <c r="D2168" t="s">
        <v>1836</v>
      </c>
      <c r="E2168" t="s">
        <v>5022</v>
      </c>
      <c r="F2168">
        <v>2</v>
      </c>
      <c r="G2168" t="s">
        <v>5635</v>
      </c>
      <c r="H2168">
        <v>10462</v>
      </c>
      <c r="I2168" t="s">
        <v>5696</v>
      </c>
      <c r="J2168" t="s">
        <v>5696</v>
      </c>
      <c r="O2168" t="s">
        <v>6748</v>
      </c>
      <c r="R2168" t="s">
        <v>6793</v>
      </c>
      <c r="U2168">
        <v>1515</v>
      </c>
      <c r="V2168" t="s">
        <v>6836</v>
      </c>
      <c r="Y2168" t="s">
        <v>8847</v>
      </c>
      <c r="AA2168" t="s">
        <v>10913</v>
      </c>
      <c r="AB2168">
        <v>3</v>
      </c>
      <c r="AD2168" t="s">
        <v>10947</v>
      </c>
      <c r="AE2168">
        <v>5</v>
      </c>
      <c r="AF2168">
        <v>2</v>
      </c>
      <c r="AG2168">
        <v>0</v>
      </c>
      <c r="AH2168">
        <v>109.43</v>
      </c>
      <c r="AK2168" t="s">
        <v>10966</v>
      </c>
      <c r="AL2168">
        <v>18504</v>
      </c>
      <c r="AR2168">
        <v>1.5</v>
      </c>
      <c r="AS2168" t="s">
        <v>6820</v>
      </c>
      <c r="AT2168" t="s">
        <v>11192</v>
      </c>
      <c r="AV2168" t="s">
        <v>11231</v>
      </c>
      <c r="AW2168" t="s">
        <v>6810</v>
      </c>
    </row>
    <row r="2169" spans="1:49">
      <c r="A2169" s="1">
        <f>HYPERLINK("https://lsnyc.legalserver.org/matter/dynamic-profile/view/1903778","19-1903778")</f>
        <v>0</v>
      </c>
      <c r="B2169" t="s">
        <v>278</v>
      </c>
      <c r="C2169" t="s">
        <v>378</v>
      </c>
      <c r="D2169" t="s">
        <v>3028</v>
      </c>
      <c r="E2169" t="s">
        <v>5023</v>
      </c>
      <c r="F2169" t="s">
        <v>5624</v>
      </c>
      <c r="G2169" t="s">
        <v>5637</v>
      </c>
      <c r="H2169">
        <v>11206</v>
      </c>
      <c r="I2169" t="s">
        <v>5696</v>
      </c>
      <c r="J2169" t="s">
        <v>5696</v>
      </c>
      <c r="O2169" t="s">
        <v>6748</v>
      </c>
      <c r="R2169" t="s">
        <v>6793</v>
      </c>
      <c r="U2169">
        <v>1010</v>
      </c>
      <c r="V2169" t="s">
        <v>6835</v>
      </c>
      <c r="Y2169" t="s">
        <v>8848</v>
      </c>
      <c r="AA2169" t="s">
        <v>10914</v>
      </c>
      <c r="AB2169">
        <v>4</v>
      </c>
      <c r="AC2169" t="s">
        <v>8953</v>
      </c>
      <c r="AD2169" t="s">
        <v>5741</v>
      </c>
      <c r="AE2169">
        <v>37</v>
      </c>
      <c r="AF2169">
        <v>1</v>
      </c>
      <c r="AG2169">
        <v>0</v>
      </c>
      <c r="AH2169">
        <v>76</v>
      </c>
      <c r="AK2169" t="s">
        <v>10967</v>
      </c>
      <c r="AL2169">
        <v>9492</v>
      </c>
      <c r="AR2169">
        <v>0.9</v>
      </c>
      <c r="AS2169" t="s">
        <v>6819</v>
      </c>
      <c r="AT2169" t="s">
        <v>11189</v>
      </c>
      <c r="AV2169" t="s">
        <v>11231</v>
      </c>
      <c r="AW2169" t="s">
        <v>6811</v>
      </c>
    </row>
    <row r="2170" spans="1:49">
      <c r="A2170" s="1">
        <f>HYPERLINK("https://lsnyc.legalserver.org/matter/dynamic-profile/view/1902432","19-1902432")</f>
        <v>0</v>
      </c>
      <c r="B2170" t="s">
        <v>123</v>
      </c>
      <c r="C2170" t="s">
        <v>1031</v>
      </c>
      <c r="D2170" t="s">
        <v>3029</v>
      </c>
      <c r="E2170" t="s">
        <v>5024</v>
      </c>
      <c r="F2170" t="s">
        <v>5196</v>
      </c>
      <c r="G2170" t="s">
        <v>5638</v>
      </c>
      <c r="H2170">
        <v>10040</v>
      </c>
      <c r="I2170" t="s">
        <v>5696</v>
      </c>
      <c r="J2170" t="s">
        <v>5696</v>
      </c>
      <c r="O2170" t="s">
        <v>6770</v>
      </c>
      <c r="R2170" t="s">
        <v>6793</v>
      </c>
      <c r="U2170">
        <v>0</v>
      </c>
      <c r="V2170" t="s">
        <v>6836</v>
      </c>
      <c r="Y2170" t="s">
        <v>8849</v>
      </c>
      <c r="AA2170" t="s">
        <v>10915</v>
      </c>
      <c r="AB2170">
        <v>0</v>
      </c>
      <c r="AE2170">
        <v>0</v>
      </c>
      <c r="AF2170">
        <v>1</v>
      </c>
      <c r="AG2170">
        <v>0</v>
      </c>
      <c r="AH2170">
        <v>0</v>
      </c>
      <c r="AL2170">
        <v>0</v>
      </c>
      <c r="AR2170">
        <v>9.25</v>
      </c>
      <c r="AS2170" t="s">
        <v>6815</v>
      </c>
      <c r="AT2170" t="s">
        <v>229</v>
      </c>
      <c r="AV2170" t="s">
        <v>11231</v>
      </c>
      <c r="AW2170" t="s">
        <v>11163</v>
      </c>
    </row>
    <row r="2171" spans="1:49">
      <c r="A2171" s="1">
        <f>HYPERLINK("https://lsnyc.legalserver.org/matter/dynamic-profile/view/1895548","19-1895548")</f>
        <v>0</v>
      </c>
      <c r="B2171" t="s">
        <v>207</v>
      </c>
      <c r="C2171" t="s">
        <v>1603</v>
      </c>
      <c r="D2171" t="s">
        <v>3030</v>
      </c>
      <c r="E2171" t="s">
        <v>5025</v>
      </c>
      <c r="F2171" t="s">
        <v>5243</v>
      </c>
      <c r="G2171" t="s">
        <v>5635</v>
      </c>
      <c r="H2171">
        <v>10453</v>
      </c>
      <c r="I2171" t="s">
        <v>5696</v>
      </c>
      <c r="J2171" t="s">
        <v>5696</v>
      </c>
      <c r="O2171" t="s">
        <v>6748</v>
      </c>
      <c r="R2171" t="s">
        <v>6795</v>
      </c>
      <c r="U2171">
        <v>1483</v>
      </c>
      <c r="V2171" t="s">
        <v>6833</v>
      </c>
      <c r="Y2171" t="s">
        <v>8850</v>
      </c>
      <c r="AA2171" t="s">
        <v>10916</v>
      </c>
      <c r="AB2171">
        <v>0</v>
      </c>
      <c r="AD2171" t="s">
        <v>10944</v>
      </c>
      <c r="AE2171">
        <v>12</v>
      </c>
      <c r="AF2171">
        <v>2</v>
      </c>
      <c r="AG2171">
        <v>2</v>
      </c>
      <c r="AH2171">
        <v>48.47</v>
      </c>
      <c r="AK2171" t="s">
        <v>10966</v>
      </c>
      <c r="AL2171">
        <v>12480</v>
      </c>
      <c r="AR2171">
        <v>1</v>
      </c>
      <c r="AS2171" t="s">
        <v>10960</v>
      </c>
      <c r="AT2171" t="s">
        <v>11185</v>
      </c>
      <c r="AV2171" t="s">
        <v>11231</v>
      </c>
      <c r="AW2171" t="s">
        <v>10960</v>
      </c>
    </row>
    <row r="2172" spans="1:49">
      <c r="A2172" s="1">
        <f>HYPERLINK("https://lsnyc.legalserver.org/matter/dynamic-profile/view/1905641","19-1905641")</f>
        <v>0</v>
      </c>
      <c r="B2172" t="s">
        <v>172</v>
      </c>
      <c r="C2172" t="s">
        <v>1604</v>
      </c>
      <c r="D2172" t="s">
        <v>3031</v>
      </c>
      <c r="E2172" t="s">
        <v>5026</v>
      </c>
      <c r="F2172" t="s">
        <v>5625</v>
      </c>
      <c r="G2172" t="s">
        <v>5635</v>
      </c>
      <c r="H2172">
        <v>10454</v>
      </c>
      <c r="I2172" t="s">
        <v>5696</v>
      </c>
      <c r="J2172" t="s">
        <v>5696</v>
      </c>
      <c r="O2172" t="s">
        <v>6777</v>
      </c>
      <c r="R2172" t="s">
        <v>6796</v>
      </c>
      <c r="U2172">
        <v>0</v>
      </c>
      <c r="V2172" t="s">
        <v>6836</v>
      </c>
      <c r="Y2172" t="s">
        <v>8851</v>
      </c>
      <c r="AA2172" t="s">
        <v>10917</v>
      </c>
      <c r="AB2172">
        <v>0</v>
      </c>
      <c r="AE2172">
        <v>0</v>
      </c>
      <c r="AF2172">
        <v>2</v>
      </c>
      <c r="AG2172">
        <v>2</v>
      </c>
      <c r="AH2172">
        <v>37.28</v>
      </c>
      <c r="AL2172">
        <v>9600</v>
      </c>
      <c r="AR2172">
        <v>1</v>
      </c>
      <c r="AS2172" t="s">
        <v>6824</v>
      </c>
      <c r="AT2172" t="s">
        <v>229</v>
      </c>
      <c r="AV2172" t="s">
        <v>11231</v>
      </c>
      <c r="AW2172" t="s">
        <v>6808</v>
      </c>
    </row>
    <row r="2173" spans="1:49">
      <c r="A2173" s="1">
        <f>HYPERLINK("https://lsnyc.legalserver.org/matter/dynamic-profile/view/1900339","19-1900339")</f>
        <v>0</v>
      </c>
      <c r="B2173" t="s">
        <v>227</v>
      </c>
      <c r="C2173" t="s">
        <v>1605</v>
      </c>
      <c r="D2173" t="s">
        <v>2458</v>
      </c>
      <c r="E2173" t="s">
        <v>5027</v>
      </c>
      <c r="G2173" t="s">
        <v>5675</v>
      </c>
      <c r="H2173">
        <v>11429</v>
      </c>
      <c r="I2173" t="s">
        <v>5696</v>
      </c>
      <c r="J2173" t="s">
        <v>5696</v>
      </c>
      <c r="O2173" t="s">
        <v>6778</v>
      </c>
      <c r="R2173" t="s">
        <v>6799</v>
      </c>
      <c r="U2173">
        <v>0</v>
      </c>
      <c r="V2173" t="s">
        <v>6837</v>
      </c>
      <c r="Y2173" t="s">
        <v>8852</v>
      </c>
      <c r="AA2173" t="s">
        <v>10918</v>
      </c>
      <c r="AB2173">
        <v>0</v>
      </c>
      <c r="AE2173">
        <v>0</v>
      </c>
      <c r="AF2173">
        <v>1</v>
      </c>
      <c r="AG2173">
        <v>1</v>
      </c>
      <c r="AH2173">
        <v>326.43</v>
      </c>
      <c r="AK2173" t="s">
        <v>10966</v>
      </c>
      <c r="AL2173">
        <v>55200</v>
      </c>
      <c r="AR2173">
        <v>39.3</v>
      </c>
      <c r="AS2173" t="s">
        <v>6820</v>
      </c>
      <c r="AT2173" t="s">
        <v>11186</v>
      </c>
      <c r="AV2173" t="s">
        <v>11231</v>
      </c>
      <c r="AW2173" t="s">
        <v>11155</v>
      </c>
    </row>
    <row r="2174" spans="1:49">
      <c r="A2174" s="1">
        <f>HYPERLINK("https://lsnyc.legalserver.org/matter/dynamic-profile/view/1905853","19-1905853")</f>
        <v>0</v>
      </c>
      <c r="B2174" t="s">
        <v>157</v>
      </c>
      <c r="C2174" t="s">
        <v>493</v>
      </c>
      <c r="D2174" t="s">
        <v>1976</v>
      </c>
      <c r="E2174" t="s">
        <v>5028</v>
      </c>
      <c r="F2174" t="s">
        <v>5105</v>
      </c>
      <c r="G2174" t="s">
        <v>5638</v>
      </c>
      <c r="H2174">
        <v>10034</v>
      </c>
      <c r="I2174" t="s">
        <v>5696</v>
      </c>
      <c r="J2174" t="s">
        <v>5696</v>
      </c>
      <c r="O2174" t="s">
        <v>6748</v>
      </c>
      <c r="P2174" t="s">
        <v>5695</v>
      </c>
      <c r="R2174" t="s">
        <v>6795</v>
      </c>
      <c r="U2174">
        <v>1300</v>
      </c>
      <c r="V2174" t="s">
        <v>6836</v>
      </c>
      <c r="Y2174" t="s">
        <v>8853</v>
      </c>
      <c r="AA2174" t="s">
        <v>10919</v>
      </c>
      <c r="AB2174">
        <v>50</v>
      </c>
      <c r="AC2174" t="s">
        <v>10936</v>
      </c>
      <c r="AD2174" t="s">
        <v>10948</v>
      </c>
      <c r="AE2174">
        <v>8</v>
      </c>
      <c r="AF2174">
        <v>1</v>
      </c>
      <c r="AG2174">
        <v>0</v>
      </c>
      <c r="AH2174">
        <v>74.08</v>
      </c>
      <c r="AK2174" t="s">
        <v>10966</v>
      </c>
      <c r="AL2174">
        <v>9252</v>
      </c>
      <c r="AR2174">
        <v>1</v>
      </c>
      <c r="AS2174" t="s">
        <v>6824</v>
      </c>
      <c r="AT2174" t="s">
        <v>11185</v>
      </c>
      <c r="AV2174" t="s">
        <v>11231</v>
      </c>
      <c r="AW2174" t="s">
        <v>6824</v>
      </c>
    </row>
    <row r="2175" spans="1:49">
      <c r="A2175" s="1">
        <f>HYPERLINK("https://lsnyc.legalserver.org/matter/dynamic-profile/view/1904264","19-1904264")</f>
        <v>0</v>
      </c>
      <c r="B2175" t="s">
        <v>209</v>
      </c>
      <c r="C2175" t="s">
        <v>874</v>
      </c>
      <c r="D2175" t="s">
        <v>1832</v>
      </c>
      <c r="E2175" t="s">
        <v>5029</v>
      </c>
      <c r="F2175" t="s">
        <v>5265</v>
      </c>
      <c r="G2175" t="s">
        <v>5635</v>
      </c>
      <c r="H2175">
        <v>10452</v>
      </c>
      <c r="I2175" t="s">
        <v>5696</v>
      </c>
      <c r="J2175" t="s">
        <v>5696</v>
      </c>
      <c r="O2175" t="s">
        <v>6745</v>
      </c>
      <c r="R2175" t="s">
        <v>6793</v>
      </c>
      <c r="U2175">
        <v>1096.48</v>
      </c>
      <c r="V2175" t="s">
        <v>6833</v>
      </c>
      <c r="W2175" t="s">
        <v>6844</v>
      </c>
      <c r="Y2175" t="s">
        <v>8854</v>
      </c>
      <c r="AA2175" t="s">
        <v>10920</v>
      </c>
      <c r="AB2175">
        <v>77</v>
      </c>
      <c r="AD2175" t="s">
        <v>5741</v>
      </c>
      <c r="AE2175">
        <v>15</v>
      </c>
      <c r="AF2175">
        <v>1</v>
      </c>
      <c r="AG2175">
        <v>3</v>
      </c>
      <c r="AH2175">
        <v>72.7</v>
      </c>
      <c r="AK2175" t="s">
        <v>10966</v>
      </c>
      <c r="AL2175">
        <v>18720</v>
      </c>
      <c r="AR2175">
        <v>2.1</v>
      </c>
      <c r="AS2175" t="s">
        <v>6820</v>
      </c>
      <c r="AT2175" t="s">
        <v>11192</v>
      </c>
      <c r="AV2175" t="s">
        <v>11231</v>
      </c>
      <c r="AW2175" t="s">
        <v>6814</v>
      </c>
    </row>
    <row r="2176" spans="1:49">
      <c r="A2176" s="1">
        <f>HYPERLINK("https://lsnyc.legalserver.org/matter/dynamic-profile/view/1900913","19-1900913")</f>
        <v>0</v>
      </c>
      <c r="B2176" t="s">
        <v>205</v>
      </c>
      <c r="C2176" t="s">
        <v>519</v>
      </c>
      <c r="D2176" t="s">
        <v>3032</v>
      </c>
      <c r="E2176" t="s">
        <v>5030</v>
      </c>
      <c r="F2176" t="s">
        <v>5097</v>
      </c>
      <c r="G2176" t="s">
        <v>5637</v>
      </c>
      <c r="H2176">
        <v>11218</v>
      </c>
      <c r="I2176" t="s">
        <v>5696</v>
      </c>
      <c r="J2176" t="s">
        <v>5696</v>
      </c>
      <c r="O2176" t="s">
        <v>6748</v>
      </c>
      <c r="R2176" t="s">
        <v>6793</v>
      </c>
      <c r="U2176">
        <v>1100</v>
      </c>
      <c r="V2176" t="s">
        <v>6835</v>
      </c>
      <c r="Y2176" t="s">
        <v>8855</v>
      </c>
      <c r="AA2176" t="s">
        <v>10921</v>
      </c>
      <c r="AB2176">
        <v>49</v>
      </c>
      <c r="AE2176">
        <v>1</v>
      </c>
      <c r="AF2176">
        <v>1</v>
      </c>
      <c r="AG2176">
        <v>0</v>
      </c>
      <c r="AH2176">
        <v>187.35</v>
      </c>
      <c r="AK2176" t="s">
        <v>10966</v>
      </c>
      <c r="AL2176">
        <v>23400</v>
      </c>
      <c r="AR2176">
        <v>2.1</v>
      </c>
      <c r="AS2176" t="s">
        <v>11135</v>
      </c>
      <c r="AT2176" t="s">
        <v>11192</v>
      </c>
      <c r="AV2176" t="s">
        <v>11231</v>
      </c>
      <c r="AW2176" t="s">
        <v>11157</v>
      </c>
    </row>
    <row r="2177" spans="1:49">
      <c r="A2177" s="1">
        <f>HYPERLINK("https://lsnyc.legalserver.org/matter/dynamic-profile/view/1905461","19-1905461")</f>
        <v>0</v>
      </c>
      <c r="B2177" t="s">
        <v>172</v>
      </c>
      <c r="C2177" t="s">
        <v>1606</v>
      </c>
      <c r="D2177" t="s">
        <v>3033</v>
      </c>
      <c r="E2177" t="s">
        <v>5031</v>
      </c>
      <c r="F2177">
        <v>7</v>
      </c>
      <c r="G2177" t="s">
        <v>5638</v>
      </c>
      <c r="H2177">
        <v>10037</v>
      </c>
      <c r="I2177" t="s">
        <v>5696</v>
      </c>
      <c r="J2177" t="s">
        <v>5696</v>
      </c>
      <c r="O2177" t="s">
        <v>6777</v>
      </c>
      <c r="R2177" t="s">
        <v>6796</v>
      </c>
      <c r="U2177">
        <v>0</v>
      </c>
      <c r="V2177" t="s">
        <v>6836</v>
      </c>
      <c r="Y2177" t="s">
        <v>8856</v>
      </c>
      <c r="AA2177" t="s">
        <v>10922</v>
      </c>
      <c r="AB2177">
        <v>0</v>
      </c>
      <c r="AE2177">
        <v>0</v>
      </c>
      <c r="AF2177">
        <v>1</v>
      </c>
      <c r="AG2177">
        <v>0</v>
      </c>
      <c r="AH2177">
        <v>3.01</v>
      </c>
      <c r="AL2177">
        <v>376</v>
      </c>
      <c r="AR2177">
        <v>7</v>
      </c>
      <c r="AS2177" t="s">
        <v>6821</v>
      </c>
      <c r="AT2177" t="s">
        <v>229</v>
      </c>
      <c r="AV2177" t="s">
        <v>11231</v>
      </c>
      <c r="AW2177" t="s">
        <v>6808</v>
      </c>
    </row>
    <row r="2178" spans="1:49">
      <c r="A2178" s="1">
        <f>HYPERLINK("https://lsnyc.legalserver.org/matter/dynamic-profile/view/1899008","19-1899008")</f>
        <v>0</v>
      </c>
      <c r="B2178" t="s">
        <v>142</v>
      </c>
      <c r="C2178" t="s">
        <v>1484</v>
      </c>
      <c r="D2178" t="s">
        <v>1822</v>
      </c>
      <c r="E2178" t="s">
        <v>5032</v>
      </c>
      <c r="F2178" t="s">
        <v>5626</v>
      </c>
      <c r="G2178" t="s">
        <v>5635</v>
      </c>
      <c r="H2178">
        <v>10452</v>
      </c>
      <c r="I2178" t="s">
        <v>5696</v>
      </c>
      <c r="J2178" t="s">
        <v>5696</v>
      </c>
      <c r="O2178" t="s">
        <v>6745</v>
      </c>
      <c r="R2178" t="s">
        <v>6793</v>
      </c>
      <c r="U2178">
        <v>1303</v>
      </c>
      <c r="V2178" t="s">
        <v>6833</v>
      </c>
      <c r="W2178" t="s">
        <v>6839</v>
      </c>
      <c r="Y2178" t="s">
        <v>8857</v>
      </c>
      <c r="AA2178" t="s">
        <v>10923</v>
      </c>
      <c r="AB2178">
        <v>0</v>
      </c>
      <c r="AE2178">
        <v>1</v>
      </c>
      <c r="AF2178">
        <v>1</v>
      </c>
      <c r="AG2178">
        <v>1</v>
      </c>
      <c r="AH2178">
        <v>0</v>
      </c>
      <c r="AK2178" t="s">
        <v>10967</v>
      </c>
      <c r="AL2178">
        <v>0</v>
      </c>
      <c r="AR2178">
        <v>1.2</v>
      </c>
      <c r="AS2178" t="s">
        <v>10958</v>
      </c>
      <c r="AT2178" t="s">
        <v>11203</v>
      </c>
      <c r="AV2178" t="s">
        <v>11231</v>
      </c>
      <c r="AW2178" t="s">
        <v>11156</v>
      </c>
    </row>
    <row r="2179" spans="1:49">
      <c r="A2179" s="1">
        <f>HYPERLINK("https://lsnyc.legalserver.org/matter/dynamic-profile/view/1903505","19-1903505")</f>
        <v>0</v>
      </c>
      <c r="B2179" t="s">
        <v>150</v>
      </c>
      <c r="C2179" t="s">
        <v>1607</v>
      </c>
      <c r="D2179" t="s">
        <v>1685</v>
      </c>
      <c r="E2179" t="s">
        <v>5033</v>
      </c>
      <c r="G2179" t="s">
        <v>5636</v>
      </c>
      <c r="H2179">
        <v>10312</v>
      </c>
      <c r="I2179" t="s">
        <v>5696</v>
      </c>
      <c r="J2179" t="s">
        <v>5696</v>
      </c>
      <c r="O2179" t="s">
        <v>6779</v>
      </c>
      <c r="R2179" t="s">
        <v>6799</v>
      </c>
      <c r="U2179">
        <v>0</v>
      </c>
      <c r="V2179" t="s">
        <v>6834</v>
      </c>
      <c r="Y2179" t="s">
        <v>8858</v>
      </c>
      <c r="AA2179" t="s">
        <v>10924</v>
      </c>
      <c r="AB2179">
        <v>0</v>
      </c>
      <c r="AE2179">
        <v>0</v>
      </c>
      <c r="AF2179">
        <v>4</v>
      </c>
      <c r="AG2179">
        <v>1</v>
      </c>
      <c r="AH2179">
        <v>318.2</v>
      </c>
      <c r="AK2179" t="s">
        <v>10966</v>
      </c>
      <c r="AL2179">
        <v>96000</v>
      </c>
      <c r="AR2179">
        <v>4.7</v>
      </c>
      <c r="AS2179" t="s">
        <v>6821</v>
      </c>
      <c r="AT2179" t="s">
        <v>11211</v>
      </c>
      <c r="AV2179" t="s">
        <v>11231</v>
      </c>
      <c r="AW2179" t="s">
        <v>6818</v>
      </c>
    </row>
    <row r="2180" spans="1:49">
      <c r="A2180" s="1">
        <f>HYPERLINK("https://lsnyc.legalserver.org/matter/dynamic-profile/view/1902677","19-1902677")</f>
        <v>0</v>
      </c>
      <c r="B2180" t="s">
        <v>155</v>
      </c>
      <c r="C2180" t="s">
        <v>770</v>
      </c>
      <c r="D2180" t="s">
        <v>3034</v>
      </c>
      <c r="E2180" t="s">
        <v>5034</v>
      </c>
      <c r="F2180" t="s">
        <v>5627</v>
      </c>
      <c r="G2180" t="s">
        <v>5637</v>
      </c>
      <c r="H2180">
        <v>11213</v>
      </c>
      <c r="I2180" t="s">
        <v>5697</v>
      </c>
      <c r="J2180" t="s">
        <v>5696</v>
      </c>
      <c r="K2180" t="s">
        <v>5741</v>
      </c>
      <c r="O2180" t="s">
        <v>6745</v>
      </c>
      <c r="P2180" t="s">
        <v>5697</v>
      </c>
      <c r="R2180" t="s">
        <v>6793</v>
      </c>
      <c r="S2180" t="s">
        <v>6801</v>
      </c>
      <c r="U2180">
        <v>831</v>
      </c>
      <c r="V2180" t="s">
        <v>6835</v>
      </c>
      <c r="W2180" t="s">
        <v>6840</v>
      </c>
      <c r="Y2180" t="s">
        <v>8859</v>
      </c>
      <c r="Z2180" t="s">
        <v>5741</v>
      </c>
      <c r="AA2180" t="s">
        <v>10925</v>
      </c>
      <c r="AB2180">
        <v>200</v>
      </c>
      <c r="AC2180" t="s">
        <v>10929</v>
      </c>
      <c r="AD2180" t="s">
        <v>5741</v>
      </c>
      <c r="AE2180">
        <v>16</v>
      </c>
      <c r="AF2180">
        <v>3</v>
      </c>
      <c r="AG2180">
        <v>0</v>
      </c>
      <c r="AH2180">
        <v>93.76000000000001</v>
      </c>
      <c r="AK2180" t="s">
        <v>10966</v>
      </c>
      <c r="AL2180">
        <v>20000</v>
      </c>
      <c r="AR2180">
        <v>0.5</v>
      </c>
      <c r="AS2180" t="s">
        <v>6824</v>
      </c>
      <c r="AT2180" t="s">
        <v>69</v>
      </c>
      <c r="AU2180" t="s">
        <v>11228</v>
      </c>
      <c r="AV2180" t="s">
        <v>11231</v>
      </c>
      <c r="AW2180" t="s">
        <v>11137</v>
      </c>
    </row>
    <row r="2181" spans="1:49">
      <c r="A2181" s="1">
        <f>HYPERLINK("https://lsnyc.legalserver.org/matter/dynamic-profile/view/1905434","19-1905434")</f>
        <v>0</v>
      </c>
      <c r="B2181" t="s">
        <v>205</v>
      </c>
      <c r="C2181" t="s">
        <v>309</v>
      </c>
      <c r="D2181" t="s">
        <v>2324</v>
      </c>
      <c r="E2181" t="s">
        <v>5035</v>
      </c>
      <c r="F2181" t="s">
        <v>5185</v>
      </c>
      <c r="G2181" t="s">
        <v>5637</v>
      </c>
      <c r="H2181">
        <v>11231</v>
      </c>
      <c r="I2181" t="s">
        <v>5696</v>
      </c>
      <c r="J2181" t="s">
        <v>5696</v>
      </c>
      <c r="O2181" t="s">
        <v>6748</v>
      </c>
      <c r="R2181" t="s">
        <v>6794</v>
      </c>
      <c r="U2181">
        <v>283</v>
      </c>
      <c r="V2181" t="s">
        <v>6835</v>
      </c>
      <c r="Y2181" t="s">
        <v>8860</v>
      </c>
      <c r="AA2181" t="s">
        <v>10926</v>
      </c>
      <c r="AB2181">
        <v>100</v>
      </c>
      <c r="AE2181">
        <v>4</v>
      </c>
      <c r="AF2181">
        <v>1</v>
      </c>
      <c r="AG2181">
        <v>1</v>
      </c>
      <c r="AH2181">
        <v>21.53</v>
      </c>
      <c r="AK2181" t="s">
        <v>10966</v>
      </c>
      <c r="AL2181">
        <v>3640</v>
      </c>
      <c r="AR2181">
        <v>1.2</v>
      </c>
      <c r="AS2181" t="s">
        <v>6822</v>
      </c>
      <c r="AT2181" t="s">
        <v>11192</v>
      </c>
      <c r="AV2181" t="s">
        <v>11231</v>
      </c>
      <c r="AW2181" t="s">
        <v>6822</v>
      </c>
    </row>
    <row r="2182" spans="1:49">
      <c r="A2182" s="1">
        <f>HYPERLINK("https://lsnyc.legalserver.org/matter/dynamic-profile/view/1897602","19-1897602")</f>
        <v>0</v>
      </c>
      <c r="B2182" t="s">
        <v>197</v>
      </c>
      <c r="C2182" t="s">
        <v>666</v>
      </c>
      <c r="D2182" t="s">
        <v>2553</v>
      </c>
      <c r="E2182" t="s">
        <v>5036</v>
      </c>
      <c r="F2182" t="s">
        <v>5628</v>
      </c>
      <c r="G2182" t="s">
        <v>5638</v>
      </c>
      <c r="H2182">
        <v>10009</v>
      </c>
      <c r="I2182" t="s">
        <v>5696</v>
      </c>
      <c r="J2182" t="s">
        <v>5696</v>
      </c>
      <c r="O2182" t="s">
        <v>6748</v>
      </c>
      <c r="R2182" t="s">
        <v>6793</v>
      </c>
      <c r="U2182">
        <v>750</v>
      </c>
      <c r="V2182" t="s">
        <v>6836</v>
      </c>
      <c r="W2182" t="s">
        <v>6842</v>
      </c>
      <c r="Y2182" t="s">
        <v>8861</v>
      </c>
      <c r="AA2182" t="s">
        <v>10927</v>
      </c>
      <c r="AB2182">
        <v>0</v>
      </c>
      <c r="AD2182" t="s">
        <v>6841</v>
      </c>
      <c r="AE2182">
        <v>23</v>
      </c>
      <c r="AF2182">
        <v>1</v>
      </c>
      <c r="AG2182">
        <v>0</v>
      </c>
      <c r="AH2182">
        <v>185.75</v>
      </c>
      <c r="AK2182" t="s">
        <v>10966</v>
      </c>
      <c r="AL2182">
        <v>23200</v>
      </c>
      <c r="AR2182">
        <v>1</v>
      </c>
      <c r="AS2182" t="s">
        <v>11159</v>
      </c>
      <c r="AT2182" t="s">
        <v>11203</v>
      </c>
      <c r="AV2182" t="s">
        <v>11231</v>
      </c>
      <c r="AW2182" t="s">
        <v>11159</v>
      </c>
    </row>
    <row r="2183" spans="1:49">
      <c r="A2183" s="1">
        <f>HYPERLINK("https://lsnyc.legalserver.org/matter/dynamic-profile/view/1905136","19-1905136")</f>
        <v>0</v>
      </c>
      <c r="B2183" t="s">
        <v>147</v>
      </c>
      <c r="C2183" t="s">
        <v>745</v>
      </c>
      <c r="D2183" t="s">
        <v>3035</v>
      </c>
      <c r="E2183" t="s">
        <v>5037</v>
      </c>
      <c r="F2183" t="s">
        <v>5629</v>
      </c>
      <c r="G2183" t="s">
        <v>5674</v>
      </c>
      <c r="H2183">
        <v>11373</v>
      </c>
      <c r="I2183" t="s">
        <v>5696</v>
      </c>
      <c r="J2183" t="s">
        <v>5696</v>
      </c>
      <c r="O2183" t="s">
        <v>6758</v>
      </c>
      <c r="R2183" t="s">
        <v>6793</v>
      </c>
      <c r="U2183">
        <v>950</v>
      </c>
      <c r="V2183" t="s">
        <v>6837</v>
      </c>
      <c r="Y2183" t="s">
        <v>8862</v>
      </c>
      <c r="AA2183" t="s">
        <v>10928</v>
      </c>
      <c r="AB2183">
        <v>400</v>
      </c>
      <c r="AE2183">
        <v>17</v>
      </c>
      <c r="AF2183">
        <v>1</v>
      </c>
      <c r="AG2183">
        <v>0</v>
      </c>
      <c r="AH2183">
        <v>224.18</v>
      </c>
      <c r="AK2183" t="s">
        <v>10966</v>
      </c>
      <c r="AL2183">
        <v>28000</v>
      </c>
      <c r="AR2183">
        <v>1</v>
      </c>
      <c r="AS2183" t="s">
        <v>6808</v>
      </c>
      <c r="AT2183" t="s">
        <v>11192</v>
      </c>
      <c r="AV2183" t="s">
        <v>11231</v>
      </c>
      <c r="AW2183" t="s">
        <v>6814</v>
      </c>
    </row>
    <row r="2184" spans="1:49">
      <c r="A2184" s="1">
        <f>HYPERLINK("https://lsnyc.legalserver.org/matter/dynamic-profile/view/1902787","19-1902787")</f>
        <v>0</v>
      </c>
      <c r="B2184" t="s">
        <v>101</v>
      </c>
      <c r="C2184" t="s">
        <v>1608</v>
      </c>
      <c r="D2184" t="s">
        <v>3036</v>
      </c>
      <c r="E2184" t="s">
        <v>5038</v>
      </c>
      <c r="F2184" t="s">
        <v>5098</v>
      </c>
      <c r="G2184" t="s">
        <v>5636</v>
      </c>
      <c r="H2184">
        <v>10305</v>
      </c>
      <c r="I2184" t="s">
        <v>5696</v>
      </c>
      <c r="J2184" t="s">
        <v>5696</v>
      </c>
      <c r="O2184" t="s">
        <v>6757</v>
      </c>
      <c r="R2184" t="s">
        <v>6795</v>
      </c>
      <c r="U2184">
        <v>0</v>
      </c>
      <c r="V2184" t="s">
        <v>6834</v>
      </c>
      <c r="Y2184" t="s">
        <v>8863</v>
      </c>
      <c r="AB2184">
        <v>0</v>
      </c>
      <c r="AE2184">
        <v>0</v>
      </c>
      <c r="AF2184">
        <v>1</v>
      </c>
      <c r="AG2184">
        <v>4</v>
      </c>
      <c r="AH2184">
        <v>23.86</v>
      </c>
      <c r="AK2184" t="s">
        <v>10972</v>
      </c>
      <c r="AL2184">
        <v>7200</v>
      </c>
      <c r="AR2184">
        <v>1.5</v>
      </c>
      <c r="AS2184" t="s">
        <v>6828</v>
      </c>
      <c r="AT2184" t="s">
        <v>101</v>
      </c>
      <c r="AV2184" t="s">
        <v>11231</v>
      </c>
      <c r="AW2184" t="s">
        <v>11133</v>
      </c>
    </row>
    <row r="2185" spans="1:49">
      <c r="A2185" s="1">
        <f>HYPERLINK("https://lsnyc.legalserver.org/matter/dynamic-profile/view/1899653","19-1899653")</f>
        <v>0</v>
      </c>
      <c r="B2185" t="s">
        <v>116</v>
      </c>
      <c r="C2185" t="s">
        <v>1609</v>
      </c>
      <c r="D2185" t="s">
        <v>3037</v>
      </c>
      <c r="E2185" t="s">
        <v>5039</v>
      </c>
      <c r="G2185" t="s">
        <v>5644</v>
      </c>
      <c r="H2185">
        <v>11433</v>
      </c>
      <c r="I2185" t="s">
        <v>5696</v>
      </c>
      <c r="J2185" t="s">
        <v>5696</v>
      </c>
      <c r="O2185" t="s">
        <v>6767</v>
      </c>
      <c r="R2185" t="s">
        <v>6798</v>
      </c>
      <c r="U2185">
        <v>0</v>
      </c>
      <c r="V2185" t="s">
        <v>6837</v>
      </c>
      <c r="Y2185" t="s">
        <v>8864</v>
      </c>
      <c r="AB2185">
        <v>0</v>
      </c>
      <c r="AE2185">
        <v>0</v>
      </c>
      <c r="AF2185">
        <v>1</v>
      </c>
      <c r="AG2185">
        <v>0</v>
      </c>
      <c r="AH2185">
        <v>110.58</v>
      </c>
      <c r="AK2185" t="s">
        <v>10992</v>
      </c>
      <c r="AL2185">
        <v>13812</v>
      </c>
      <c r="AR2185">
        <v>0.6</v>
      </c>
      <c r="AS2185" t="s">
        <v>11128</v>
      </c>
      <c r="AT2185" t="s">
        <v>11188</v>
      </c>
      <c r="AV2185" t="s">
        <v>11231</v>
      </c>
      <c r="AW2185" t="s">
        <v>11128</v>
      </c>
    </row>
    <row r="2186" spans="1:49">
      <c r="A2186" s="1">
        <f>HYPERLINK("https://lsnyc.legalserver.org/matter/dynamic-profile/view/1895920","19-1895920")</f>
        <v>0</v>
      </c>
      <c r="B2186" t="s">
        <v>117</v>
      </c>
      <c r="C2186" t="s">
        <v>1610</v>
      </c>
      <c r="D2186" t="s">
        <v>3038</v>
      </c>
      <c r="E2186" t="s">
        <v>3950</v>
      </c>
      <c r="F2186" t="s">
        <v>5574</v>
      </c>
      <c r="G2186" t="s">
        <v>5637</v>
      </c>
      <c r="H2186">
        <v>11208</v>
      </c>
      <c r="I2186" t="s">
        <v>5696</v>
      </c>
      <c r="J2186" t="s">
        <v>5696</v>
      </c>
      <c r="O2186" t="s">
        <v>6754</v>
      </c>
      <c r="R2186" t="s">
        <v>6793</v>
      </c>
      <c r="U2186">
        <v>1184</v>
      </c>
      <c r="V2186" t="s">
        <v>6835</v>
      </c>
      <c r="W2186" t="s">
        <v>6841</v>
      </c>
      <c r="Y2186" t="s">
        <v>8865</v>
      </c>
      <c r="AB2186">
        <v>600</v>
      </c>
      <c r="AC2186" t="s">
        <v>8953</v>
      </c>
      <c r="AE2186">
        <v>5</v>
      </c>
      <c r="AF2186">
        <v>1</v>
      </c>
      <c r="AG2186">
        <v>0</v>
      </c>
      <c r="AH2186">
        <v>201.76</v>
      </c>
      <c r="AK2186" t="s">
        <v>10966</v>
      </c>
      <c r="AL2186">
        <v>25200</v>
      </c>
      <c r="AR2186">
        <v>4.5</v>
      </c>
      <c r="AS2186" t="s">
        <v>11162</v>
      </c>
      <c r="AT2186" t="s">
        <v>11184</v>
      </c>
      <c r="AV2186" t="s">
        <v>11231</v>
      </c>
      <c r="AW2186" t="s">
        <v>11170</v>
      </c>
    </row>
    <row r="2187" spans="1:49">
      <c r="A2187" s="1">
        <f>HYPERLINK("https://lsnyc.legalserver.org/matter/dynamic-profile/view/1896340","19-1896340")</f>
        <v>0</v>
      </c>
      <c r="B2187" t="s">
        <v>205</v>
      </c>
      <c r="C2187" t="s">
        <v>1611</v>
      </c>
      <c r="D2187" t="s">
        <v>2265</v>
      </c>
      <c r="E2187" t="s">
        <v>5040</v>
      </c>
      <c r="F2187" t="s">
        <v>5630</v>
      </c>
      <c r="G2187" t="s">
        <v>5637</v>
      </c>
      <c r="H2187">
        <v>11233</v>
      </c>
      <c r="I2187" t="s">
        <v>5696</v>
      </c>
      <c r="J2187" t="s">
        <v>5696</v>
      </c>
      <c r="O2187" t="s">
        <v>6748</v>
      </c>
      <c r="R2187" t="s">
        <v>6793</v>
      </c>
      <c r="U2187">
        <v>1500</v>
      </c>
      <c r="V2187" t="s">
        <v>6835</v>
      </c>
      <c r="Y2187" t="s">
        <v>8866</v>
      </c>
      <c r="AB2187">
        <v>1</v>
      </c>
      <c r="AE2187">
        <v>6</v>
      </c>
      <c r="AF2187">
        <v>1</v>
      </c>
      <c r="AG2187">
        <v>0</v>
      </c>
      <c r="AH2187">
        <v>48.04</v>
      </c>
      <c r="AK2187" t="s">
        <v>10966</v>
      </c>
      <c r="AL2187">
        <v>6000</v>
      </c>
      <c r="AR2187">
        <v>1</v>
      </c>
      <c r="AS2187" t="s">
        <v>11164</v>
      </c>
      <c r="AT2187" t="s">
        <v>11192</v>
      </c>
      <c r="AV2187" t="s">
        <v>11231</v>
      </c>
      <c r="AW2187" t="s">
        <v>11164</v>
      </c>
    </row>
    <row r="2188" spans="1:49">
      <c r="A2188" s="1">
        <f>HYPERLINK("https://lsnyc.legalserver.org/matter/dynamic-profile/view/1903107","19-1903107")</f>
        <v>0</v>
      </c>
      <c r="B2188" t="s">
        <v>68</v>
      </c>
      <c r="C2188" t="s">
        <v>734</v>
      </c>
      <c r="D2188" t="s">
        <v>3039</v>
      </c>
      <c r="E2188" t="s">
        <v>5041</v>
      </c>
      <c r="F2188" t="s">
        <v>5252</v>
      </c>
      <c r="G2188" t="s">
        <v>5637</v>
      </c>
      <c r="H2188">
        <v>11230</v>
      </c>
      <c r="I2188" t="s">
        <v>5696</v>
      </c>
      <c r="J2188" t="s">
        <v>5696</v>
      </c>
      <c r="O2188" t="s">
        <v>6754</v>
      </c>
      <c r="R2188" t="s">
        <v>6793</v>
      </c>
      <c r="U2188">
        <v>1650</v>
      </c>
      <c r="V2188" t="s">
        <v>6835</v>
      </c>
      <c r="W2188" t="s">
        <v>6842</v>
      </c>
      <c r="Y2188" t="s">
        <v>8867</v>
      </c>
      <c r="AB2188">
        <v>0</v>
      </c>
      <c r="AD2188" t="s">
        <v>5741</v>
      </c>
      <c r="AE2188">
        <v>10</v>
      </c>
      <c r="AF2188">
        <v>1</v>
      </c>
      <c r="AG2188">
        <v>0</v>
      </c>
      <c r="AH2188">
        <v>256.2</v>
      </c>
      <c r="AK2188" t="s">
        <v>10966</v>
      </c>
      <c r="AL2188">
        <v>32000</v>
      </c>
      <c r="AR2188">
        <v>3.85</v>
      </c>
      <c r="AS2188" t="s">
        <v>6808</v>
      </c>
      <c r="AT2188" t="s">
        <v>11188</v>
      </c>
      <c r="AV2188" t="s">
        <v>11231</v>
      </c>
      <c r="AW2188" t="s">
        <v>10953</v>
      </c>
    </row>
    <row r="2189" spans="1:49">
      <c r="A2189" s="1">
        <f>HYPERLINK("https://lsnyc.legalserver.org/matter/dynamic-profile/view/1906286","19-1906286")</f>
        <v>0</v>
      </c>
      <c r="B2189" t="s">
        <v>268</v>
      </c>
      <c r="C2189" t="s">
        <v>574</v>
      </c>
      <c r="D2189" t="s">
        <v>1758</v>
      </c>
      <c r="E2189" t="s">
        <v>4886</v>
      </c>
      <c r="F2189" t="s">
        <v>5145</v>
      </c>
      <c r="G2189" t="s">
        <v>5637</v>
      </c>
      <c r="H2189">
        <v>11226</v>
      </c>
      <c r="I2189" t="s">
        <v>5695</v>
      </c>
      <c r="J2189" t="s">
        <v>5696</v>
      </c>
      <c r="O2189" t="s">
        <v>6745</v>
      </c>
      <c r="R2189" t="s">
        <v>6793</v>
      </c>
      <c r="T2189" t="s">
        <v>6827</v>
      </c>
      <c r="U2189">
        <v>1024.45</v>
      </c>
      <c r="V2189" t="s">
        <v>6835</v>
      </c>
      <c r="Y2189" t="s">
        <v>8719</v>
      </c>
      <c r="AB2189">
        <v>0</v>
      </c>
      <c r="AE2189">
        <v>23</v>
      </c>
      <c r="AF2189">
        <v>4</v>
      </c>
      <c r="AG2189">
        <v>0</v>
      </c>
      <c r="AH2189">
        <v>97.09</v>
      </c>
      <c r="AK2189" t="s">
        <v>10966</v>
      </c>
      <c r="AL2189">
        <v>25000</v>
      </c>
      <c r="AR2189">
        <v>0.5</v>
      </c>
      <c r="AS2189" t="s">
        <v>6827</v>
      </c>
      <c r="AT2189" t="s">
        <v>77</v>
      </c>
      <c r="AV2189" t="s">
        <v>11231</v>
      </c>
      <c r="AW2189" t="s">
        <v>6827</v>
      </c>
    </row>
    <row r="2190" spans="1:49">
      <c r="A2190" s="1">
        <f>HYPERLINK("https://lsnyc.legalserver.org/matter/dynamic-profile/view/1903879","19-1903879")</f>
        <v>0</v>
      </c>
      <c r="B2190" t="s">
        <v>77</v>
      </c>
      <c r="C2190" t="s">
        <v>877</v>
      </c>
      <c r="D2190" t="s">
        <v>3040</v>
      </c>
      <c r="E2190" t="s">
        <v>5042</v>
      </c>
      <c r="F2190" t="s">
        <v>5631</v>
      </c>
      <c r="G2190" t="s">
        <v>5637</v>
      </c>
      <c r="H2190">
        <v>11210</v>
      </c>
      <c r="I2190" t="s">
        <v>5695</v>
      </c>
      <c r="J2190" t="s">
        <v>5696</v>
      </c>
      <c r="O2190" t="s">
        <v>6745</v>
      </c>
      <c r="R2190" t="s">
        <v>6793</v>
      </c>
      <c r="T2190" t="s">
        <v>6807</v>
      </c>
      <c r="U2190">
        <v>0</v>
      </c>
      <c r="V2190" t="s">
        <v>6835</v>
      </c>
      <c r="Y2190" t="s">
        <v>8868</v>
      </c>
      <c r="AB2190">
        <v>0</v>
      </c>
      <c r="AE2190">
        <v>0</v>
      </c>
      <c r="AF2190">
        <v>5</v>
      </c>
      <c r="AG2190">
        <v>0</v>
      </c>
      <c r="AH2190">
        <v>195.56</v>
      </c>
      <c r="AK2190" t="s">
        <v>10966</v>
      </c>
      <c r="AL2190">
        <v>59000</v>
      </c>
      <c r="AR2190">
        <v>0.2</v>
      </c>
      <c r="AS2190" t="s">
        <v>6825</v>
      </c>
      <c r="AT2190" t="s">
        <v>77</v>
      </c>
      <c r="AU2190" t="s">
        <v>11228</v>
      </c>
      <c r="AV2190" t="s">
        <v>11231</v>
      </c>
      <c r="AW2190" t="s">
        <v>6807</v>
      </c>
    </row>
    <row r="2191" spans="1:49">
      <c r="A2191" s="1">
        <f>HYPERLINK("https://lsnyc.legalserver.org/matter/dynamic-profile/view/1905098","19-1905098")</f>
        <v>0</v>
      </c>
      <c r="B2191" t="s">
        <v>115</v>
      </c>
      <c r="C2191" t="s">
        <v>1612</v>
      </c>
      <c r="D2191" t="s">
        <v>3041</v>
      </c>
      <c r="E2191" t="s">
        <v>5043</v>
      </c>
      <c r="G2191" t="s">
        <v>5644</v>
      </c>
      <c r="H2191">
        <v>11433</v>
      </c>
      <c r="I2191" t="s">
        <v>5696</v>
      </c>
      <c r="J2191" t="s">
        <v>5696</v>
      </c>
      <c r="O2191" t="s">
        <v>6770</v>
      </c>
      <c r="R2191" t="s">
        <v>6798</v>
      </c>
      <c r="U2191">
        <v>0</v>
      </c>
      <c r="V2191" t="s">
        <v>6837</v>
      </c>
      <c r="AB2191">
        <v>0</v>
      </c>
      <c r="AE2191">
        <v>0</v>
      </c>
      <c r="AF2191">
        <v>2</v>
      </c>
      <c r="AG2191">
        <v>0</v>
      </c>
      <c r="AH2191">
        <v>0</v>
      </c>
      <c r="AK2191" t="s">
        <v>10966</v>
      </c>
      <c r="AL2191">
        <v>0</v>
      </c>
      <c r="AR2191">
        <v>1.25</v>
      </c>
      <c r="AS2191" t="s">
        <v>6814</v>
      </c>
      <c r="AT2191" t="s">
        <v>115</v>
      </c>
      <c r="AV2191" t="s">
        <v>11231</v>
      </c>
      <c r="AW2191" t="s">
        <v>6814</v>
      </c>
    </row>
    <row r="2192" spans="1:49">
      <c r="A2192" s="1">
        <f>HYPERLINK("https://lsnyc.legalserver.org/matter/dynamic-profile/view/1900056","19-1900056")</f>
        <v>0</v>
      </c>
      <c r="B2192" t="s">
        <v>152</v>
      </c>
      <c r="C2192" t="s">
        <v>1613</v>
      </c>
      <c r="D2192" t="s">
        <v>1762</v>
      </c>
      <c r="E2192" t="s">
        <v>5044</v>
      </c>
      <c r="F2192" t="s">
        <v>5632</v>
      </c>
      <c r="G2192" t="s">
        <v>5635</v>
      </c>
      <c r="H2192">
        <v>10451</v>
      </c>
      <c r="I2192" t="s">
        <v>5696</v>
      </c>
      <c r="J2192" t="s">
        <v>5696</v>
      </c>
      <c r="O2192" t="s">
        <v>6784</v>
      </c>
      <c r="R2192" t="s">
        <v>6797</v>
      </c>
      <c r="U2192">
        <v>0</v>
      </c>
      <c r="V2192" t="s">
        <v>6833</v>
      </c>
      <c r="Y2192" t="s">
        <v>8869</v>
      </c>
      <c r="AB2192">
        <v>0</v>
      </c>
      <c r="AE2192">
        <v>0</v>
      </c>
      <c r="AF2192">
        <v>1</v>
      </c>
      <c r="AG2192">
        <v>0</v>
      </c>
      <c r="AH2192">
        <v>0</v>
      </c>
      <c r="AK2192" t="s">
        <v>10966</v>
      </c>
      <c r="AL2192">
        <v>0</v>
      </c>
      <c r="AR2192">
        <v>2.5</v>
      </c>
      <c r="AS2192" t="s">
        <v>6814</v>
      </c>
      <c r="AT2192" t="s">
        <v>296</v>
      </c>
      <c r="AV2192" t="s">
        <v>11231</v>
      </c>
      <c r="AW2192" t="s">
        <v>10957</v>
      </c>
    </row>
    <row r="2193" spans="1:49">
      <c r="A2193" s="1">
        <f>HYPERLINK("https://lsnyc.legalserver.org/matter/dynamic-profile/view/1904866","19-1904866")</f>
        <v>0</v>
      </c>
      <c r="B2193" t="s">
        <v>116</v>
      </c>
      <c r="C2193" t="s">
        <v>1614</v>
      </c>
      <c r="D2193" t="s">
        <v>3042</v>
      </c>
      <c r="E2193" t="s">
        <v>5045</v>
      </c>
      <c r="G2193" t="s">
        <v>5658</v>
      </c>
      <c r="H2193">
        <v>11416</v>
      </c>
      <c r="I2193" t="s">
        <v>5696</v>
      </c>
      <c r="J2193" t="s">
        <v>5696</v>
      </c>
      <c r="O2193" t="s">
        <v>6778</v>
      </c>
      <c r="R2193" t="s">
        <v>6798</v>
      </c>
      <c r="U2193">
        <v>0</v>
      </c>
      <c r="V2193" t="s">
        <v>6837</v>
      </c>
      <c r="Y2193" t="s">
        <v>8870</v>
      </c>
      <c r="AB2193">
        <v>0</v>
      </c>
      <c r="AE2193">
        <v>0</v>
      </c>
      <c r="AF2193">
        <v>1</v>
      </c>
      <c r="AG2193">
        <v>0</v>
      </c>
      <c r="AH2193">
        <v>19.78</v>
      </c>
      <c r="AK2193" t="s">
        <v>10966</v>
      </c>
      <c r="AL2193">
        <v>2470</v>
      </c>
      <c r="AR2193">
        <v>3.4</v>
      </c>
      <c r="AS2193" t="s">
        <v>6826</v>
      </c>
      <c r="AT2193" t="s">
        <v>11192</v>
      </c>
      <c r="AV2193" t="s">
        <v>11231</v>
      </c>
      <c r="AW2193" t="s">
        <v>6816</v>
      </c>
    </row>
    <row r="2194" spans="1:49">
      <c r="A2194" s="1">
        <f>HYPERLINK("https://lsnyc.legalserver.org/matter/dynamic-profile/view/1905247","19-1905247")</f>
        <v>0</v>
      </c>
      <c r="B2194" t="s">
        <v>240</v>
      </c>
      <c r="C2194" t="s">
        <v>1615</v>
      </c>
      <c r="D2194" t="s">
        <v>1867</v>
      </c>
      <c r="E2194" t="s">
        <v>5046</v>
      </c>
      <c r="F2194">
        <v>31</v>
      </c>
      <c r="G2194" t="s">
        <v>5638</v>
      </c>
      <c r="H2194">
        <v>10026</v>
      </c>
      <c r="I2194" t="s">
        <v>5696</v>
      </c>
      <c r="J2194" t="s">
        <v>5696</v>
      </c>
      <c r="O2194" t="s">
        <v>6748</v>
      </c>
      <c r="R2194" t="s">
        <v>6795</v>
      </c>
      <c r="U2194">
        <v>0</v>
      </c>
      <c r="V2194" t="s">
        <v>6833</v>
      </c>
      <c r="Y2194" t="s">
        <v>8871</v>
      </c>
      <c r="AB2194">
        <v>0</v>
      </c>
      <c r="AE2194">
        <v>0</v>
      </c>
      <c r="AF2194">
        <v>1</v>
      </c>
      <c r="AG2194">
        <v>3</v>
      </c>
      <c r="AH2194">
        <v>51.26</v>
      </c>
      <c r="AK2194" t="s">
        <v>10966</v>
      </c>
      <c r="AL2194">
        <v>13200</v>
      </c>
      <c r="AR2194">
        <v>1</v>
      </c>
      <c r="AS2194" t="s">
        <v>6823</v>
      </c>
      <c r="AT2194" t="s">
        <v>240</v>
      </c>
      <c r="AV2194" t="s">
        <v>11231</v>
      </c>
      <c r="AW2194" t="s">
        <v>6808</v>
      </c>
    </row>
    <row r="2195" spans="1:49">
      <c r="A2195" s="1">
        <f>HYPERLINK("https://lsnyc.legalserver.org/matter/dynamic-profile/view/1899555","19-1899555")</f>
        <v>0</v>
      </c>
      <c r="B2195" t="s">
        <v>116</v>
      </c>
      <c r="C2195" t="s">
        <v>1616</v>
      </c>
      <c r="D2195" t="s">
        <v>1912</v>
      </c>
      <c r="E2195" t="s">
        <v>5047</v>
      </c>
      <c r="G2195" t="s">
        <v>5644</v>
      </c>
      <c r="H2195">
        <v>11435</v>
      </c>
      <c r="I2195" t="s">
        <v>5696</v>
      </c>
      <c r="J2195" t="s">
        <v>5696</v>
      </c>
      <c r="O2195" t="s">
        <v>6767</v>
      </c>
      <c r="R2195" t="s">
        <v>6798</v>
      </c>
      <c r="U2195">
        <v>0</v>
      </c>
      <c r="V2195" t="s">
        <v>6837</v>
      </c>
      <c r="Y2195" t="s">
        <v>8872</v>
      </c>
      <c r="AB2195">
        <v>0</v>
      </c>
      <c r="AE2195">
        <v>0</v>
      </c>
      <c r="AF2195">
        <v>1</v>
      </c>
      <c r="AG2195">
        <v>0</v>
      </c>
      <c r="AH2195">
        <v>76.86</v>
      </c>
      <c r="AK2195" t="s">
        <v>10966</v>
      </c>
      <c r="AL2195">
        <v>9600</v>
      </c>
      <c r="AR2195">
        <v>1.65</v>
      </c>
      <c r="AS2195" t="s">
        <v>10954</v>
      </c>
      <c r="AT2195" t="s">
        <v>11189</v>
      </c>
      <c r="AV2195" t="s">
        <v>11231</v>
      </c>
      <c r="AW2195" t="s">
        <v>11128</v>
      </c>
    </row>
    <row r="2196" spans="1:49">
      <c r="A2196" s="1">
        <f>HYPERLINK("https://lsnyc.legalserver.org/matter/dynamic-profile/view/1899762","19-1899762")</f>
        <v>0</v>
      </c>
      <c r="B2196" t="s">
        <v>294</v>
      </c>
      <c r="C2196" t="s">
        <v>1110</v>
      </c>
      <c r="D2196" t="s">
        <v>3043</v>
      </c>
      <c r="E2196" t="s">
        <v>5048</v>
      </c>
      <c r="F2196" t="s">
        <v>5589</v>
      </c>
      <c r="G2196" t="s">
        <v>5638</v>
      </c>
      <c r="H2196">
        <v>10033</v>
      </c>
      <c r="I2196" t="s">
        <v>5696</v>
      </c>
      <c r="J2196" t="s">
        <v>5696</v>
      </c>
      <c r="O2196" t="s">
        <v>6789</v>
      </c>
      <c r="R2196" t="s">
        <v>6793</v>
      </c>
      <c r="U2196">
        <v>0</v>
      </c>
      <c r="V2196" t="s">
        <v>6836</v>
      </c>
      <c r="Y2196" t="s">
        <v>8873</v>
      </c>
      <c r="AB2196">
        <v>0</v>
      </c>
      <c r="AE2196">
        <v>0</v>
      </c>
      <c r="AF2196">
        <v>1</v>
      </c>
      <c r="AG2196">
        <v>1</v>
      </c>
      <c r="AH2196">
        <v>76.88</v>
      </c>
      <c r="AK2196" t="s">
        <v>10966</v>
      </c>
      <c r="AL2196">
        <v>13000</v>
      </c>
      <c r="AR2196">
        <v>1</v>
      </c>
      <c r="AS2196" t="s">
        <v>11148</v>
      </c>
      <c r="AT2196" t="s">
        <v>11194</v>
      </c>
      <c r="AV2196" t="s">
        <v>11231</v>
      </c>
      <c r="AW2196" t="s">
        <v>11128</v>
      </c>
    </row>
    <row r="2197" spans="1:49">
      <c r="A2197" s="1">
        <f>HYPERLINK("https://lsnyc.legalserver.org/matter/dynamic-profile/view/1902050","19-1902050")</f>
        <v>0</v>
      </c>
      <c r="B2197" t="s">
        <v>99</v>
      </c>
      <c r="C2197" t="s">
        <v>1617</v>
      </c>
      <c r="D2197" t="s">
        <v>3044</v>
      </c>
      <c r="E2197" t="s">
        <v>5049</v>
      </c>
      <c r="F2197" t="s">
        <v>5158</v>
      </c>
      <c r="G2197" t="s">
        <v>5637</v>
      </c>
      <c r="H2197">
        <v>11218</v>
      </c>
      <c r="I2197" t="s">
        <v>5696</v>
      </c>
      <c r="J2197" t="s">
        <v>5696</v>
      </c>
      <c r="O2197" t="s">
        <v>6754</v>
      </c>
      <c r="R2197" t="s">
        <v>6793</v>
      </c>
      <c r="U2197">
        <v>0</v>
      </c>
      <c r="V2197" t="s">
        <v>6835</v>
      </c>
      <c r="Y2197" t="s">
        <v>8874</v>
      </c>
      <c r="AB2197">
        <v>0</v>
      </c>
      <c r="AE2197">
        <v>0</v>
      </c>
      <c r="AF2197">
        <v>1</v>
      </c>
      <c r="AG2197">
        <v>0</v>
      </c>
      <c r="AH2197">
        <v>78.69</v>
      </c>
      <c r="AK2197" t="s">
        <v>10966</v>
      </c>
      <c r="AL2197">
        <v>9828</v>
      </c>
      <c r="AR2197">
        <v>5.75</v>
      </c>
      <c r="AS2197" t="s">
        <v>6820</v>
      </c>
      <c r="AT2197" t="s">
        <v>99</v>
      </c>
      <c r="AV2197" t="s">
        <v>11231</v>
      </c>
      <c r="AW2197" t="s">
        <v>11161</v>
      </c>
    </row>
    <row r="2198" spans="1:49">
      <c r="A2198" s="1">
        <f>HYPERLINK("https://lsnyc.legalserver.org/matter/dynamic-profile/view/1899801","19-1899801")</f>
        <v>0</v>
      </c>
      <c r="B2198" t="s">
        <v>101</v>
      </c>
      <c r="C2198" t="s">
        <v>1618</v>
      </c>
      <c r="D2198" t="s">
        <v>3045</v>
      </c>
      <c r="E2198" t="s">
        <v>5050</v>
      </c>
      <c r="G2198" t="s">
        <v>5636</v>
      </c>
      <c r="H2198">
        <v>10303</v>
      </c>
      <c r="I2198" t="s">
        <v>5696</v>
      </c>
      <c r="J2198" t="s">
        <v>5696</v>
      </c>
      <c r="O2198" t="s">
        <v>6757</v>
      </c>
      <c r="R2198" t="s">
        <v>6795</v>
      </c>
      <c r="U2198">
        <v>0</v>
      </c>
      <c r="V2198" t="s">
        <v>6834</v>
      </c>
      <c r="Y2198" t="s">
        <v>8875</v>
      </c>
      <c r="AB2198">
        <v>0</v>
      </c>
      <c r="AE2198">
        <v>0</v>
      </c>
      <c r="AF2198">
        <v>7</v>
      </c>
      <c r="AG2198">
        <v>3</v>
      </c>
      <c r="AH2198">
        <v>84.94</v>
      </c>
      <c r="AK2198" t="s">
        <v>10966</v>
      </c>
      <c r="AL2198">
        <v>44400</v>
      </c>
      <c r="AR2198">
        <v>1.2</v>
      </c>
      <c r="AS2198" t="s">
        <v>6825</v>
      </c>
      <c r="AT2198" t="s">
        <v>101</v>
      </c>
      <c r="AV2198" t="s">
        <v>11231</v>
      </c>
      <c r="AW2198" t="s">
        <v>11132</v>
      </c>
    </row>
    <row r="2199" spans="1:49">
      <c r="A2199" s="1">
        <f>HYPERLINK("https://lsnyc.legalserver.org/matter/dynamic-profile/view/1900047","19-1900047")</f>
        <v>0</v>
      </c>
      <c r="B2199" t="s">
        <v>268</v>
      </c>
      <c r="C2199" t="s">
        <v>1619</v>
      </c>
      <c r="D2199" t="s">
        <v>3046</v>
      </c>
      <c r="E2199" t="s">
        <v>5051</v>
      </c>
      <c r="F2199">
        <v>1050</v>
      </c>
      <c r="G2199" t="s">
        <v>5637</v>
      </c>
      <c r="H2199">
        <v>11217</v>
      </c>
      <c r="I2199" t="s">
        <v>5696</v>
      </c>
      <c r="J2199" t="s">
        <v>5696</v>
      </c>
      <c r="O2199" t="s">
        <v>6756</v>
      </c>
      <c r="R2199" t="s">
        <v>6793</v>
      </c>
      <c r="U2199">
        <v>0</v>
      </c>
      <c r="V2199" t="s">
        <v>6835</v>
      </c>
      <c r="Y2199" t="s">
        <v>8876</v>
      </c>
      <c r="AB2199">
        <v>0</v>
      </c>
      <c r="AE2199">
        <v>0</v>
      </c>
      <c r="AF2199">
        <v>1</v>
      </c>
      <c r="AG2199">
        <v>0</v>
      </c>
      <c r="AH2199">
        <v>112.99</v>
      </c>
      <c r="AK2199" t="s">
        <v>10966</v>
      </c>
      <c r="AL2199">
        <v>14112</v>
      </c>
      <c r="AR2199">
        <v>0.4</v>
      </c>
      <c r="AS2199" t="s">
        <v>10957</v>
      </c>
      <c r="AT2199" t="s">
        <v>77</v>
      </c>
      <c r="AV2199" t="s">
        <v>11231</v>
      </c>
      <c r="AW2199" t="s">
        <v>10957</v>
      </c>
    </row>
    <row r="2200" spans="1:49">
      <c r="A2200" s="1">
        <f>HYPERLINK("https://lsnyc.legalserver.org/matter/dynamic-profile/view/1904864","19-1904864")</f>
        <v>0</v>
      </c>
      <c r="B2200" t="s">
        <v>296</v>
      </c>
      <c r="C2200" t="s">
        <v>940</v>
      </c>
      <c r="D2200" t="s">
        <v>3047</v>
      </c>
      <c r="E2200" t="s">
        <v>5052</v>
      </c>
      <c r="G2200" t="s">
        <v>5635</v>
      </c>
      <c r="H2200">
        <v>10472</v>
      </c>
      <c r="I2200" t="s">
        <v>5696</v>
      </c>
      <c r="J2200" t="s">
        <v>5696</v>
      </c>
      <c r="O2200" t="s">
        <v>6748</v>
      </c>
      <c r="R2200" t="s">
        <v>6798</v>
      </c>
      <c r="U2200">
        <v>0</v>
      </c>
      <c r="V2200" t="s">
        <v>6833</v>
      </c>
      <c r="Y2200" t="s">
        <v>8877</v>
      </c>
      <c r="AB2200">
        <v>0</v>
      </c>
      <c r="AE2200">
        <v>0</v>
      </c>
      <c r="AF2200">
        <v>1</v>
      </c>
      <c r="AG2200">
        <v>0</v>
      </c>
      <c r="AH2200">
        <v>115.29</v>
      </c>
      <c r="AK2200" t="s">
        <v>10966</v>
      </c>
      <c r="AL2200">
        <v>14400</v>
      </c>
      <c r="AR2200">
        <v>0.5</v>
      </c>
      <c r="AS2200" t="s">
        <v>6816</v>
      </c>
      <c r="AT2200" t="s">
        <v>11180</v>
      </c>
      <c r="AV2200" t="s">
        <v>11231</v>
      </c>
      <c r="AW2200" t="s">
        <v>6816</v>
      </c>
    </row>
    <row r="2201" spans="1:49">
      <c r="A2201" s="1">
        <f>HYPERLINK("https://lsnyc.legalserver.org/matter/dynamic-profile/view/1898405","19-1898405")</f>
        <v>0</v>
      </c>
      <c r="B2201" t="s">
        <v>260</v>
      </c>
      <c r="C2201" t="s">
        <v>540</v>
      </c>
      <c r="D2201" t="s">
        <v>3048</v>
      </c>
      <c r="E2201" t="s">
        <v>5053</v>
      </c>
      <c r="G2201" t="s">
        <v>5642</v>
      </c>
      <c r="H2201">
        <v>11422</v>
      </c>
      <c r="I2201" t="s">
        <v>5696</v>
      </c>
      <c r="J2201" t="s">
        <v>5696</v>
      </c>
      <c r="O2201" t="s">
        <v>6767</v>
      </c>
      <c r="R2201" t="s">
        <v>6798</v>
      </c>
      <c r="U2201">
        <v>0</v>
      </c>
      <c r="V2201" t="s">
        <v>6837</v>
      </c>
      <c r="Y2201" t="s">
        <v>8878</v>
      </c>
      <c r="AB2201">
        <v>0</v>
      </c>
      <c r="AE2201">
        <v>0</v>
      </c>
      <c r="AF2201">
        <v>1</v>
      </c>
      <c r="AG2201">
        <v>0</v>
      </c>
      <c r="AH2201">
        <v>118.94</v>
      </c>
      <c r="AK2201" t="s">
        <v>10966</v>
      </c>
      <c r="AL2201">
        <v>14856</v>
      </c>
      <c r="AR2201">
        <v>5.5</v>
      </c>
      <c r="AS2201" t="s">
        <v>11136</v>
      </c>
      <c r="AT2201" t="s">
        <v>11213</v>
      </c>
      <c r="AV2201" t="s">
        <v>11231</v>
      </c>
      <c r="AW2201" t="s">
        <v>11141</v>
      </c>
    </row>
    <row r="2202" spans="1:49">
      <c r="A2202" s="1">
        <f>HYPERLINK("https://lsnyc.legalserver.org/matter/dynamic-profile/view/1903939","19-1903939")</f>
        <v>0</v>
      </c>
      <c r="B2202" t="s">
        <v>126</v>
      </c>
      <c r="C2202" t="s">
        <v>1069</v>
      </c>
      <c r="D2202" t="s">
        <v>2383</v>
      </c>
      <c r="E2202" t="s">
        <v>4353</v>
      </c>
      <c r="F2202" t="s">
        <v>5633</v>
      </c>
      <c r="G2202" t="s">
        <v>5635</v>
      </c>
      <c r="H2202">
        <v>10467</v>
      </c>
      <c r="I2202" t="s">
        <v>5696</v>
      </c>
      <c r="J2202" t="s">
        <v>5696</v>
      </c>
      <c r="O2202" t="s">
        <v>6764</v>
      </c>
      <c r="R2202" t="s">
        <v>6793</v>
      </c>
      <c r="U2202">
        <v>0</v>
      </c>
      <c r="V2202" t="s">
        <v>6833</v>
      </c>
      <c r="Y2202" t="s">
        <v>8879</v>
      </c>
      <c r="AB2202">
        <v>0</v>
      </c>
      <c r="AE2202">
        <v>0</v>
      </c>
      <c r="AF2202">
        <v>1</v>
      </c>
      <c r="AG2202">
        <v>0</v>
      </c>
      <c r="AH2202">
        <v>124.9</v>
      </c>
      <c r="AK2202" t="s">
        <v>10966</v>
      </c>
      <c r="AL2202">
        <v>15600</v>
      </c>
      <c r="AR2202">
        <v>1.5</v>
      </c>
      <c r="AS2202" t="s">
        <v>6810</v>
      </c>
      <c r="AT2202" t="s">
        <v>126</v>
      </c>
      <c r="AV2202" t="s">
        <v>11231</v>
      </c>
      <c r="AW2202" t="s">
        <v>6807</v>
      </c>
    </row>
    <row r="2203" spans="1:49">
      <c r="A2203" s="1">
        <f>HYPERLINK("https://lsnyc.legalserver.org/matter/dynamic-profile/view/1906117","19-1906117")</f>
        <v>0</v>
      </c>
      <c r="B2203" t="s">
        <v>116</v>
      </c>
      <c r="C2203" t="s">
        <v>673</v>
      </c>
      <c r="D2203" t="s">
        <v>3049</v>
      </c>
      <c r="E2203" t="s">
        <v>5054</v>
      </c>
      <c r="G2203" t="s">
        <v>5650</v>
      </c>
      <c r="H2203">
        <v>11365</v>
      </c>
      <c r="I2203" t="s">
        <v>5696</v>
      </c>
      <c r="J2203" t="s">
        <v>5696</v>
      </c>
      <c r="O2203" t="s">
        <v>6778</v>
      </c>
      <c r="R2203" t="s">
        <v>6798</v>
      </c>
      <c r="U2203">
        <v>0</v>
      </c>
      <c r="V2203" t="s">
        <v>6837</v>
      </c>
      <c r="Y2203" t="s">
        <v>8880</v>
      </c>
      <c r="AB2203">
        <v>0</v>
      </c>
      <c r="AE2203">
        <v>0</v>
      </c>
      <c r="AF2203">
        <v>1</v>
      </c>
      <c r="AG2203">
        <v>0</v>
      </c>
      <c r="AH2203">
        <v>163.33</v>
      </c>
      <c r="AK2203" t="s">
        <v>10966</v>
      </c>
      <c r="AL2203">
        <v>20400</v>
      </c>
      <c r="AR2203">
        <v>1.6</v>
      </c>
      <c r="AS2203" t="s">
        <v>6827</v>
      </c>
      <c r="AT2203" t="s">
        <v>11180</v>
      </c>
      <c r="AV2203" t="s">
        <v>11231</v>
      </c>
      <c r="AW2203" t="s">
        <v>6820</v>
      </c>
    </row>
    <row r="2204" spans="1:49">
      <c r="A2204" s="1">
        <f>HYPERLINK("https://lsnyc.legalserver.org/matter/dynamic-profile/view/1904090","19-1904090")</f>
        <v>0</v>
      </c>
      <c r="B2204" t="s">
        <v>116</v>
      </c>
      <c r="C2204" t="s">
        <v>1620</v>
      </c>
      <c r="D2204" t="s">
        <v>3050</v>
      </c>
      <c r="E2204" t="s">
        <v>5055</v>
      </c>
      <c r="G2204" t="s">
        <v>5675</v>
      </c>
      <c r="H2204">
        <v>11428</v>
      </c>
      <c r="I2204" t="s">
        <v>5696</v>
      </c>
      <c r="J2204" t="s">
        <v>5696</v>
      </c>
      <c r="O2204" t="s">
        <v>6748</v>
      </c>
      <c r="R2204" t="s">
        <v>6798</v>
      </c>
      <c r="U2204">
        <v>0</v>
      </c>
      <c r="V2204" t="s">
        <v>6837</v>
      </c>
      <c r="Y2204" t="s">
        <v>8881</v>
      </c>
      <c r="AB2204">
        <v>0</v>
      </c>
      <c r="AE2204">
        <v>0</v>
      </c>
      <c r="AF2204">
        <v>1</v>
      </c>
      <c r="AG2204">
        <v>1</v>
      </c>
      <c r="AH2204">
        <v>199.88</v>
      </c>
      <c r="AK2204" t="s">
        <v>10966</v>
      </c>
      <c r="AL2204">
        <v>33800</v>
      </c>
      <c r="AR2204">
        <v>4.4</v>
      </c>
      <c r="AS2204" t="s">
        <v>6826</v>
      </c>
      <c r="AT2204" t="s">
        <v>11186</v>
      </c>
      <c r="AV2204" t="s">
        <v>11231</v>
      </c>
      <c r="AW2204" t="s">
        <v>6817</v>
      </c>
    </row>
    <row r="2205" spans="1:49">
      <c r="A2205" s="1">
        <f>HYPERLINK("https://lsnyc.legalserver.org/matter/dynamic-profile/view/1900536","19-1900536")</f>
        <v>0</v>
      </c>
      <c r="B2205" t="s">
        <v>161</v>
      </c>
      <c r="C2205" t="s">
        <v>1084</v>
      </c>
      <c r="D2205" t="s">
        <v>3051</v>
      </c>
      <c r="E2205" t="s">
        <v>5056</v>
      </c>
      <c r="F2205">
        <v>1</v>
      </c>
      <c r="G2205" t="s">
        <v>5643</v>
      </c>
      <c r="H2205">
        <v>11372</v>
      </c>
      <c r="I2205" t="s">
        <v>5696</v>
      </c>
      <c r="J2205" t="s">
        <v>5696</v>
      </c>
      <c r="O2205" t="s">
        <v>6778</v>
      </c>
      <c r="R2205" t="s">
        <v>6797</v>
      </c>
      <c r="U2205">
        <v>0</v>
      </c>
      <c r="V2205" t="s">
        <v>6837</v>
      </c>
      <c r="Y2205" t="s">
        <v>8882</v>
      </c>
      <c r="AB2205">
        <v>0</v>
      </c>
      <c r="AE2205">
        <v>0</v>
      </c>
      <c r="AF2205">
        <v>2</v>
      </c>
      <c r="AG2205">
        <v>0</v>
      </c>
      <c r="AH2205">
        <v>225.67</v>
      </c>
      <c r="AK2205" t="s">
        <v>10966</v>
      </c>
      <c r="AL2205">
        <v>38160</v>
      </c>
      <c r="AR2205">
        <v>3</v>
      </c>
      <c r="AS2205" t="s">
        <v>6825</v>
      </c>
      <c r="AT2205" t="s">
        <v>11213</v>
      </c>
      <c r="AV2205" t="s">
        <v>11231</v>
      </c>
      <c r="AW2205" t="s">
        <v>6895</v>
      </c>
    </row>
    <row r="2206" spans="1:49">
      <c r="A2206" s="1">
        <f>HYPERLINK("https://lsnyc.legalserver.org/matter/dynamic-profile/view/1898445","19-1898445")</f>
        <v>0</v>
      </c>
      <c r="B2206" t="s">
        <v>161</v>
      </c>
      <c r="C2206" t="s">
        <v>477</v>
      </c>
      <c r="D2206" t="s">
        <v>3052</v>
      </c>
      <c r="E2206" t="s">
        <v>5057</v>
      </c>
      <c r="G2206" t="s">
        <v>5693</v>
      </c>
      <c r="H2206">
        <v>11419</v>
      </c>
      <c r="I2206" t="s">
        <v>5696</v>
      </c>
      <c r="J2206" t="s">
        <v>5696</v>
      </c>
      <c r="O2206" t="s">
        <v>6767</v>
      </c>
      <c r="R2206" t="s">
        <v>6798</v>
      </c>
      <c r="U2206">
        <v>0</v>
      </c>
      <c r="V2206" t="s">
        <v>6837</v>
      </c>
      <c r="Y2206" t="s">
        <v>8883</v>
      </c>
      <c r="AB2206">
        <v>0</v>
      </c>
      <c r="AE2206">
        <v>0</v>
      </c>
      <c r="AF2206">
        <v>1</v>
      </c>
      <c r="AG2206">
        <v>0</v>
      </c>
      <c r="AH2206">
        <v>240.19</v>
      </c>
      <c r="AK2206" t="s">
        <v>10966</v>
      </c>
      <c r="AL2206">
        <v>30000</v>
      </c>
      <c r="AR2206">
        <v>3.3</v>
      </c>
      <c r="AS2206" t="s">
        <v>6819</v>
      </c>
      <c r="AT2206" t="s">
        <v>11213</v>
      </c>
      <c r="AV2206" t="s">
        <v>11231</v>
      </c>
      <c r="AW2206" t="s">
        <v>11141</v>
      </c>
    </row>
    <row r="2207" spans="1:49">
      <c r="A2207" s="1">
        <f>HYPERLINK("https://lsnyc.legalserver.org/matter/dynamic-profile/view/1896511","19-1896511")</f>
        <v>0</v>
      </c>
      <c r="B2207" t="s">
        <v>114</v>
      </c>
      <c r="C2207" t="s">
        <v>453</v>
      </c>
      <c r="D2207" t="s">
        <v>1697</v>
      </c>
      <c r="E2207" t="s">
        <v>5058</v>
      </c>
      <c r="F2207" t="s">
        <v>5203</v>
      </c>
      <c r="G2207" t="s">
        <v>5635</v>
      </c>
      <c r="H2207">
        <v>10452</v>
      </c>
      <c r="I2207" t="s">
        <v>5696</v>
      </c>
      <c r="J2207" t="s">
        <v>5696</v>
      </c>
      <c r="O2207" t="s">
        <v>6758</v>
      </c>
      <c r="R2207" t="s">
        <v>6795</v>
      </c>
      <c r="U2207">
        <v>0</v>
      </c>
      <c r="V2207" t="s">
        <v>6833</v>
      </c>
      <c r="Y2207" t="s">
        <v>8884</v>
      </c>
      <c r="AB2207">
        <v>0</v>
      </c>
      <c r="AE2207">
        <v>0</v>
      </c>
      <c r="AF2207">
        <v>1</v>
      </c>
      <c r="AG2207">
        <v>0</v>
      </c>
      <c r="AH2207">
        <v>288.23</v>
      </c>
      <c r="AK2207" t="s">
        <v>10966</v>
      </c>
      <c r="AL2207">
        <v>36000</v>
      </c>
      <c r="AR2207">
        <v>1.5</v>
      </c>
      <c r="AS2207" t="s">
        <v>6809</v>
      </c>
      <c r="AT2207" t="s">
        <v>139</v>
      </c>
      <c r="AV2207" t="s">
        <v>11231</v>
      </c>
      <c r="AW2207" t="s">
        <v>11154</v>
      </c>
    </row>
    <row r="2208" spans="1:49">
      <c r="A2208" s="1">
        <f>HYPERLINK("https://lsnyc.legalserver.org/matter/dynamic-profile/view/1905924","19-1905924")</f>
        <v>0</v>
      </c>
      <c r="B2208" t="s">
        <v>86</v>
      </c>
      <c r="C2208" t="s">
        <v>438</v>
      </c>
      <c r="D2208" t="s">
        <v>3053</v>
      </c>
      <c r="E2208" t="s">
        <v>5059</v>
      </c>
      <c r="F2208">
        <v>8</v>
      </c>
      <c r="G2208" t="s">
        <v>5638</v>
      </c>
      <c r="H2208">
        <v>10011</v>
      </c>
      <c r="I2208" t="s">
        <v>5696</v>
      </c>
      <c r="J2208" t="s">
        <v>5696</v>
      </c>
      <c r="O2208" t="s">
        <v>6753</v>
      </c>
      <c r="R2208" t="s">
        <v>6795</v>
      </c>
      <c r="U2208">
        <v>0</v>
      </c>
      <c r="V2208" t="s">
        <v>6836</v>
      </c>
      <c r="Y2208" t="s">
        <v>8885</v>
      </c>
      <c r="AB2208">
        <v>0</v>
      </c>
      <c r="AE2208">
        <v>0</v>
      </c>
      <c r="AF2208">
        <v>1</v>
      </c>
      <c r="AG2208">
        <v>0</v>
      </c>
      <c r="AH2208">
        <v>320.26</v>
      </c>
      <c r="AK2208" t="s">
        <v>10966</v>
      </c>
      <c r="AL2208">
        <v>40000</v>
      </c>
      <c r="AR2208">
        <v>3.8</v>
      </c>
      <c r="AS2208" t="s">
        <v>6827</v>
      </c>
      <c r="AT2208" t="s">
        <v>240</v>
      </c>
      <c r="AV2208" t="s">
        <v>11231</v>
      </c>
      <c r="AW2208" t="s">
        <v>6827</v>
      </c>
    </row>
    <row r="2209" spans="1:49">
      <c r="A2209" s="1">
        <f>HYPERLINK("https://lsnyc.legalserver.org/matter/dynamic-profile/view/1904503","19-1904503")</f>
        <v>0</v>
      </c>
      <c r="B2209" t="s">
        <v>116</v>
      </c>
      <c r="C2209" t="s">
        <v>842</v>
      </c>
      <c r="D2209" t="s">
        <v>1762</v>
      </c>
      <c r="E2209" t="s">
        <v>5060</v>
      </c>
      <c r="G2209" t="s">
        <v>5662</v>
      </c>
      <c r="H2209">
        <v>11368</v>
      </c>
      <c r="I2209" t="s">
        <v>5696</v>
      </c>
      <c r="J2209" t="s">
        <v>5696</v>
      </c>
      <c r="O2209" t="s">
        <v>6778</v>
      </c>
      <c r="R2209" t="s">
        <v>6798</v>
      </c>
      <c r="U2209">
        <v>0</v>
      </c>
      <c r="V2209" t="s">
        <v>6837</v>
      </c>
      <c r="Y2209" t="s">
        <v>8886</v>
      </c>
      <c r="AB2209">
        <v>0</v>
      </c>
      <c r="AE2209">
        <v>0</v>
      </c>
      <c r="AF2209">
        <v>3</v>
      </c>
      <c r="AG2209">
        <v>0</v>
      </c>
      <c r="AH2209">
        <v>328.18</v>
      </c>
      <c r="AK2209" t="s">
        <v>10966</v>
      </c>
      <c r="AL2209">
        <v>70000</v>
      </c>
      <c r="AR2209">
        <v>2.05</v>
      </c>
      <c r="AS2209" t="s">
        <v>6820</v>
      </c>
      <c r="AT2209" t="s">
        <v>11188</v>
      </c>
      <c r="AV2209" t="s">
        <v>11231</v>
      </c>
      <c r="AW2209" t="s">
        <v>6810</v>
      </c>
    </row>
    <row r="2210" spans="1:49">
      <c r="A2210" s="1">
        <f>HYPERLINK("https://lsnyc.legalserver.org/matter/dynamic-profile/view/1903656","19-1903656")</f>
        <v>0</v>
      </c>
      <c r="B2210" t="s">
        <v>116</v>
      </c>
      <c r="C2210" t="s">
        <v>1621</v>
      </c>
      <c r="D2210" t="s">
        <v>3054</v>
      </c>
      <c r="E2210" t="s">
        <v>5061</v>
      </c>
      <c r="G2210" t="s">
        <v>5644</v>
      </c>
      <c r="H2210">
        <v>11434</v>
      </c>
      <c r="I2210" t="s">
        <v>5696</v>
      </c>
      <c r="J2210" t="s">
        <v>5696</v>
      </c>
      <c r="O2210" t="s">
        <v>6753</v>
      </c>
      <c r="R2210" t="s">
        <v>6798</v>
      </c>
      <c r="U2210">
        <v>0</v>
      </c>
      <c r="V2210" t="s">
        <v>6837</v>
      </c>
      <c r="Y2210" t="s">
        <v>8014</v>
      </c>
      <c r="AB2210">
        <v>0</v>
      </c>
      <c r="AE2210">
        <v>0</v>
      </c>
      <c r="AF2210">
        <v>1</v>
      </c>
      <c r="AG2210">
        <v>0</v>
      </c>
      <c r="AH2210">
        <v>421.33</v>
      </c>
      <c r="AK2210" t="s">
        <v>10966</v>
      </c>
      <c r="AL2210">
        <v>52623.96</v>
      </c>
      <c r="AR2210">
        <v>6.15</v>
      </c>
      <c r="AS2210" t="s">
        <v>6828</v>
      </c>
      <c r="AT2210" t="s">
        <v>11188</v>
      </c>
      <c r="AV2210" t="s">
        <v>11231</v>
      </c>
      <c r="AW2210" t="s">
        <v>11144</v>
      </c>
    </row>
    <row r="2211" spans="1:49">
      <c r="A2211" s="1">
        <f>HYPERLINK("https://lsnyc.legalserver.org/matter/dynamic-profile/view/1896743","19-1896743")</f>
        <v>0</v>
      </c>
      <c r="B2211" t="s">
        <v>161</v>
      </c>
      <c r="C2211" t="s">
        <v>1622</v>
      </c>
      <c r="D2211" t="s">
        <v>1862</v>
      </c>
      <c r="E2211" t="s">
        <v>5062</v>
      </c>
      <c r="G2211" t="s">
        <v>5644</v>
      </c>
      <c r="H2211">
        <v>11436</v>
      </c>
      <c r="I2211" t="s">
        <v>5696</v>
      </c>
      <c r="J2211" t="s">
        <v>5696</v>
      </c>
      <c r="O2211" t="s">
        <v>6767</v>
      </c>
      <c r="R2211" t="s">
        <v>6798</v>
      </c>
      <c r="U2211">
        <v>0</v>
      </c>
      <c r="V2211" t="s">
        <v>6837</v>
      </c>
      <c r="Y2211" t="s">
        <v>7309</v>
      </c>
      <c r="AB2211">
        <v>0</v>
      </c>
      <c r="AE2211">
        <v>0</v>
      </c>
      <c r="AF2211">
        <v>1</v>
      </c>
      <c r="AG2211">
        <v>0</v>
      </c>
      <c r="AH2211">
        <v>473.85</v>
      </c>
      <c r="AK2211" t="s">
        <v>10966</v>
      </c>
      <c r="AL2211">
        <v>59184</v>
      </c>
      <c r="AR2211">
        <v>2.7</v>
      </c>
      <c r="AS2211" t="s">
        <v>11129</v>
      </c>
      <c r="AT2211" t="s">
        <v>11213</v>
      </c>
      <c r="AV2211" t="s">
        <v>11231</v>
      </c>
      <c r="AW2211" t="s">
        <v>11232</v>
      </c>
    </row>
    <row r="2212" spans="1:49">
      <c r="A2212" s="1">
        <f>HYPERLINK("https://lsnyc.legalserver.org/matter/dynamic-profile/view/1904926","19-1904926")</f>
        <v>0</v>
      </c>
      <c r="B2212" t="s">
        <v>116</v>
      </c>
      <c r="C2212" t="s">
        <v>1113</v>
      </c>
      <c r="D2212" t="s">
        <v>3055</v>
      </c>
      <c r="E2212" t="s">
        <v>5063</v>
      </c>
      <c r="G2212" t="s">
        <v>5652</v>
      </c>
      <c r="H2212">
        <v>11692</v>
      </c>
      <c r="I2212" t="s">
        <v>5696</v>
      </c>
      <c r="J2212" t="s">
        <v>5696</v>
      </c>
      <c r="O2212" t="s">
        <v>6753</v>
      </c>
      <c r="R2212" t="s">
        <v>6798</v>
      </c>
      <c r="U2212">
        <v>0</v>
      </c>
      <c r="V2212" t="s">
        <v>6837</v>
      </c>
      <c r="Y2212" t="s">
        <v>8887</v>
      </c>
      <c r="AB2212">
        <v>0</v>
      </c>
      <c r="AE2212">
        <v>0</v>
      </c>
      <c r="AF2212">
        <v>2</v>
      </c>
      <c r="AG2212">
        <v>0</v>
      </c>
      <c r="AH2212">
        <v>567.71</v>
      </c>
      <c r="AK2212" t="s">
        <v>10966</v>
      </c>
      <c r="AL2212">
        <v>96000</v>
      </c>
      <c r="AR2212">
        <v>3.65</v>
      </c>
      <c r="AS2212" t="s">
        <v>6828</v>
      </c>
      <c r="AT2212" t="s">
        <v>11188</v>
      </c>
      <c r="AV2212" t="s">
        <v>11231</v>
      </c>
      <c r="AW2212" t="s">
        <v>6812</v>
      </c>
    </row>
    <row r="2213" spans="1:49">
      <c r="A2213" s="1">
        <f>HYPERLINK("https://lsnyc.legalserver.org/matter/dynamic-profile/view/1898313","19-1898313")</f>
        <v>0</v>
      </c>
      <c r="B2213" t="s">
        <v>152</v>
      </c>
      <c r="C2213" t="s">
        <v>1623</v>
      </c>
      <c r="D2213" t="s">
        <v>3056</v>
      </c>
      <c r="E2213" t="s">
        <v>5064</v>
      </c>
      <c r="G2213" t="s">
        <v>5635</v>
      </c>
      <c r="H2213">
        <v>10472</v>
      </c>
      <c r="I2213" t="s">
        <v>5696</v>
      </c>
      <c r="J2213" t="s">
        <v>5696</v>
      </c>
      <c r="O2213" t="s">
        <v>6753</v>
      </c>
      <c r="R2213" t="s">
        <v>6797</v>
      </c>
      <c r="U2213">
        <v>0</v>
      </c>
      <c r="V2213" t="s">
        <v>6833</v>
      </c>
      <c r="Y2213" t="s">
        <v>8888</v>
      </c>
      <c r="AB2213">
        <v>0</v>
      </c>
      <c r="AE2213">
        <v>0</v>
      </c>
      <c r="AF2213">
        <v>2</v>
      </c>
      <c r="AG2213">
        <v>0</v>
      </c>
      <c r="AH2213">
        <v>774.5700000000001</v>
      </c>
      <c r="AK2213" t="s">
        <v>10966</v>
      </c>
      <c r="AL2213">
        <v>130980</v>
      </c>
      <c r="AR2213">
        <v>4.5</v>
      </c>
      <c r="AS2213" t="s">
        <v>6823</v>
      </c>
      <c r="AT2213" t="s">
        <v>296</v>
      </c>
      <c r="AV2213" t="s">
        <v>11231</v>
      </c>
      <c r="AW2213" t="s">
        <v>10956</v>
      </c>
    </row>
    <row r="2214" spans="1:49">
      <c r="A2214" s="1">
        <f>HYPERLINK("https://lsnyc.legalserver.org/matter/dynamic-profile/view/1905860","19-1905860")</f>
        <v>0</v>
      </c>
      <c r="B2214" t="s">
        <v>296</v>
      </c>
      <c r="C2214" t="s">
        <v>371</v>
      </c>
      <c r="D2214" t="s">
        <v>3057</v>
      </c>
      <c r="E2214" t="s">
        <v>5065</v>
      </c>
      <c r="F2214" t="s">
        <v>5224</v>
      </c>
      <c r="G2214" t="s">
        <v>5635</v>
      </c>
      <c r="H2214">
        <v>10462</v>
      </c>
      <c r="I2214" t="s">
        <v>5696</v>
      </c>
      <c r="J2214" t="s">
        <v>5696</v>
      </c>
      <c r="O2214" t="s">
        <v>6753</v>
      </c>
      <c r="R2214" t="s">
        <v>6798</v>
      </c>
      <c r="U2214">
        <v>0</v>
      </c>
      <c r="V2214" t="s">
        <v>6833</v>
      </c>
      <c r="Y2214" t="s">
        <v>8889</v>
      </c>
      <c r="AB2214">
        <v>0</v>
      </c>
      <c r="AE2214">
        <v>0</v>
      </c>
      <c r="AF2214">
        <v>1</v>
      </c>
      <c r="AG2214">
        <v>0</v>
      </c>
      <c r="AH2214">
        <v>859.89</v>
      </c>
      <c r="AK2214" t="s">
        <v>10966</v>
      </c>
      <c r="AL2214">
        <v>107400</v>
      </c>
      <c r="AR2214">
        <v>0.6</v>
      </c>
      <c r="AS2214" t="s">
        <v>6824</v>
      </c>
      <c r="AT2214" t="s">
        <v>11188</v>
      </c>
      <c r="AV2214" t="s">
        <v>11231</v>
      </c>
      <c r="AW2214" t="s">
        <v>6824</v>
      </c>
    </row>
    <row r="2215" spans="1:49">
      <c r="A2215" s="1">
        <f>HYPERLINK("https://lsnyc.legalserver.org/matter/dynamic-profile/view/1903369","19-1903369")</f>
        <v>0</v>
      </c>
      <c r="B2215" t="s">
        <v>229</v>
      </c>
      <c r="C2215" t="s">
        <v>1309</v>
      </c>
      <c r="D2215" t="s">
        <v>3058</v>
      </c>
      <c r="E2215" t="s">
        <v>5066</v>
      </c>
      <c r="F2215" t="s">
        <v>5105</v>
      </c>
      <c r="G2215" t="s">
        <v>5638</v>
      </c>
      <c r="H2215">
        <v>10009</v>
      </c>
      <c r="I2215" t="s">
        <v>5696</v>
      </c>
      <c r="J2215" t="s">
        <v>5696</v>
      </c>
      <c r="O2215" t="s">
        <v>6748</v>
      </c>
      <c r="R2215" t="s">
        <v>6794</v>
      </c>
      <c r="U2215">
        <v>950</v>
      </c>
      <c r="V2215" t="s">
        <v>6836</v>
      </c>
      <c r="Y2215" t="s">
        <v>6907</v>
      </c>
      <c r="AB2215">
        <v>0</v>
      </c>
      <c r="AC2215" t="s">
        <v>10934</v>
      </c>
      <c r="AE2215">
        <v>1</v>
      </c>
      <c r="AF2215">
        <v>1</v>
      </c>
      <c r="AG2215">
        <v>0</v>
      </c>
      <c r="AH2215">
        <v>0</v>
      </c>
      <c r="AK2215" t="s">
        <v>10967</v>
      </c>
      <c r="AL2215">
        <v>0</v>
      </c>
      <c r="AR2215">
        <v>3</v>
      </c>
      <c r="AS2215" t="s">
        <v>6828</v>
      </c>
      <c r="AT2215" t="s">
        <v>11189</v>
      </c>
      <c r="AV2215" t="s">
        <v>11231</v>
      </c>
      <c r="AW2215" t="s">
        <v>11136</v>
      </c>
    </row>
    <row r="2216" spans="1:49">
      <c r="A2216" s="1">
        <f>HYPERLINK("https://lsnyc.legalserver.org/matter/dynamic-profile/view/1898518","19-1898518")</f>
        <v>0</v>
      </c>
      <c r="B2216" t="s">
        <v>228</v>
      </c>
      <c r="C2216" t="s">
        <v>604</v>
      </c>
      <c r="D2216" t="s">
        <v>495</v>
      </c>
      <c r="E2216" t="s">
        <v>5067</v>
      </c>
      <c r="F2216">
        <v>1</v>
      </c>
      <c r="G2216" t="s">
        <v>5635</v>
      </c>
      <c r="H2216">
        <v>10452</v>
      </c>
      <c r="I2216" t="s">
        <v>5696</v>
      </c>
      <c r="J2216" t="s">
        <v>5696</v>
      </c>
      <c r="K2216" t="s">
        <v>6710</v>
      </c>
      <c r="O2216" t="s">
        <v>6748</v>
      </c>
      <c r="R2216" t="s">
        <v>6793</v>
      </c>
      <c r="U2216">
        <v>1189</v>
      </c>
      <c r="V2216" t="s">
        <v>6833</v>
      </c>
      <c r="W2216" t="s">
        <v>6841</v>
      </c>
      <c r="Y2216" t="s">
        <v>8890</v>
      </c>
      <c r="AB2216">
        <v>30</v>
      </c>
      <c r="AC2216" t="s">
        <v>8953</v>
      </c>
      <c r="AD2216" t="s">
        <v>5741</v>
      </c>
      <c r="AE2216">
        <v>8</v>
      </c>
      <c r="AF2216">
        <v>1</v>
      </c>
      <c r="AG2216">
        <v>2</v>
      </c>
      <c r="AH2216">
        <v>41.63</v>
      </c>
      <c r="AK2216" t="s">
        <v>10967</v>
      </c>
      <c r="AL2216">
        <v>8880</v>
      </c>
      <c r="AR2216">
        <v>1</v>
      </c>
      <c r="AS2216" t="s">
        <v>11123</v>
      </c>
      <c r="AT2216" t="s">
        <v>11184</v>
      </c>
      <c r="AV2216" t="s">
        <v>11231</v>
      </c>
      <c r="AW2216" t="s">
        <v>11123</v>
      </c>
    </row>
    <row r="2217" spans="1:49">
      <c r="A2217" s="1">
        <f>HYPERLINK("https://lsnyc.legalserver.org/matter/dynamic-profile/view/1895651","19-1895651")</f>
        <v>0</v>
      </c>
      <c r="B2217" t="s">
        <v>169</v>
      </c>
      <c r="C2217" t="s">
        <v>329</v>
      </c>
      <c r="D2217" t="s">
        <v>3059</v>
      </c>
      <c r="E2217" t="s">
        <v>5068</v>
      </c>
      <c r="G2217" t="s">
        <v>5660</v>
      </c>
      <c r="H2217">
        <v>11423</v>
      </c>
      <c r="I2217" t="s">
        <v>5696</v>
      </c>
      <c r="J2217" t="s">
        <v>5696</v>
      </c>
      <c r="O2217" t="s">
        <v>6767</v>
      </c>
      <c r="R2217" t="s">
        <v>6798</v>
      </c>
      <c r="U2217">
        <v>0</v>
      </c>
      <c r="V2217" t="s">
        <v>6837</v>
      </c>
      <c r="Y2217" t="s">
        <v>8891</v>
      </c>
      <c r="AB2217">
        <v>0</v>
      </c>
      <c r="AE2217">
        <v>0</v>
      </c>
      <c r="AF2217">
        <v>2</v>
      </c>
      <c r="AG2217">
        <v>0</v>
      </c>
      <c r="AH2217">
        <v>0</v>
      </c>
      <c r="AK2217" t="s">
        <v>10967</v>
      </c>
      <c r="AL2217">
        <v>0</v>
      </c>
      <c r="AR2217">
        <v>4.25</v>
      </c>
      <c r="AS2217" t="s">
        <v>11170</v>
      </c>
      <c r="AT2217" t="s">
        <v>169</v>
      </c>
      <c r="AV2217" t="s">
        <v>11231</v>
      </c>
      <c r="AW2217" t="s">
        <v>11119</v>
      </c>
    </row>
    <row r="2218" spans="1:49">
      <c r="A2218" s="1">
        <f>HYPERLINK("https://lsnyc.legalserver.org/matter/dynamic-profile/view/1902473","19-1902473")</f>
        <v>0</v>
      </c>
      <c r="B2218" t="s">
        <v>145</v>
      </c>
      <c r="C2218" t="s">
        <v>1326</v>
      </c>
      <c r="D2218" t="s">
        <v>3060</v>
      </c>
      <c r="E2218" t="s">
        <v>5069</v>
      </c>
      <c r="F2218" t="s">
        <v>5285</v>
      </c>
      <c r="G2218" t="s">
        <v>5638</v>
      </c>
      <c r="H2218">
        <v>10031</v>
      </c>
      <c r="I2218" t="s">
        <v>5696</v>
      </c>
      <c r="J2218" t="s">
        <v>5696</v>
      </c>
      <c r="O2218" t="s">
        <v>6777</v>
      </c>
      <c r="R2218" t="s">
        <v>6793</v>
      </c>
      <c r="U2218">
        <v>0</v>
      </c>
      <c r="V2218" t="s">
        <v>6836</v>
      </c>
      <c r="Y2218" t="s">
        <v>8892</v>
      </c>
      <c r="AB2218">
        <v>0</v>
      </c>
      <c r="AE2218">
        <v>0</v>
      </c>
      <c r="AF2218">
        <v>2</v>
      </c>
      <c r="AG2218">
        <v>0</v>
      </c>
      <c r="AH2218">
        <v>0</v>
      </c>
      <c r="AK2218" t="s">
        <v>10967</v>
      </c>
      <c r="AL2218">
        <v>0</v>
      </c>
      <c r="AR2218">
        <v>0</v>
      </c>
      <c r="AT2218" t="s">
        <v>229</v>
      </c>
      <c r="AV2218" t="s">
        <v>11231</v>
      </c>
      <c r="AW2218" t="s">
        <v>11117</v>
      </c>
    </row>
    <row r="2219" spans="1:49">
      <c r="A2219" s="1">
        <f>HYPERLINK("https://lsnyc.legalserver.org/matter/dynamic-profile/view/1902759","19-1902759")</f>
        <v>0</v>
      </c>
      <c r="B2219" t="s">
        <v>169</v>
      </c>
      <c r="C2219" t="s">
        <v>951</v>
      </c>
      <c r="D2219" t="s">
        <v>3061</v>
      </c>
      <c r="E2219" t="s">
        <v>5070</v>
      </c>
      <c r="G2219" t="s">
        <v>5686</v>
      </c>
      <c r="H2219">
        <v>11379</v>
      </c>
      <c r="I2219" t="s">
        <v>5696</v>
      </c>
      <c r="J2219" t="s">
        <v>5696</v>
      </c>
      <c r="O2219" t="s">
        <v>6753</v>
      </c>
      <c r="R2219" t="s">
        <v>6798</v>
      </c>
      <c r="U2219">
        <v>0</v>
      </c>
      <c r="V2219" t="s">
        <v>6837</v>
      </c>
      <c r="Y2219" t="s">
        <v>8893</v>
      </c>
      <c r="AB2219">
        <v>0</v>
      </c>
      <c r="AE2219">
        <v>0</v>
      </c>
      <c r="AF2219">
        <v>3</v>
      </c>
      <c r="AG2219">
        <v>0</v>
      </c>
      <c r="AH2219">
        <v>511.02</v>
      </c>
      <c r="AK2219" t="s">
        <v>10967</v>
      </c>
      <c r="AL2219">
        <v>109000</v>
      </c>
      <c r="AR2219">
        <v>0</v>
      </c>
      <c r="AT2219" t="s">
        <v>169</v>
      </c>
      <c r="AV2219" t="s">
        <v>11231</v>
      </c>
      <c r="AW2219" t="s">
        <v>11133</v>
      </c>
    </row>
    <row r="2220" spans="1:49">
      <c r="A2220" s="1">
        <f>HYPERLINK("https://lsnyc.legalserver.org/matter/dynamic-profile/view/1896709","19-1896709")</f>
        <v>0</v>
      </c>
      <c r="B2220" t="s">
        <v>68</v>
      </c>
      <c r="C2220" t="s">
        <v>799</v>
      </c>
      <c r="D2220" t="s">
        <v>3062</v>
      </c>
      <c r="E2220" t="s">
        <v>5071</v>
      </c>
      <c r="F2220" t="s">
        <v>5158</v>
      </c>
      <c r="G2220" t="s">
        <v>5637</v>
      </c>
      <c r="H2220">
        <v>11218</v>
      </c>
      <c r="I2220" t="s">
        <v>5695</v>
      </c>
      <c r="J2220" t="s">
        <v>5696</v>
      </c>
      <c r="O2220" t="s">
        <v>6756</v>
      </c>
      <c r="R2220" t="s">
        <v>6795</v>
      </c>
      <c r="U2220">
        <v>0</v>
      </c>
      <c r="V2220" t="s">
        <v>6835</v>
      </c>
      <c r="Y2220" t="s">
        <v>8894</v>
      </c>
      <c r="AB2220">
        <v>0</v>
      </c>
      <c r="AE2220">
        <v>0</v>
      </c>
      <c r="AF2220">
        <v>1</v>
      </c>
      <c r="AG2220">
        <v>0</v>
      </c>
      <c r="AH2220">
        <v>151.8</v>
      </c>
      <c r="AK2220" t="s">
        <v>10967</v>
      </c>
      <c r="AL2220">
        <v>18960</v>
      </c>
      <c r="AR2220">
        <v>1.2</v>
      </c>
      <c r="AS2220" t="s">
        <v>11122</v>
      </c>
      <c r="AT2220" t="s">
        <v>151</v>
      </c>
      <c r="AU2220" t="s">
        <v>11228</v>
      </c>
      <c r="AV2220" t="s">
        <v>11231</v>
      </c>
      <c r="AW2220" t="s">
        <v>11122</v>
      </c>
    </row>
    <row r="2221" spans="1:49">
      <c r="A2221" s="1">
        <f>HYPERLINK("https://lsnyc.legalserver.org/matter/dynamic-profile/view/1897716","19-1897716")</f>
        <v>0</v>
      </c>
      <c r="B2221" t="s">
        <v>244</v>
      </c>
      <c r="C2221" t="s">
        <v>1624</v>
      </c>
      <c r="D2221" t="s">
        <v>3063</v>
      </c>
      <c r="E2221" t="s">
        <v>5072</v>
      </c>
      <c r="F2221" t="s">
        <v>5100</v>
      </c>
      <c r="G2221" t="s">
        <v>5638</v>
      </c>
      <c r="H2221">
        <v>10002</v>
      </c>
      <c r="I2221" t="s">
        <v>5696</v>
      </c>
      <c r="J2221" t="s">
        <v>5696</v>
      </c>
      <c r="O2221" t="s">
        <v>6759</v>
      </c>
      <c r="R2221" t="s">
        <v>6793</v>
      </c>
      <c r="U2221">
        <v>0</v>
      </c>
      <c r="V2221" t="s">
        <v>6836</v>
      </c>
      <c r="Y2221" t="s">
        <v>8895</v>
      </c>
      <c r="AB2221">
        <v>0</v>
      </c>
      <c r="AE2221">
        <v>2</v>
      </c>
      <c r="AF2221">
        <v>2</v>
      </c>
      <c r="AG2221">
        <v>2</v>
      </c>
      <c r="AH2221">
        <v>85.44</v>
      </c>
      <c r="AL2221">
        <v>22000</v>
      </c>
      <c r="AR2221">
        <v>2</v>
      </c>
      <c r="AS2221" t="s">
        <v>11141</v>
      </c>
      <c r="AT2221" t="s">
        <v>11194</v>
      </c>
      <c r="AV2221" t="s">
        <v>11231</v>
      </c>
      <c r="AW2221" t="s">
        <v>11151</v>
      </c>
    </row>
    <row r="2222" spans="1:49">
      <c r="A2222" s="1">
        <f>HYPERLINK("https://lsnyc.legalserver.org/matter/dynamic-profile/view/1902814","19-1902814")</f>
        <v>0</v>
      </c>
      <c r="B2222" t="s">
        <v>169</v>
      </c>
      <c r="C2222" t="s">
        <v>1625</v>
      </c>
      <c r="D2222" t="s">
        <v>3064</v>
      </c>
      <c r="E2222" t="s">
        <v>5073</v>
      </c>
      <c r="G2222" t="s">
        <v>5659</v>
      </c>
      <c r="H2222">
        <v>11413</v>
      </c>
      <c r="I2222" t="s">
        <v>5696</v>
      </c>
      <c r="J2222" t="s">
        <v>5696</v>
      </c>
      <c r="O2222" t="s">
        <v>6778</v>
      </c>
      <c r="R2222" t="s">
        <v>6798</v>
      </c>
      <c r="U2222">
        <v>0</v>
      </c>
      <c r="V2222" t="s">
        <v>6837</v>
      </c>
      <c r="Y2222" t="s">
        <v>8896</v>
      </c>
      <c r="AB2222">
        <v>0</v>
      </c>
      <c r="AE2222">
        <v>0</v>
      </c>
      <c r="AF2222">
        <v>1</v>
      </c>
      <c r="AG2222">
        <v>0</v>
      </c>
      <c r="AH2222">
        <v>0</v>
      </c>
      <c r="AL2222">
        <v>0</v>
      </c>
      <c r="AR2222">
        <v>1</v>
      </c>
      <c r="AS2222" t="s">
        <v>11117</v>
      </c>
      <c r="AT2222" t="s">
        <v>169</v>
      </c>
      <c r="AV2222" t="s">
        <v>11231</v>
      </c>
      <c r="AW2222" t="s">
        <v>11133</v>
      </c>
    </row>
    <row r="2223" spans="1:49">
      <c r="A2223" s="1">
        <f>HYPERLINK("https://lsnyc.legalserver.org/matter/dynamic-profile/view/1899930","19-1899930")</f>
        <v>0</v>
      </c>
      <c r="B2223" t="s">
        <v>72</v>
      </c>
      <c r="C2223" t="s">
        <v>1626</v>
      </c>
      <c r="D2223" t="s">
        <v>3065</v>
      </c>
      <c r="E2223" t="s">
        <v>5074</v>
      </c>
      <c r="F2223" t="s">
        <v>5634</v>
      </c>
      <c r="G2223" t="s">
        <v>5637</v>
      </c>
      <c r="H2223">
        <v>11226</v>
      </c>
      <c r="I2223" t="s">
        <v>5696</v>
      </c>
      <c r="J2223" t="s">
        <v>5696</v>
      </c>
      <c r="O2223" t="s">
        <v>6748</v>
      </c>
      <c r="R2223" t="s">
        <v>6793</v>
      </c>
      <c r="U2223">
        <v>0</v>
      </c>
      <c r="V2223" t="s">
        <v>6835</v>
      </c>
      <c r="Y2223" t="s">
        <v>8897</v>
      </c>
      <c r="AB2223">
        <v>0</v>
      </c>
      <c r="AE2223">
        <v>0</v>
      </c>
      <c r="AF2223">
        <v>1</v>
      </c>
      <c r="AG2223">
        <v>0</v>
      </c>
      <c r="AH2223">
        <v>163.33</v>
      </c>
      <c r="AL2223">
        <v>20400</v>
      </c>
      <c r="AR2223">
        <v>1</v>
      </c>
      <c r="AS2223" t="s">
        <v>6824</v>
      </c>
      <c r="AT2223" t="s">
        <v>72</v>
      </c>
      <c r="AV2223" t="s">
        <v>11231</v>
      </c>
      <c r="AW2223" t="s">
        <v>11132</v>
      </c>
    </row>
    <row r="2224" spans="1:49">
      <c r="A2224" s="1">
        <f>HYPERLINK("https://lsnyc.legalserver.org/matter/dynamic-profile/view/1904095","19-1904095")</f>
        <v>0</v>
      </c>
      <c r="B2224" t="s">
        <v>151</v>
      </c>
      <c r="C2224" t="s">
        <v>1627</v>
      </c>
      <c r="D2224" t="s">
        <v>1959</v>
      </c>
      <c r="E2224" t="s">
        <v>5075</v>
      </c>
      <c r="G2224" t="s">
        <v>5637</v>
      </c>
      <c r="H2224">
        <v>11216</v>
      </c>
      <c r="I2224" t="s">
        <v>5696</v>
      </c>
      <c r="J2224" t="s">
        <v>5696</v>
      </c>
      <c r="O2224" t="s">
        <v>6769</v>
      </c>
      <c r="R2224" t="s">
        <v>6799</v>
      </c>
      <c r="U2224">
        <v>0</v>
      </c>
      <c r="V2224" t="s">
        <v>6835</v>
      </c>
      <c r="Y2224" t="s">
        <v>8898</v>
      </c>
      <c r="AB2224">
        <v>0</v>
      </c>
      <c r="AE2224">
        <v>0</v>
      </c>
      <c r="AF2224">
        <v>1</v>
      </c>
      <c r="AG2224">
        <v>0</v>
      </c>
      <c r="AH2224">
        <v>201.76</v>
      </c>
      <c r="AL2224">
        <v>25200</v>
      </c>
      <c r="AR2224">
        <v>6.7</v>
      </c>
      <c r="AS2224" t="s">
        <v>6816</v>
      </c>
      <c r="AT2224" t="s">
        <v>128</v>
      </c>
      <c r="AV2224" t="s">
        <v>11231</v>
      </c>
      <c r="AW2224" t="s">
        <v>11147</v>
      </c>
    </row>
    <row r="2225" spans="1:49">
      <c r="A2225" s="1">
        <f>HYPERLINK("https://lsnyc.legalserver.org/matter/dynamic-profile/view/1902760","19-1902760")</f>
        <v>0</v>
      </c>
      <c r="B2225" t="s">
        <v>174</v>
      </c>
      <c r="C2225" t="s">
        <v>1628</v>
      </c>
      <c r="D2225" t="s">
        <v>3066</v>
      </c>
      <c r="E2225" t="s">
        <v>5076</v>
      </c>
      <c r="F2225">
        <v>107</v>
      </c>
      <c r="G2225" t="s">
        <v>5637</v>
      </c>
      <c r="H2225">
        <v>11236</v>
      </c>
      <c r="I2225" t="s">
        <v>5696</v>
      </c>
      <c r="J2225" t="s">
        <v>5696</v>
      </c>
      <c r="O2225" t="s">
        <v>6780</v>
      </c>
      <c r="R2225" t="s">
        <v>6798</v>
      </c>
      <c r="U2225">
        <v>0</v>
      </c>
      <c r="V2225" t="s">
        <v>6835</v>
      </c>
      <c r="Y2225" t="s">
        <v>8899</v>
      </c>
      <c r="AB2225">
        <v>0</v>
      </c>
      <c r="AE2225">
        <v>0</v>
      </c>
      <c r="AF2225">
        <v>1</v>
      </c>
      <c r="AG2225">
        <v>0</v>
      </c>
      <c r="AH2225">
        <v>220.98</v>
      </c>
      <c r="AL2225">
        <v>27600</v>
      </c>
      <c r="AR2225">
        <v>1.5</v>
      </c>
      <c r="AS2225" t="s">
        <v>6810</v>
      </c>
      <c r="AT2225" t="s">
        <v>128</v>
      </c>
      <c r="AV2225" t="s">
        <v>11231</v>
      </c>
      <c r="AW2225" t="s">
        <v>11136</v>
      </c>
    </row>
    <row r="2226" spans="1:49">
      <c r="A2226" s="1">
        <f>HYPERLINK("https://lsnyc.legalserver.org/matter/dynamic-profile/view/1899019","19-1899019")</f>
        <v>0</v>
      </c>
      <c r="B2226" t="s">
        <v>239</v>
      </c>
      <c r="C2226" t="s">
        <v>352</v>
      </c>
      <c r="D2226" t="s">
        <v>3067</v>
      </c>
      <c r="E2226" t="s">
        <v>5077</v>
      </c>
      <c r="G2226" t="s">
        <v>5637</v>
      </c>
      <c r="H2226">
        <v>11233</v>
      </c>
      <c r="I2226" t="s">
        <v>5696</v>
      </c>
      <c r="J2226" t="s">
        <v>5696</v>
      </c>
      <c r="O2226" t="s">
        <v>6776</v>
      </c>
      <c r="R2226" t="s">
        <v>6798</v>
      </c>
      <c r="U2226">
        <v>0</v>
      </c>
      <c r="V2226" t="s">
        <v>6835</v>
      </c>
      <c r="Y2226" t="s">
        <v>8900</v>
      </c>
      <c r="AB2226">
        <v>0</v>
      </c>
      <c r="AE2226">
        <v>0</v>
      </c>
      <c r="AF2226">
        <v>3</v>
      </c>
      <c r="AG2226">
        <v>2</v>
      </c>
      <c r="AH2226">
        <v>226.72</v>
      </c>
      <c r="AL2226">
        <v>68400</v>
      </c>
      <c r="AR2226">
        <v>4.2</v>
      </c>
      <c r="AS2226" t="s">
        <v>11163</v>
      </c>
      <c r="AT2226" t="s">
        <v>128</v>
      </c>
      <c r="AV2226" t="s">
        <v>11231</v>
      </c>
      <c r="AW2226" t="s">
        <v>11132</v>
      </c>
    </row>
    <row r="2227" spans="1:49">
      <c r="A2227" s="1">
        <f>HYPERLINK("https://lsnyc.legalserver.org/matter/dynamic-profile/view/1904871","19-1904871")</f>
        <v>0</v>
      </c>
      <c r="B2227" t="s">
        <v>174</v>
      </c>
      <c r="C2227" t="s">
        <v>1629</v>
      </c>
      <c r="D2227" t="s">
        <v>2629</v>
      </c>
      <c r="E2227" t="s">
        <v>5078</v>
      </c>
      <c r="G2227" t="s">
        <v>5637</v>
      </c>
      <c r="H2227">
        <v>11208</v>
      </c>
      <c r="I2227" t="s">
        <v>5696</v>
      </c>
      <c r="J2227" t="s">
        <v>5696</v>
      </c>
      <c r="O2227" t="s">
        <v>6775</v>
      </c>
      <c r="R2227" t="s">
        <v>6799</v>
      </c>
      <c r="U2227">
        <v>0</v>
      </c>
      <c r="V2227" t="s">
        <v>6835</v>
      </c>
      <c r="Y2227" t="s">
        <v>8901</v>
      </c>
      <c r="AB2227">
        <v>0</v>
      </c>
      <c r="AE2227">
        <v>0</v>
      </c>
      <c r="AF2227">
        <v>2</v>
      </c>
      <c r="AG2227">
        <v>0</v>
      </c>
      <c r="AH2227">
        <v>246.01</v>
      </c>
      <c r="AL2227">
        <v>41600</v>
      </c>
      <c r="AR2227">
        <v>1</v>
      </c>
      <c r="AS2227" t="s">
        <v>6808</v>
      </c>
      <c r="AT2227" t="s">
        <v>128</v>
      </c>
      <c r="AV2227" t="s">
        <v>11231</v>
      </c>
      <c r="AW2227" t="s">
        <v>6808</v>
      </c>
    </row>
    <row r="2228" spans="1:49">
      <c r="A2228" s="1">
        <f>HYPERLINK("https://lsnyc.legalserver.org/matter/dynamic-profile/view/1896959","19-1896959")</f>
        <v>0</v>
      </c>
      <c r="B2228" t="s">
        <v>169</v>
      </c>
      <c r="C2228" t="s">
        <v>1630</v>
      </c>
      <c r="D2228" t="s">
        <v>3068</v>
      </c>
      <c r="E2228" t="s">
        <v>5079</v>
      </c>
      <c r="G2228" t="s">
        <v>5650</v>
      </c>
      <c r="H2228">
        <v>11366</v>
      </c>
      <c r="I2228" t="s">
        <v>5696</v>
      </c>
      <c r="J2228" t="s">
        <v>5696</v>
      </c>
      <c r="O2228" t="s">
        <v>6778</v>
      </c>
      <c r="R2228" t="s">
        <v>6798</v>
      </c>
      <c r="U2228">
        <v>0</v>
      </c>
      <c r="V2228" t="s">
        <v>6837</v>
      </c>
      <c r="Y2228" t="s">
        <v>7995</v>
      </c>
      <c r="AB2228">
        <v>0</v>
      </c>
      <c r="AE2228">
        <v>0</v>
      </c>
      <c r="AF2228">
        <v>2</v>
      </c>
      <c r="AG2228">
        <v>0</v>
      </c>
      <c r="AH2228">
        <v>283.86</v>
      </c>
      <c r="AL2228">
        <v>48000</v>
      </c>
      <c r="AR2228">
        <v>5</v>
      </c>
      <c r="AS2228" t="s">
        <v>11147</v>
      </c>
      <c r="AT2228" t="s">
        <v>169</v>
      </c>
      <c r="AV2228" t="s">
        <v>11231</v>
      </c>
      <c r="AW2228" t="s">
        <v>11130</v>
      </c>
    </row>
    <row r="2229" spans="1:49">
      <c r="A2229" s="1">
        <f>HYPERLINK("https://lsnyc.legalserver.org/matter/dynamic-profile/view/1901763","19-1901763")</f>
        <v>0</v>
      </c>
      <c r="B2229" t="s">
        <v>135</v>
      </c>
      <c r="C2229" t="s">
        <v>1631</v>
      </c>
      <c r="D2229" t="s">
        <v>2969</v>
      </c>
      <c r="E2229" t="s">
        <v>5080</v>
      </c>
      <c r="G2229" t="s">
        <v>5637</v>
      </c>
      <c r="H2229">
        <v>11236</v>
      </c>
      <c r="I2229" t="s">
        <v>5696</v>
      </c>
      <c r="J2229" t="s">
        <v>5696</v>
      </c>
      <c r="O2229" t="s">
        <v>6776</v>
      </c>
      <c r="R2229" t="s">
        <v>6799</v>
      </c>
      <c r="U2229">
        <v>0</v>
      </c>
      <c r="V2229" t="s">
        <v>6835</v>
      </c>
      <c r="Y2229" t="s">
        <v>8902</v>
      </c>
      <c r="AB2229">
        <v>0</v>
      </c>
      <c r="AE2229">
        <v>0</v>
      </c>
      <c r="AF2229">
        <v>1</v>
      </c>
      <c r="AG2229">
        <v>0</v>
      </c>
      <c r="AH2229">
        <v>284.39</v>
      </c>
      <c r="AL2229">
        <v>35520</v>
      </c>
      <c r="AR2229">
        <v>4.4</v>
      </c>
      <c r="AS2229" t="s">
        <v>6824</v>
      </c>
      <c r="AT2229" t="s">
        <v>128</v>
      </c>
      <c r="AV2229" t="s">
        <v>11231</v>
      </c>
      <c r="AW2229" t="s">
        <v>11148</v>
      </c>
    </row>
    <row r="2230" spans="1:49">
      <c r="A2230" s="1">
        <f>HYPERLINK("https://lsnyc.legalserver.org/matter/dynamic-profile/view/1901644","19-1901644")</f>
        <v>0</v>
      </c>
      <c r="B2230" t="s">
        <v>260</v>
      </c>
      <c r="C2230" t="s">
        <v>1632</v>
      </c>
      <c r="D2230" t="s">
        <v>1663</v>
      </c>
      <c r="E2230" t="s">
        <v>5081</v>
      </c>
      <c r="G2230" t="s">
        <v>5647</v>
      </c>
      <c r="H2230">
        <v>11691</v>
      </c>
      <c r="I2230" t="s">
        <v>5696</v>
      </c>
      <c r="J2230" t="s">
        <v>5696</v>
      </c>
      <c r="O2230" t="s">
        <v>6778</v>
      </c>
      <c r="R2230" t="s">
        <v>6798</v>
      </c>
      <c r="U2230">
        <v>0</v>
      </c>
      <c r="V2230" t="s">
        <v>6837</v>
      </c>
      <c r="Y2230" t="s">
        <v>8903</v>
      </c>
      <c r="AB2230">
        <v>0</v>
      </c>
      <c r="AE2230">
        <v>0</v>
      </c>
      <c r="AF2230">
        <v>2</v>
      </c>
      <c r="AG2230">
        <v>1</v>
      </c>
      <c r="AH2230">
        <v>303.07</v>
      </c>
      <c r="AL2230">
        <v>64644</v>
      </c>
      <c r="AR2230">
        <v>1.6</v>
      </c>
      <c r="AS2230" t="s">
        <v>11144</v>
      </c>
      <c r="AT2230" t="s">
        <v>173</v>
      </c>
      <c r="AV2230" t="s">
        <v>11231</v>
      </c>
      <c r="AW2230" t="s">
        <v>11162</v>
      </c>
    </row>
    <row r="2231" spans="1:49">
      <c r="A2231" s="1">
        <f>HYPERLINK("https://lsnyc.legalserver.org/matter/dynamic-profile/view/1896941","19-1896941")</f>
        <v>0</v>
      </c>
      <c r="B2231" t="s">
        <v>261</v>
      </c>
      <c r="C2231" t="s">
        <v>1633</v>
      </c>
      <c r="D2231" t="s">
        <v>1686</v>
      </c>
      <c r="E2231" t="s">
        <v>5082</v>
      </c>
      <c r="G2231" t="s">
        <v>5644</v>
      </c>
      <c r="H2231">
        <v>11434</v>
      </c>
      <c r="I2231" t="s">
        <v>5696</v>
      </c>
      <c r="J2231" t="s">
        <v>5696</v>
      </c>
      <c r="O2231" t="s">
        <v>6778</v>
      </c>
      <c r="R2231" t="s">
        <v>6798</v>
      </c>
      <c r="U2231">
        <v>0</v>
      </c>
      <c r="V2231" t="s">
        <v>6837</v>
      </c>
      <c r="Y2231" t="s">
        <v>8904</v>
      </c>
      <c r="AB2231">
        <v>0</v>
      </c>
      <c r="AE2231">
        <v>0</v>
      </c>
      <c r="AF2231">
        <v>3</v>
      </c>
      <c r="AG2231">
        <v>2</v>
      </c>
      <c r="AH2231">
        <v>353.53</v>
      </c>
      <c r="AL2231">
        <v>106660.6</v>
      </c>
      <c r="AR2231">
        <v>14.6</v>
      </c>
      <c r="AS2231" t="s">
        <v>6822</v>
      </c>
      <c r="AT2231" t="s">
        <v>169</v>
      </c>
      <c r="AV2231" t="s">
        <v>11231</v>
      </c>
      <c r="AW2231" t="s">
        <v>11130</v>
      </c>
    </row>
    <row r="2232" spans="1:49">
      <c r="A2232" s="1">
        <f>HYPERLINK("https://lsnyc.legalserver.org/matter/dynamic-profile/view/1899271","19-1899271")</f>
        <v>0</v>
      </c>
      <c r="B2232" t="s">
        <v>239</v>
      </c>
      <c r="C2232" t="s">
        <v>452</v>
      </c>
      <c r="D2232" t="s">
        <v>3069</v>
      </c>
      <c r="E2232" t="s">
        <v>5083</v>
      </c>
      <c r="G2232" t="s">
        <v>5637</v>
      </c>
      <c r="H2232">
        <v>11207</v>
      </c>
      <c r="I2232" t="s">
        <v>5696</v>
      </c>
      <c r="J2232" t="s">
        <v>5696</v>
      </c>
      <c r="O2232" t="s">
        <v>6780</v>
      </c>
      <c r="R2232" t="s">
        <v>6799</v>
      </c>
      <c r="U2232">
        <v>0</v>
      </c>
      <c r="V2232" t="s">
        <v>6835</v>
      </c>
      <c r="Y2232" t="s">
        <v>8905</v>
      </c>
      <c r="AB2232">
        <v>0</v>
      </c>
      <c r="AE2232">
        <v>0</v>
      </c>
      <c r="AF2232">
        <v>3</v>
      </c>
      <c r="AG2232">
        <v>1</v>
      </c>
      <c r="AH2232">
        <v>355.73</v>
      </c>
      <c r="AL2232">
        <v>91600</v>
      </c>
      <c r="AR2232">
        <v>8.5</v>
      </c>
      <c r="AS2232" t="s">
        <v>11135</v>
      </c>
      <c r="AT2232" t="s">
        <v>128</v>
      </c>
      <c r="AV2232" t="s">
        <v>11231</v>
      </c>
      <c r="AW2232" t="s">
        <v>11146</v>
      </c>
    </row>
    <row r="2233" spans="1:49">
      <c r="A2233" s="1">
        <f>HYPERLINK("https://lsnyc.legalserver.org/matter/dynamic-profile/view/1903220","19-1903220")</f>
        <v>0</v>
      </c>
      <c r="B2233" t="s">
        <v>174</v>
      </c>
      <c r="C2233" t="s">
        <v>371</v>
      </c>
      <c r="D2233" t="s">
        <v>3070</v>
      </c>
      <c r="E2233" t="s">
        <v>5084</v>
      </c>
      <c r="G2233" t="s">
        <v>5637</v>
      </c>
      <c r="H2233">
        <v>11236</v>
      </c>
      <c r="I2233" t="s">
        <v>5696</v>
      </c>
      <c r="J2233" t="s">
        <v>5696</v>
      </c>
      <c r="O2233" t="s">
        <v>6780</v>
      </c>
      <c r="R2233" t="s">
        <v>6799</v>
      </c>
      <c r="U2233">
        <v>0</v>
      </c>
      <c r="V2233" t="s">
        <v>6835</v>
      </c>
      <c r="Y2233" t="s">
        <v>8906</v>
      </c>
      <c r="AB2233">
        <v>0</v>
      </c>
      <c r="AE2233">
        <v>0</v>
      </c>
      <c r="AF2233">
        <v>3</v>
      </c>
      <c r="AG2233">
        <v>0</v>
      </c>
      <c r="AH2233">
        <v>375.06</v>
      </c>
      <c r="AL2233">
        <v>80000</v>
      </c>
      <c r="AR2233">
        <v>3.9</v>
      </c>
      <c r="AS2233" t="s">
        <v>6823</v>
      </c>
      <c r="AT2233" t="s">
        <v>128</v>
      </c>
      <c r="AV2233" t="s">
        <v>11231</v>
      </c>
      <c r="AW2233" t="s">
        <v>11139</v>
      </c>
    </row>
    <row r="2234" spans="1:49">
      <c r="A2234" s="1">
        <f>HYPERLINK("https://lsnyc.legalserver.org/matter/dynamic-profile/view/1904534","19-1904534")</f>
        <v>0</v>
      </c>
      <c r="B2234" t="s">
        <v>239</v>
      </c>
      <c r="C2234" t="s">
        <v>1634</v>
      </c>
      <c r="D2234" t="s">
        <v>435</v>
      </c>
      <c r="E2234" t="s">
        <v>5085</v>
      </c>
      <c r="G2234" t="s">
        <v>5637</v>
      </c>
      <c r="H2234">
        <v>11216</v>
      </c>
      <c r="I2234" t="s">
        <v>5696</v>
      </c>
      <c r="J2234" t="s">
        <v>5696</v>
      </c>
      <c r="O2234" t="s">
        <v>6775</v>
      </c>
      <c r="R2234" t="s">
        <v>6799</v>
      </c>
      <c r="U2234">
        <v>0</v>
      </c>
      <c r="V2234" t="s">
        <v>6835</v>
      </c>
      <c r="Y2234" t="s">
        <v>8907</v>
      </c>
      <c r="AB2234">
        <v>0</v>
      </c>
      <c r="AE2234">
        <v>0</v>
      </c>
      <c r="AF2234">
        <v>3</v>
      </c>
      <c r="AG2234">
        <v>1</v>
      </c>
      <c r="AH2234">
        <v>381.36</v>
      </c>
      <c r="AL2234">
        <v>98200</v>
      </c>
      <c r="AR2234">
        <v>2.4</v>
      </c>
      <c r="AS2234" t="s">
        <v>6819</v>
      </c>
      <c r="AT2234" t="s">
        <v>128</v>
      </c>
      <c r="AV2234" t="s">
        <v>11231</v>
      </c>
      <c r="AW2234" t="s">
        <v>6810</v>
      </c>
    </row>
    <row r="2235" spans="1:49">
      <c r="A2235" s="1">
        <f>HYPERLINK("https://lsnyc.legalserver.org/matter/dynamic-profile/view/1906100","19-1906100")</f>
        <v>0</v>
      </c>
      <c r="B2235" t="s">
        <v>135</v>
      </c>
      <c r="C2235" t="s">
        <v>352</v>
      </c>
      <c r="D2235" t="s">
        <v>3071</v>
      </c>
      <c r="E2235" t="s">
        <v>5086</v>
      </c>
      <c r="F2235">
        <v>15</v>
      </c>
      <c r="G2235" t="s">
        <v>5637</v>
      </c>
      <c r="H2235">
        <v>11210</v>
      </c>
      <c r="I2235" t="s">
        <v>5696</v>
      </c>
      <c r="J2235" t="s">
        <v>5696</v>
      </c>
      <c r="O2235" t="s">
        <v>6780</v>
      </c>
      <c r="R2235" t="s">
        <v>6799</v>
      </c>
      <c r="U2235">
        <v>0</v>
      </c>
      <c r="V2235" t="s">
        <v>6835</v>
      </c>
      <c r="Y2235" t="s">
        <v>8908</v>
      </c>
      <c r="AB2235">
        <v>0</v>
      </c>
      <c r="AE2235">
        <v>0</v>
      </c>
      <c r="AF2235">
        <v>1</v>
      </c>
      <c r="AG2235">
        <v>0</v>
      </c>
      <c r="AH2235">
        <v>400.32</v>
      </c>
      <c r="AL2235">
        <v>50000</v>
      </c>
      <c r="AR2235">
        <v>1</v>
      </c>
      <c r="AS2235" t="s">
        <v>6820</v>
      </c>
      <c r="AT2235" t="s">
        <v>128</v>
      </c>
      <c r="AV2235" t="s">
        <v>11231</v>
      </c>
      <c r="AW2235" t="s">
        <v>6820</v>
      </c>
    </row>
    <row r="2236" spans="1:49">
      <c r="A2236" s="1">
        <f>HYPERLINK("https://lsnyc.legalserver.org/matter/dynamic-profile/view/1902081","19-1902081")</f>
        <v>0</v>
      </c>
      <c r="B2236" t="s">
        <v>135</v>
      </c>
      <c r="C2236" t="s">
        <v>1635</v>
      </c>
      <c r="D2236" t="s">
        <v>3072</v>
      </c>
      <c r="E2236" t="s">
        <v>5087</v>
      </c>
      <c r="G2236" t="s">
        <v>5637</v>
      </c>
      <c r="H2236">
        <v>11225</v>
      </c>
      <c r="I2236" t="s">
        <v>5696</v>
      </c>
      <c r="J2236" t="s">
        <v>5696</v>
      </c>
      <c r="O2236" t="s">
        <v>6780</v>
      </c>
      <c r="R2236" t="s">
        <v>6798</v>
      </c>
      <c r="U2236">
        <v>0</v>
      </c>
      <c r="V2236" t="s">
        <v>6835</v>
      </c>
      <c r="Y2236" t="s">
        <v>8909</v>
      </c>
      <c r="AB2236">
        <v>0</v>
      </c>
      <c r="AE2236">
        <v>0</v>
      </c>
      <c r="AF2236">
        <v>3</v>
      </c>
      <c r="AG2236">
        <v>1</v>
      </c>
      <c r="AH2236">
        <v>426.28</v>
      </c>
      <c r="AL2236">
        <v>109766</v>
      </c>
      <c r="AR2236">
        <v>3.7</v>
      </c>
      <c r="AS2236" t="s">
        <v>6824</v>
      </c>
      <c r="AT2236" t="s">
        <v>128</v>
      </c>
      <c r="AV2236" t="s">
        <v>11231</v>
      </c>
      <c r="AW2236" t="s">
        <v>11137</v>
      </c>
    </row>
    <row r="2237" spans="1:49">
      <c r="A2237" s="1">
        <f>HYPERLINK("https://lsnyc.legalserver.org/matter/dynamic-profile/view/1902582","19-1902582")</f>
        <v>0</v>
      </c>
      <c r="B2237" t="s">
        <v>135</v>
      </c>
      <c r="C2237" t="s">
        <v>1636</v>
      </c>
      <c r="D2237" t="s">
        <v>435</v>
      </c>
      <c r="E2237" t="s">
        <v>5088</v>
      </c>
      <c r="G2237" t="s">
        <v>5637</v>
      </c>
      <c r="H2237">
        <v>11236</v>
      </c>
      <c r="I2237" t="s">
        <v>5696</v>
      </c>
      <c r="J2237" t="s">
        <v>5696</v>
      </c>
      <c r="O2237" t="s">
        <v>6775</v>
      </c>
      <c r="R2237" t="s">
        <v>6798</v>
      </c>
      <c r="U2237">
        <v>0</v>
      </c>
      <c r="V2237" t="s">
        <v>6835</v>
      </c>
      <c r="Y2237" t="s">
        <v>8910</v>
      </c>
      <c r="AB2237">
        <v>0</v>
      </c>
      <c r="AE2237">
        <v>0</v>
      </c>
      <c r="AF2237">
        <v>2</v>
      </c>
      <c r="AG2237">
        <v>2</v>
      </c>
      <c r="AH2237">
        <v>443.5</v>
      </c>
      <c r="AL2237">
        <v>114200</v>
      </c>
      <c r="AR2237">
        <v>0.2</v>
      </c>
      <c r="AS2237" t="s">
        <v>6814</v>
      </c>
      <c r="AT2237" t="s">
        <v>128</v>
      </c>
      <c r="AV2237" t="s">
        <v>11231</v>
      </c>
      <c r="AW2237" t="s">
        <v>11139</v>
      </c>
    </row>
    <row r="2238" spans="1:49">
      <c r="A2238" s="1">
        <f>HYPERLINK("https://lsnyc.legalserver.org/matter/dynamic-profile/view/1901637","19-1901637")</f>
        <v>0</v>
      </c>
      <c r="B2238" t="s">
        <v>163</v>
      </c>
      <c r="C2238" t="s">
        <v>1637</v>
      </c>
      <c r="D2238" t="s">
        <v>1251</v>
      </c>
      <c r="E2238" t="s">
        <v>5089</v>
      </c>
      <c r="F2238" t="s">
        <v>5154</v>
      </c>
      <c r="G2238" t="s">
        <v>5637</v>
      </c>
      <c r="H2238">
        <v>11226</v>
      </c>
      <c r="I2238" t="s">
        <v>5696</v>
      </c>
      <c r="J2238" t="s">
        <v>5696</v>
      </c>
      <c r="O2238" t="s">
        <v>6780</v>
      </c>
      <c r="R2238" t="s">
        <v>6798</v>
      </c>
      <c r="U2238">
        <v>0</v>
      </c>
      <c r="V2238" t="s">
        <v>6835</v>
      </c>
      <c r="Y2238" t="s">
        <v>8911</v>
      </c>
      <c r="AB2238">
        <v>0</v>
      </c>
      <c r="AE2238">
        <v>0</v>
      </c>
      <c r="AF2238">
        <v>1</v>
      </c>
      <c r="AG2238">
        <v>0</v>
      </c>
      <c r="AH2238">
        <v>499.6</v>
      </c>
      <c r="AL2238">
        <v>62400</v>
      </c>
      <c r="AR2238">
        <v>0.6</v>
      </c>
      <c r="AS2238" t="s">
        <v>6822</v>
      </c>
      <c r="AT2238" t="s">
        <v>128</v>
      </c>
      <c r="AV2238" t="s">
        <v>11231</v>
      </c>
      <c r="AW2238" t="s">
        <v>11140</v>
      </c>
    </row>
    <row r="2239" spans="1:49">
      <c r="A2239" s="1">
        <f>HYPERLINK("https://lsnyc.legalserver.org/matter/dynamic-profile/view/1895271","19-1895271")</f>
        <v>0</v>
      </c>
      <c r="B2239" t="s">
        <v>239</v>
      </c>
      <c r="C2239" t="s">
        <v>666</v>
      </c>
      <c r="D2239" t="s">
        <v>3055</v>
      </c>
      <c r="E2239" t="s">
        <v>5090</v>
      </c>
      <c r="G2239" t="s">
        <v>5694</v>
      </c>
      <c r="H2239">
        <v>20814</v>
      </c>
      <c r="I2239" t="s">
        <v>5696</v>
      </c>
      <c r="J2239" t="s">
        <v>5696</v>
      </c>
      <c r="O2239" t="s">
        <v>6775</v>
      </c>
      <c r="R2239" t="s">
        <v>6798</v>
      </c>
      <c r="U2239">
        <v>0</v>
      </c>
      <c r="V2239" t="s">
        <v>6835</v>
      </c>
      <c r="Y2239" t="s">
        <v>8912</v>
      </c>
      <c r="AB2239">
        <v>0</v>
      </c>
      <c r="AE2239">
        <v>0</v>
      </c>
      <c r="AF2239">
        <v>3</v>
      </c>
      <c r="AG2239">
        <v>2</v>
      </c>
      <c r="AH2239">
        <v>505.14</v>
      </c>
      <c r="AL2239">
        <v>152400</v>
      </c>
      <c r="AR2239">
        <v>3.8</v>
      </c>
      <c r="AS2239" t="s">
        <v>10956</v>
      </c>
      <c r="AT2239" t="s">
        <v>128</v>
      </c>
      <c r="AV2239" t="s">
        <v>11231</v>
      </c>
      <c r="AW2239" t="s">
        <v>11167</v>
      </c>
    </row>
    <row r="2240" spans="1:49">
      <c r="A2240" s="1">
        <f>HYPERLINK("https://lsnyc.legalserver.org/matter/dynamic-profile/view/1905463","19-1905463")</f>
        <v>0</v>
      </c>
      <c r="B2240" t="s">
        <v>151</v>
      </c>
      <c r="C2240" t="s">
        <v>1638</v>
      </c>
      <c r="D2240" t="s">
        <v>3073</v>
      </c>
      <c r="E2240" t="s">
        <v>5091</v>
      </c>
      <c r="G2240" t="s">
        <v>5637</v>
      </c>
      <c r="H2240">
        <v>11204</v>
      </c>
      <c r="I2240" t="s">
        <v>5696</v>
      </c>
      <c r="J2240" t="s">
        <v>5696</v>
      </c>
      <c r="O2240" t="s">
        <v>6775</v>
      </c>
      <c r="R2240" t="s">
        <v>6798</v>
      </c>
      <c r="U2240">
        <v>0</v>
      </c>
      <c r="V2240" t="s">
        <v>6835</v>
      </c>
      <c r="Y2240" t="s">
        <v>8913</v>
      </c>
      <c r="AB2240">
        <v>0</v>
      </c>
      <c r="AE2240">
        <v>0</v>
      </c>
      <c r="AF2240">
        <v>2</v>
      </c>
      <c r="AG2240">
        <v>0</v>
      </c>
      <c r="AH2240">
        <v>700.1799999999999</v>
      </c>
      <c r="AL2240">
        <v>118400</v>
      </c>
      <c r="AR2240">
        <v>1.1</v>
      </c>
      <c r="AS2240" t="s">
        <v>6820</v>
      </c>
      <c r="AT2240" t="s">
        <v>128</v>
      </c>
      <c r="AV2240" t="s">
        <v>11231</v>
      </c>
      <c r="AW2240" t="s">
        <v>6826</v>
      </c>
    </row>
    <row r="2241" spans="1:49">
      <c r="A2241" s="1">
        <f>HYPERLINK("https://lsnyc.legalserver.org/matter/dynamic-profile/view/1905881","19-1905881")</f>
        <v>0</v>
      </c>
      <c r="B2241" t="s">
        <v>187</v>
      </c>
      <c r="C2241" t="s">
        <v>1639</v>
      </c>
      <c r="D2241" t="s">
        <v>3074</v>
      </c>
      <c r="E2241" t="s">
        <v>5092</v>
      </c>
      <c r="F2241">
        <v>227</v>
      </c>
      <c r="G2241" t="s">
        <v>5635</v>
      </c>
      <c r="H2241">
        <v>10462</v>
      </c>
      <c r="I2241" t="s">
        <v>5697</v>
      </c>
      <c r="J2241" t="s">
        <v>5696</v>
      </c>
      <c r="O2241" t="s">
        <v>6748</v>
      </c>
      <c r="R2241" t="s">
        <v>6793</v>
      </c>
      <c r="U2241">
        <v>0</v>
      </c>
      <c r="V2241" t="s">
        <v>6833</v>
      </c>
      <c r="AB2241">
        <v>0</v>
      </c>
      <c r="AE2241">
        <v>0</v>
      </c>
      <c r="AF2241">
        <v>1</v>
      </c>
      <c r="AG2241">
        <v>0</v>
      </c>
      <c r="AH2241">
        <v>0</v>
      </c>
      <c r="AL2241">
        <v>0</v>
      </c>
      <c r="AR2241">
        <v>5</v>
      </c>
      <c r="AS2241" t="s">
        <v>6823</v>
      </c>
      <c r="AT2241" t="s">
        <v>11176</v>
      </c>
      <c r="AU2241" t="s">
        <v>5741</v>
      </c>
      <c r="AV2241" t="s">
        <v>11231</v>
      </c>
      <c r="AW2241" t="s">
        <v>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 Raw Case Data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2019-08-01T19:21:52Z</dcterms:created>
  <dcterms:modified xsi:type="dcterms:W3CDTF">2019-08-01T19:21:52Z</dcterms:modified>
</cp:coreProperties>
</file>