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<sst xmlns="http://schemas.openxmlformats.org/spreadsheetml/2006/main" count="48165" uniqueCount="7379">
  <si>
    <t>Hyperlinked Case #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</si>
  <si>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</si>
  <si>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</si>
  <si>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</si>
  <si>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</si>
  <si>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</si>
  <si>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</si>
  <si>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</si>
  <si>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</si>
  <si>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</si>
  <si>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</si>
  <si>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</si>
  <si>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Signed DHCI Form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</si>
  <si>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</si>
  <si>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</si>
  <si>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</si>
  <si>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</si>
  <si>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</si>
  <si>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</si>
  <si>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</si>
  <si>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</si>
  <si>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</si>
  <si>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</si>
  <si>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</si>
  <si>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</si>
  <si>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</si>
  <si>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IOLA 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</si>
  <si>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</si>
  <si>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</si>
  <si>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</si>
  <si>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</si>
  <si>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</si>
  <si>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</si>
  <si>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</si>
  <si>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</si>
  <si>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</si>
  <si>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</si>
  <si>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</si>
  <si>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</si>
  <si>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</si>
  <si>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</si>
  <si>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</si>
  <si>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</si>
  <si>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</si>
  <si>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</si>
  <si>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</si>
  <si>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</si>
  <si>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Service Date</t>
  </si>
  <si>
    <t>Caseworker Name</t>
  </si>
  <si>
    <t>Housing Income Verification</t>
  </si>
  <si>
    <t>McCune, Mary</t>
  </si>
  <si>
    <t>Atkinson, Johnson</t>
  </si>
  <si>
    <t>Mottley, Darlene</t>
  </si>
  <si>
    <t>Heller, Steven</t>
  </si>
  <si>
    <t>Torres, Jasmin</t>
  </si>
  <si>
    <t>Robinson, Sally</t>
  </si>
  <si>
    <t>James, Lelia</t>
  </si>
  <si>
    <t>McCowen, Tamella</t>
  </si>
  <si>
    <t>Treadwell, Nathan</t>
  </si>
  <si>
    <t>Bromberg, Iris</t>
  </si>
  <si>
    <t>Porcelli, Ronald</t>
  </si>
  <si>
    <t>Briggs, John</t>
  </si>
  <si>
    <t>Kelly, Kitanya</t>
  </si>
  <si>
    <t>Honan, Thomas</t>
  </si>
  <si>
    <t>Vega, Rita</t>
  </si>
  <si>
    <t>Galai, Sagiv</t>
  </si>
  <si>
    <t>Braudy, Erica</t>
  </si>
  <si>
    <t>Restrepo-Serrano, Francois</t>
  </si>
  <si>
    <t>Latterner, Matt</t>
  </si>
  <si>
    <t>Delgadillo, Omar</t>
  </si>
  <si>
    <t>Labossiere, Samantha</t>
  </si>
  <si>
    <t>Sharma, Sagar</t>
  </si>
  <si>
    <t>Black, Rosalind</t>
  </si>
  <si>
    <t>Horth, Aaron</t>
  </si>
  <si>
    <t>Hao, Lindsay</t>
  </si>
  <si>
    <t>Guillaume, Naura</t>
  </si>
  <si>
    <t>Huang, Amanda</t>
  </si>
  <si>
    <t>Keiser, Charles</t>
  </si>
  <si>
    <t>Abbas, Sayeda</t>
  </si>
  <si>
    <t>Freeman, Daniel</t>
  </si>
  <si>
    <t>Shah, Ami</t>
  </si>
  <si>
    <t>Wilkes, Nicole</t>
  </si>
  <si>
    <t>Novasky, Aisha</t>
  </si>
  <si>
    <t>Mendia-Yadaicela, Michelle</t>
  </si>
  <si>
    <t>Englard, Rubin</t>
  </si>
  <si>
    <t>Spencer, Eleanor</t>
  </si>
  <si>
    <t>Luo, Amy</t>
  </si>
  <si>
    <t>Almanzar, Milagros</t>
  </si>
  <si>
    <t>Evers, Erin</t>
  </si>
  <si>
    <t>Neff, Adrienne</t>
  </si>
  <si>
    <t>Yamasaki, Emily Woo</t>
  </si>
  <si>
    <t>Basu, Shantonu</t>
  </si>
  <si>
    <t>He, Ricky</t>
  </si>
  <si>
    <t>Caban-Gandhi, Celina</t>
  </si>
  <si>
    <t>Sun, Dao</t>
  </si>
  <si>
    <t>Patel, Roopal</t>
  </si>
  <si>
    <t>Frierson, Jerome</t>
  </si>
  <si>
    <t>Carlier, Milton</t>
  </si>
  <si>
    <t>Anunkor, Ifeoma</t>
  </si>
  <si>
    <t>Weaver, Cynthia</t>
  </si>
  <si>
    <t>Cook, Veronica</t>
  </si>
  <si>
    <t>Almanzar, Yocari</t>
  </si>
  <si>
    <t>Shang, Andrea</t>
  </si>
  <si>
    <t>Colon, Teresa</t>
  </si>
  <si>
    <t>Closed</t>
  </si>
  <si>
    <t>Open</t>
  </si>
  <si>
    <t>05/18/2018</t>
  </si>
  <si>
    <t>02/15/2017</t>
  </si>
  <si>
    <t>09/12/2018</t>
  </si>
  <si>
    <t>12/19/2018</t>
  </si>
  <si>
    <t>09/21/2018</t>
  </si>
  <si>
    <t>03/09/2018</t>
  </si>
  <si>
    <t>06/01/2018</t>
  </si>
  <si>
    <t>01/22/2019</t>
  </si>
  <si>
    <t>10/17/2017</t>
  </si>
  <si>
    <t>12/21/2016</t>
  </si>
  <si>
    <t>02/26/2018</t>
  </si>
  <si>
    <t>04/20/2018</t>
  </si>
  <si>
    <t>04/04/2019</t>
  </si>
  <si>
    <t>07/03/2018</t>
  </si>
  <si>
    <t>07/19/2017</t>
  </si>
  <si>
    <t>05/16/2017</t>
  </si>
  <si>
    <t>06/10/2019</t>
  </si>
  <si>
    <t>06/09/2017</t>
  </si>
  <si>
    <t>11/17/2017</t>
  </si>
  <si>
    <t>12/19/2017</t>
  </si>
  <si>
    <t>02/27/2018</t>
  </si>
  <si>
    <t>03/06/2018</t>
  </si>
  <si>
    <t>06/13/2018</t>
  </si>
  <si>
    <t>04/26/2019</t>
  </si>
  <si>
    <t>02/28/2018</t>
  </si>
  <si>
    <t>06/19/2019</t>
  </si>
  <si>
    <t>09/29/2017</t>
  </si>
  <si>
    <t>08/01/2017</t>
  </si>
  <si>
    <t>04/24/2019</t>
  </si>
  <si>
    <t>09/05/2018</t>
  </si>
  <si>
    <t>09/04/2018</t>
  </si>
  <si>
    <t>07/17/2018</t>
  </si>
  <si>
    <t>08/28/2018</t>
  </si>
  <si>
    <t>03/22/2019</t>
  </si>
  <si>
    <t>03/19/2019</t>
  </si>
  <si>
    <t>06/20/2018</t>
  </si>
  <si>
    <t>09/10/2018</t>
  </si>
  <si>
    <t>06/13/2019</t>
  </si>
  <si>
    <t>08/09/2018</t>
  </si>
  <si>
    <t>01/25/2019</t>
  </si>
  <si>
    <t>04/23/2019</t>
  </si>
  <si>
    <t>11/20/2018</t>
  </si>
  <si>
    <t>02/26/2019</t>
  </si>
  <si>
    <t>05/24/2019</t>
  </si>
  <si>
    <t>05/29/2019</t>
  </si>
  <si>
    <t>04/17/2018</t>
  </si>
  <si>
    <t>03/12/2018</t>
  </si>
  <si>
    <t>03/15/2018</t>
  </si>
  <si>
    <t>05/12/2017</t>
  </si>
  <si>
    <t>01/29/2019</t>
  </si>
  <si>
    <t>04/30/2019</t>
  </si>
  <si>
    <t>04/13/2018</t>
  </si>
  <si>
    <t>04/02/2018</t>
  </si>
  <si>
    <t>03/04/2019</t>
  </si>
  <si>
    <t>04/06/2018</t>
  </si>
  <si>
    <t>04/10/2018</t>
  </si>
  <si>
    <t>04/12/2018</t>
  </si>
  <si>
    <t>01/03/2019</t>
  </si>
  <si>
    <t>03/04/2016</t>
  </si>
  <si>
    <t>03/14/2019</t>
  </si>
  <si>
    <t>04/21/2017</t>
  </si>
  <si>
    <t>09/13/2018</t>
  </si>
  <si>
    <t>09/20/2018</t>
  </si>
  <si>
    <t>10/26/2018</t>
  </si>
  <si>
    <t>04/24/2017</t>
  </si>
  <si>
    <t>06/08/2018</t>
  </si>
  <si>
    <t>01/26/2017</t>
  </si>
  <si>
    <t>08/03/2018</t>
  </si>
  <si>
    <t>01/16/2019</t>
  </si>
  <si>
    <t>11/30/2018</t>
  </si>
  <si>
    <t>12/22/2017</t>
  </si>
  <si>
    <t>07/20/2018</t>
  </si>
  <si>
    <t>02/23/2018</t>
  </si>
  <si>
    <t>04/01/2019</t>
  </si>
  <si>
    <t>09/15/2017</t>
  </si>
  <si>
    <t>01/17/2018</t>
  </si>
  <si>
    <t>04/20/2017</t>
  </si>
  <si>
    <t>09/19/2017</t>
  </si>
  <si>
    <t>04/03/2018</t>
  </si>
  <si>
    <t>08/30/2017</t>
  </si>
  <si>
    <t>04/13/2017</t>
  </si>
  <si>
    <t>06/06/2016</t>
  </si>
  <si>
    <t>08/16/2017</t>
  </si>
  <si>
    <t>06/20/2017</t>
  </si>
  <si>
    <t>03/05/2019</t>
  </si>
  <si>
    <t>05/02/2017</t>
  </si>
  <si>
    <t>11/08/2018</t>
  </si>
  <si>
    <t>12/15/2017</t>
  </si>
  <si>
    <t>01/14/2019</t>
  </si>
  <si>
    <t>01/13/2017</t>
  </si>
  <si>
    <t>05/23/2019</t>
  </si>
  <si>
    <t>03/09/2016</t>
  </si>
  <si>
    <t>09/07/2018</t>
  </si>
  <si>
    <t>08/17/2018</t>
  </si>
  <si>
    <t>08/22/2017</t>
  </si>
  <si>
    <t>12/14/2018</t>
  </si>
  <si>
    <t>12/08/2017</t>
  </si>
  <si>
    <t>10/30/2018</t>
  </si>
  <si>
    <t>09/06/2018</t>
  </si>
  <si>
    <t>05/16/2018</t>
  </si>
  <si>
    <t>06/27/2017</t>
  </si>
  <si>
    <t>06/08/2016</t>
  </si>
  <si>
    <t>04/03/2019</t>
  </si>
  <si>
    <t>12/11/2018</t>
  </si>
  <si>
    <t>07/26/2017</t>
  </si>
  <si>
    <t>05/30/2018</t>
  </si>
  <si>
    <t>07/12/2018</t>
  </si>
  <si>
    <t>11/27/2018</t>
  </si>
  <si>
    <t>02/13/2019</t>
  </si>
  <si>
    <t>06/29/2017</t>
  </si>
  <si>
    <t>09/14/2018</t>
  </si>
  <si>
    <t>12/13/2017</t>
  </si>
  <si>
    <t>02/08/2018</t>
  </si>
  <si>
    <t>07/24/2017</t>
  </si>
  <si>
    <t>10/24/2018</t>
  </si>
  <si>
    <t>01/03/2018</t>
  </si>
  <si>
    <t>11/13/2017</t>
  </si>
  <si>
    <t>10/21/2016</t>
  </si>
  <si>
    <t>05/23/2018</t>
  </si>
  <si>
    <t>05/15/2018</t>
  </si>
  <si>
    <t>02/02/2018</t>
  </si>
  <si>
    <t>11/28/2018</t>
  </si>
  <si>
    <t>07/20/2017</t>
  </si>
  <si>
    <t>08/15/2018</t>
  </si>
  <si>
    <t>01/12/2017</t>
  </si>
  <si>
    <t>07/22/2015</t>
  </si>
  <si>
    <t>03/28/2018</t>
  </si>
  <si>
    <t>05/24/2018</t>
  </si>
  <si>
    <t>06/19/2018</t>
  </si>
  <si>
    <t>01/11/2019</t>
  </si>
  <si>
    <t>10/18/2018</t>
  </si>
  <si>
    <t>02/20/2018</t>
  </si>
  <si>
    <t>03/07/2017</t>
  </si>
  <si>
    <t>05/02/2018</t>
  </si>
  <si>
    <t>05/11/2018</t>
  </si>
  <si>
    <t>08/19/2015</t>
  </si>
  <si>
    <t>04/05/2018</t>
  </si>
  <si>
    <t>03/23/2017</t>
  </si>
  <si>
    <t>04/20/2016</t>
  </si>
  <si>
    <t>03/06/2019</t>
  </si>
  <si>
    <t>05/03/2017</t>
  </si>
  <si>
    <t>06/26/2018</t>
  </si>
  <si>
    <t>08/08/2018</t>
  </si>
  <si>
    <t>02/14/2018</t>
  </si>
  <si>
    <t>03/21/2018</t>
  </si>
  <si>
    <t>03/13/2019</t>
  </si>
  <si>
    <t>04/25/2017</t>
  </si>
  <si>
    <t>04/16/2019</t>
  </si>
  <si>
    <t>09/19/2018</t>
  </si>
  <si>
    <t>12/29/2016</t>
  </si>
  <si>
    <t>10/19/2016</t>
  </si>
  <si>
    <t>03/05/2018</t>
  </si>
  <si>
    <t>07/10/2017</t>
  </si>
  <si>
    <t>03/10/2017</t>
  </si>
  <si>
    <t>07/24/2018</t>
  </si>
  <si>
    <t>04/22/2019</t>
  </si>
  <si>
    <t>11/07/2018</t>
  </si>
  <si>
    <t>10/15/2018</t>
  </si>
  <si>
    <t>01/09/2019</t>
  </si>
  <si>
    <t>09/28/2017</t>
  </si>
  <si>
    <t>12/15/2016</t>
  </si>
  <si>
    <t>09/25/2017</t>
  </si>
  <si>
    <t>07/06/2017</t>
  </si>
  <si>
    <t>10/10/2018</t>
  </si>
  <si>
    <t>01/07/2019</t>
  </si>
  <si>
    <t>12/20/2018</t>
  </si>
  <si>
    <t>02/08/2019</t>
  </si>
  <si>
    <t>05/03/2019</t>
  </si>
  <si>
    <t>06/27/2018</t>
  </si>
  <si>
    <t>12/23/2015</t>
  </si>
  <si>
    <t>11/01/2018</t>
  </si>
  <si>
    <t>03/08/2019</t>
  </si>
  <si>
    <t>05/01/2018</t>
  </si>
  <si>
    <t>05/29/2018</t>
  </si>
  <si>
    <t>08/14/2018</t>
  </si>
  <si>
    <t>10/27/2017</t>
  </si>
  <si>
    <t>09/27/2018</t>
  </si>
  <si>
    <t>01/08/2019</t>
  </si>
  <si>
    <t>10/03/2017</t>
  </si>
  <si>
    <t>05/14/2019</t>
  </si>
  <si>
    <t>11/14/2017</t>
  </si>
  <si>
    <t>07/31/2018</t>
  </si>
  <si>
    <t>05/04/2018</t>
  </si>
  <si>
    <t>06/01/2016</t>
  </si>
  <si>
    <t>07/12/2017</t>
  </si>
  <si>
    <t>01/01/2018</t>
  </si>
  <si>
    <t>05/23/2017</t>
  </si>
  <si>
    <t>10/17/2018</t>
  </si>
  <si>
    <t>11/21/2017</t>
  </si>
  <si>
    <t>10/31/2017</t>
  </si>
  <si>
    <t>10/06/2017</t>
  </si>
  <si>
    <t>07/11/2017</t>
  </si>
  <si>
    <t>10/05/2018</t>
  </si>
  <si>
    <t>02/05/2019</t>
  </si>
  <si>
    <t>02/21/2017</t>
  </si>
  <si>
    <t>11/29/2017</t>
  </si>
  <si>
    <t>09/28/2018</t>
  </si>
  <si>
    <t>01/15/2019</t>
  </si>
  <si>
    <t>07/14/2017</t>
  </si>
  <si>
    <t>02/15/2019</t>
  </si>
  <si>
    <t>10/23/2018</t>
  </si>
  <si>
    <t>08/10/2017</t>
  </si>
  <si>
    <t>05/04/2017</t>
  </si>
  <si>
    <t>12/05/2017</t>
  </si>
  <si>
    <t>07/16/2018</t>
  </si>
  <si>
    <t>09/24/2018</t>
  </si>
  <si>
    <t>07/27/2017</t>
  </si>
  <si>
    <t>05/26/2017</t>
  </si>
  <si>
    <t>03/29/2018</t>
  </si>
  <si>
    <t>08/30/2018</t>
  </si>
  <si>
    <t>02/06/2018</t>
  </si>
  <si>
    <t>03/21/2017</t>
  </si>
  <si>
    <t>03/21/2019</t>
  </si>
  <si>
    <t>04/17/2019</t>
  </si>
  <si>
    <t>02/01/2019</t>
  </si>
  <si>
    <t>03/25/2019</t>
  </si>
  <si>
    <t>12/21/2017</t>
  </si>
  <si>
    <t>11/09/2016</t>
  </si>
  <si>
    <t>04/15/2018</t>
  </si>
  <si>
    <t>06/28/2019</t>
  </si>
  <si>
    <t>03/01/2016</t>
  </si>
  <si>
    <t>03/30/2017</t>
  </si>
  <si>
    <t>08/08/2017</t>
  </si>
  <si>
    <t>12/26/2018</t>
  </si>
  <si>
    <t>06/14/2019</t>
  </si>
  <si>
    <t>05/08/2017</t>
  </si>
  <si>
    <t>01/25/2017</t>
  </si>
  <si>
    <t>01/23/2018</t>
  </si>
  <si>
    <t>10/09/2018</t>
  </si>
  <si>
    <t>12/18/2018</t>
  </si>
  <si>
    <t>09/14/2017</t>
  </si>
  <si>
    <t>12/27/2016</t>
  </si>
  <si>
    <t>03/23/2016</t>
  </si>
  <si>
    <t>04/11/2017</t>
  </si>
  <si>
    <t>04/09/2019</t>
  </si>
  <si>
    <t>01/24/2019</t>
  </si>
  <si>
    <t>09/26/2018</t>
  </si>
  <si>
    <t>08/24/2018</t>
  </si>
  <si>
    <t>01/11/2017</t>
  </si>
  <si>
    <t>11/15/2018</t>
  </si>
  <si>
    <t>10/30/2017</t>
  </si>
  <si>
    <t>04/09/2018</t>
  </si>
  <si>
    <t>10/22/2018</t>
  </si>
  <si>
    <t>10/05/2017</t>
  </si>
  <si>
    <t>01/18/2017</t>
  </si>
  <si>
    <t>01/02/2019</t>
  </si>
  <si>
    <t>03/12/2019</t>
  </si>
  <si>
    <t>10/20/2016</t>
  </si>
  <si>
    <t>08/15/2017</t>
  </si>
  <si>
    <t>06/06/2017</t>
  </si>
  <si>
    <t>10/03/2016</t>
  </si>
  <si>
    <t>01/06/2016</t>
  </si>
  <si>
    <t>10/14/2016</t>
  </si>
  <si>
    <t>06/19/2017</t>
  </si>
  <si>
    <t>08/13/2018</t>
  </si>
  <si>
    <t>11/17/2016</t>
  </si>
  <si>
    <t>09/25/2018</t>
  </si>
  <si>
    <t>08/01/2018</t>
  </si>
  <si>
    <t>04/19/2017</t>
  </si>
  <si>
    <t>11/27/2017</t>
  </si>
  <si>
    <t>03/02/2018</t>
  </si>
  <si>
    <t>09/12/2017</t>
  </si>
  <si>
    <t>01/16/2018</t>
  </si>
  <si>
    <t>11/28/2016</t>
  </si>
  <si>
    <t>08/10/2015</t>
  </si>
  <si>
    <t>06/04/2019</t>
  </si>
  <si>
    <t>08/21/2018</t>
  </si>
  <si>
    <t>05/10/2016</t>
  </si>
  <si>
    <t>12/14/2017</t>
  </si>
  <si>
    <t>08/07/2017</t>
  </si>
  <si>
    <t>01/10/2018</t>
  </si>
  <si>
    <t>07/02/2018</t>
  </si>
  <si>
    <t>10/29/2018</t>
  </si>
  <si>
    <t>02/01/2018</t>
  </si>
  <si>
    <t>07/21/2017</t>
  </si>
  <si>
    <t>01/22/2018</t>
  </si>
  <si>
    <t>02/07/2017</t>
  </si>
  <si>
    <t>08/18/2017</t>
  </si>
  <si>
    <t>10/23/2017</t>
  </si>
  <si>
    <t>10/16/2018</t>
  </si>
  <si>
    <t>12/12/2017</t>
  </si>
  <si>
    <t>01/17/2019</t>
  </si>
  <si>
    <t>11/09/2017</t>
  </si>
  <si>
    <t>03/15/2017</t>
  </si>
  <si>
    <t>04/15/2019</t>
  </si>
  <si>
    <t>11/16/2017</t>
  </si>
  <si>
    <t>04/27/2018</t>
  </si>
  <si>
    <t>08/07/2018</t>
  </si>
  <si>
    <t>01/31/2017</t>
  </si>
  <si>
    <t>12/09/2016</t>
  </si>
  <si>
    <t>06/25/2019</t>
  </si>
  <si>
    <t>03/14/2018</t>
  </si>
  <si>
    <t>08/20/2018</t>
  </si>
  <si>
    <t>01/25/2018</t>
  </si>
  <si>
    <t>03/13/2018</t>
  </si>
  <si>
    <t>06/24/2016</t>
  </si>
  <si>
    <t>04/26/2017</t>
  </si>
  <si>
    <t>05/17/2017</t>
  </si>
  <si>
    <t>01/30/2018</t>
  </si>
  <si>
    <t>12/28/2016</t>
  </si>
  <si>
    <t>09/21/2017</t>
  </si>
  <si>
    <t>05/03/2018</t>
  </si>
  <si>
    <t>05/02/2019</t>
  </si>
  <si>
    <t>09/14/2016</t>
  </si>
  <si>
    <t>07/05/2018</t>
  </si>
  <si>
    <t>05/21/2018</t>
  </si>
  <si>
    <t>04/05/2017</t>
  </si>
  <si>
    <t>05/08/2018</t>
  </si>
  <si>
    <t>05/25/2017</t>
  </si>
  <si>
    <t>08/14/2017</t>
  </si>
  <si>
    <t>04/18/2017</t>
  </si>
  <si>
    <t>10/11/2018</t>
  </si>
  <si>
    <t>05/24/2017</t>
  </si>
  <si>
    <t>11/02/2017</t>
  </si>
  <si>
    <t>01/09/2018</t>
  </si>
  <si>
    <t>01/18/2018</t>
  </si>
  <si>
    <t>02/10/2017</t>
  </si>
  <si>
    <t>10/24/2014</t>
  </si>
  <si>
    <t>05/22/2019</t>
  </si>
  <si>
    <t>12/07/2018</t>
  </si>
  <si>
    <t>05/31/2019</t>
  </si>
  <si>
    <t>08/02/2017</t>
  </si>
  <si>
    <t>03/01/2018</t>
  </si>
  <si>
    <t>12/08/2015</t>
  </si>
  <si>
    <t>08/23/2017</t>
  </si>
  <si>
    <t>05/09/2017</t>
  </si>
  <si>
    <t>05/17/2018</t>
  </si>
  <si>
    <t>05/05/2017</t>
  </si>
  <si>
    <t>07/03/2017</t>
  </si>
  <si>
    <t>08/06/2018</t>
  </si>
  <si>
    <t>12/07/2016</t>
  </si>
  <si>
    <t>10/31/2018</t>
  </si>
  <si>
    <t>02/20/2019</t>
  </si>
  <si>
    <t>07/11/2016</t>
  </si>
  <si>
    <t>09/17/2018</t>
  </si>
  <si>
    <t>07/18/2018</t>
  </si>
  <si>
    <t>03/01/2019</t>
  </si>
  <si>
    <t>06/18/2018</t>
  </si>
  <si>
    <t>07/25/2018</t>
  </si>
  <si>
    <t>06/14/2018</t>
  </si>
  <si>
    <t>01/10/2017</t>
  </si>
  <si>
    <t>11/19/2018</t>
  </si>
  <si>
    <t>09/12/2016</t>
  </si>
  <si>
    <t>05/19/2017</t>
  </si>
  <si>
    <t>03/24/2017</t>
  </si>
  <si>
    <t>01/26/2018</t>
  </si>
  <si>
    <t>12/20/2017</t>
  </si>
  <si>
    <t>02/07/2018</t>
  </si>
  <si>
    <t>02/22/2017</t>
  </si>
  <si>
    <t>11/06/2017</t>
  </si>
  <si>
    <t>01/12/2018</t>
  </si>
  <si>
    <t>02/15/2018</t>
  </si>
  <si>
    <t>03/17/2017</t>
  </si>
  <si>
    <t>04/10/2017</t>
  </si>
  <si>
    <t>04/30/2018</t>
  </si>
  <si>
    <t>05/31/2018</t>
  </si>
  <si>
    <t>04/07/2017</t>
  </si>
  <si>
    <t>07/21/2016</t>
  </si>
  <si>
    <t>06/04/2018</t>
  </si>
  <si>
    <t>06/29/2018</t>
  </si>
  <si>
    <t>12/16/2016</t>
  </si>
  <si>
    <t>06/12/2019</t>
  </si>
  <si>
    <t>09/11/2018</t>
  </si>
  <si>
    <t>03/08/2017</t>
  </si>
  <si>
    <t>07/05/2017</t>
  </si>
  <si>
    <t>07/13/2017</t>
  </si>
  <si>
    <t>09/01/2017</t>
  </si>
  <si>
    <t>05/22/2018</t>
  </si>
  <si>
    <t>11/09/2018</t>
  </si>
  <si>
    <t>03/08/2018</t>
  </si>
  <si>
    <t>08/29/2018</t>
  </si>
  <si>
    <t>06/21/2019</t>
  </si>
  <si>
    <t>02/17/2016</t>
  </si>
  <si>
    <t>04/19/2018</t>
  </si>
  <si>
    <t>12/29/2017</t>
  </si>
  <si>
    <t>03/27/2018</t>
  </si>
  <si>
    <t>10/28/2016</t>
  </si>
  <si>
    <t>12/01/2016</t>
  </si>
  <si>
    <t>01/05/2018</t>
  </si>
  <si>
    <t>12/10/2018</t>
  </si>
  <si>
    <t>05/25/2018</t>
  </si>
  <si>
    <t>02/21/2019</t>
  </si>
  <si>
    <t>12/28/2018</t>
  </si>
  <si>
    <t>08/02/2018</t>
  </si>
  <si>
    <t>07/27/2018</t>
  </si>
  <si>
    <t>12/30/2016</t>
  </si>
  <si>
    <t>06/06/2018</t>
  </si>
  <si>
    <t>08/16/2018</t>
  </si>
  <si>
    <t>03/23/2018</t>
  </si>
  <si>
    <t>03/22/2018</t>
  </si>
  <si>
    <t>05/22/2017</t>
  </si>
  <si>
    <t>06/22/2017</t>
  </si>
  <si>
    <t>07/07/2017</t>
  </si>
  <si>
    <t>05/09/2018</t>
  </si>
  <si>
    <t>03/28/2019</t>
  </si>
  <si>
    <t>06/03/2019</t>
  </si>
  <si>
    <t>06/06/2019</t>
  </si>
  <si>
    <t>12/01/2017</t>
  </si>
  <si>
    <t>03/11/2019</t>
  </si>
  <si>
    <t>06/13/2017</t>
  </si>
  <si>
    <t>03/19/2018</t>
  </si>
  <si>
    <t>12/07/2017</t>
  </si>
  <si>
    <t>04/04/2018</t>
  </si>
  <si>
    <t>01/19/2018</t>
  </si>
  <si>
    <t>05/15/2019</t>
  </si>
  <si>
    <t>01/28/2019</t>
  </si>
  <si>
    <t>06/20/2019</t>
  </si>
  <si>
    <t>01/19/2017</t>
  </si>
  <si>
    <t>08/29/2017</t>
  </si>
  <si>
    <t>12/27/2017</t>
  </si>
  <si>
    <t>06/08/2017</t>
  </si>
  <si>
    <t>01/31/2019</t>
  </si>
  <si>
    <t>12/12/2016</t>
  </si>
  <si>
    <t>01/02/2018</t>
  </si>
  <si>
    <t>05/31/2016</t>
  </si>
  <si>
    <t>02/04/2019</t>
  </si>
  <si>
    <t>01/24/2018</t>
  </si>
  <si>
    <t>12/19/2016</t>
  </si>
  <si>
    <t>05/30/2017</t>
  </si>
  <si>
    <t>09/26/2017</t>
  </si>
  <si>
    <t>06/15/2017</t>
  </si>
  <si>
    <t>05/11/2016</t>
  </si>
  <si>
    <t>07/13/2018</t>
  </si>
  <si>
    <t>06/27/2019</t>
  </si>
  <si>
    <t>03/27/2019</t>
  </si>
  <si>
    <t>06/15/2018</t>
  </si>
  <si>
    <t>04/11/2018</t>
  </si>
  <si>
    <t>07/16/2015</t>
  </si>
  <si>
    <t>10/21/2015</t>
  </si>
  <si>
    <t>01/20/2017</t>
  </si>
  <si>
    <t>05/14/2017</t>
  </si>
  <si>
    <t>10/24/2016</t>
  </si>
  <si>
    <t>11/01/2017</t>
  </si>
  <si>
    <t>03/29/2019</t>
  </si>
  <si>
    <t>03/26/2019</t>
  </si>
  <si>
    <t>10/10/2017</t>
  </si>
  <si>
    <t>02/16/2017</t>
  </si>
  <si>
    <t>11/16/2015</t>
  </si>
  <si>
    <t>08/28/2017</t>
  </si>
  <si>
    <t>05/10/2017</t>
  </si>
  <si>
    <t>10/20/2017</t>
  </si>
  <si>
    <t>09/07/2016</t>
  </si>
  <si>
    <t>12/27/2018</t>
  </si>
  <si>
    <t>05/07/2018</t>
  </si>
  <si>
    <t>01/29/2016</t>
  </si>
  <si>
    <t>07/25/2017</t>
  </si>
  <si>
    <t>06/25/2018</t>
  </si>
  <si>
    <t>07/23/2018</t>
  </si>
  <si>
    <t>12/20/2016</t>
  </si>
  <si>
    <t>09/05/2017</t>
  </si>
  <si>
    <t>10/12/2016</t>
  </si>
  <si>
    <t>04/24/2018</t>
  </si>
  <si>
    <t>06/05/2017</t>
  </si>
  <si>
    <t>06/14/2017</t>
  </si>
  <si>
    <t>12/14/2016</t>
  </si>
  <si>
    <t>10/12/2018</t>
  </si>
  <si>
    <t>10/19/2017</t>
  </si>
  <si>
    <t>07/18/2017</t>
  </si>
  <si>
    <t>09/15/2015</t>
  </si>
  <si>
    <t>01/06/2017</t>
  </si>
  <si>
    <t>06/21/2018</t>
  </si>
  <si>
    <t>02/19/2019</t>
  </si>
  <si>
    <t>03/28/2017</t>
  </si>
  <si>
    <t>02/14/2019</t>
  </si>
  <si>
    <t>03/02/2016</t>
  </si>
  <si>
    <t>04/02/2019</t>
  </si>
  <si>
    <t>11/30/2017</t>
  </si>
  <si>
    <t>08/23/2018</t>
  </si>
  <si>
    <t>10/01/2018</t>
  </si>
  <si>
    <t>12/13/2018</t>
  </si>
  <si>
    <t>07/15/2016</t>
  </si>
  <si>
    <t>05/04/2016</t>
  </si>
  <si>
    <t>11/28/2017</t>
  </si>
  <si>
    <t>10/02/2018</t>
  </si>
  <si>
    <t>10/26/2016</t>
  </si>
  <si>
    <t>03/20/2018</t>
  </si>
  <si>
    <t>11/13/2018</t>
  </si>
  <si>
    <t>04/03/2017</t>
  </si>
  <si>
    <t>06/02/2017</t>
  </si>
  <si>
    <t>03/29/2016</t>
  </si>
  <si>
    <t>01/11/2018</t>
  </si>
  <si>
    <t>07/12/2016</t>
  </si>
  <si>
    <t>06/12/2018</t>
  </si>
  <si>
    <t>11/24/2015</t>
  </si>
  <si>
    <t>01/04/2016</t>
  </si>
  <si>
    <t>05/01/2019</t>
  </si>
  <si>
    <t>04/25/2018</t>
  </si>
  <si>
    <t>03/29/2017</t>
  </si>
  <si>
    <t>03/31/2017</t>
  </si>
  <si>
    <t>11/29/2016</t>
  </si>
  <si>
    <t>10/26/2017</t>
  </si>
  <si>
    <t>02/01/2017</t>
  </si>
  <si>
    <t>07/28/2017</t>
  </si>
  <si>
    <t>10/15/2015</t>
  </si>
  <si>
    <t>09/18/2018</t>
  </si>
  <si>
    <t>01/31/2018</t>
  </si>
  <si>
    <t>09/28/2016</t>
  </si>
  <si>
    <t>01/29/2018</t>
  </si>
  <si>
    <t>01/24/2017</t>
  </si>
  <si>
    <t>02/22/2019</t>
  </si>
  <si>
    <t>05/06/2019</t>
  </si>
  <si>
    <t>05/14/2018</t>
  </si>
  <si>
    <t>12/22/2016</t>
  </si>
  <si>
    <t>10/02/2017</t>
  </si>
  <si>
    <t>11/03/2017</t>
  </si>
  <si>
    <t>03/07/2019</t>
  </si>
  <si>
    <t>06/18/2019</t>
  </si>
  <si>
    <t>05/07/2019</t>
  </si>
  <si>
    <t>06/12/2017</t>
  </si>
  <si>
    <t>10/04/2017</t>
  </si>
  <si>
    <t>05/10/2018</t>
  </si>
  <si>
    <t>03/26/2018</t>
  </si>
  <si>
    <t>08/22/2018</t>
  </si>
  <si>
    <t>07/13/2015</t>
  </si>
  <si>
    <t>01/17/2017</t>
  </si>
  <si>
    <t>04/06/2017</t>
  </si>
  <si>
    <t>04/26/2018</t>
  </si>
  <si>
    <t>10/11/2017</t>
  </si>
  <si>
    <t>06/28/2017</t>
  </si>
  <si>
    <t>05/16/2019</t>
  </si>
  <si>
    <t>10/12/2017</t>
  </si>
  <si>
    <t>07/30/2018</t>
  </si>
  <si>
    <t>05/31/2017</t>
  </si>
  <si>
    <t>09/27/2017</t>
  </si>
  <si>
    <t>10/13/2017</t>
  </si>
  <si>
    <t>02/16/2018</t>
  </si>
  <si>
    <t>02/27/2019</t>
  </si>
  <si>
    <t>02/21/2018</t>
  </si>
  <si>
    <t>04/18/2018</t>
  </si>
  <si>
    <t>08/04/2017</t>
  </si>
  <si>
    <t>12/03/2018</t>
  </si>
  <si>
    <t>05/30/2019</t>
  </si>
  <si>
    <t>03/27/2017</t>
  </si>
  <si>
    <t>02/09/2018</t>
  </si>
  <si>
    <t>12/08/2016</t>
  </si>
  <si>
    <t>03/09/2017</t>
  </si>
  <si>
    <t>12/12/2018</t>
  </si>
  <si>
    <t>12/13/2016</t>
  </si>
  <si>
    <t>09/23/2016</t>
  </si>
  <si>
    <t>03/22/2017</t>
  </si>
  <si>
    <t>08/10/2018</t>
  </si>
  <si>
    <t>09/20/2017</t>
  </si>
  <si>
    <t>04/27/2016</t>
  </si>
  <si>
    <t>06/05/2018</t>
  </si>
  <si>
    <t>09/11/2017</t>
  </si>
  <si>
    <t>01/09/2017</t>
  </si>
  <si>
    <t>05/25/2016</t>
  </si>
  <si>
    <t>10/19/2018</t>
  </si>
  <si>
    <t>10/25/2018</t>
  </si>
  <si>
    <t>10/03/2018</t>
  </si>
  <si>
    <t>11/29/2018</t>
  </si>
  <si>
    <t>12/06/2018</t>
  </si>
  <si>
    <t>07/09/2018</t>
  </si>
  <si>
    <t>06/17/2019</t>
  </si>
  <si>
    <t>03/18/2019</t>
  </si>
  <si>
    <t>06/07/2019</t>
  </si>
  <si>
    <t>12/31/2018</t>
  </si>
  <si>
    <t>06/24/2019</t>
  </si>
  <si>
    <t>12/21/2018</t>
  </si>
  <si>
    <t>12/04/2018</t>
  </si>
  <si>
    <t>07/01/2019</t>
  </si>
  <si>
    <t>06/26/2019</t>
  </si>
  <si>
    <t>12/09/2018</t>
  </si>
  <si>
    <t>12/05/2018</t>
  </si>
  <si>
    <t>08/27/2018</t>
  </si>
  <si>
    <t>02/11/2019</t>
  </si>
  <si>
    <t>01/18/2019</t>
  </si>
  <si>
    <t>12/17/2018</t>
  </si>
  <si>
    <t>04/18/2019</t>
  </si>
  <si>
    <t>11/16/2018</t>
  </si>
  <si>
    <t>07/08/2019</t>
  </si>
  <si>
    <t>04/11/2019</t>
  </si>
  <si>
    <t>07/09/2019</t>
  </si>
  <si>
    <t>04/29/2019</t>
  </si>
  <si>
    <t>06/05/2019</t>
  </si>
  <si>
    <t>05/28/2019</t>
  </si>
  <si>
    <t>04/10/2019</t>
  </si>
  <si>
    <t>05/21/2019</t>
  </si>
  <si>
    <t>04/08/2019</t>
  </si>
  <si>
    <t>06/11/2019</t>
  </si>
  <si>
    <t>11/14/2018</t>
  </si>
  <si>
    <t>05/10/2019</t>
  </si>
  <si>
    <t>05/17/2019</t>
  </si>
  <si>
    <t>07/02/2019</t>
  </si>
  <si>
    <t>Shevell</t>
  </si>
  <si>
    <t>Andrei</t>
  </si>
  <si>
    <t>Ernie</t>
  </si>
  <si>
    <t>Ekaterina</t>
  </si>
  <si>
    <t>Tiffany</t>
  </si>
  <si>
    <t>Toni</t>
  </si>
  <si>
    <t>Mary</t>
  </si>
  <si>
    <t>Jenny</t>
  </si>
  <si>
    <t>Denasia</t>
  </si>
  <si>
    <t>Azor</t>
  </si>
  <si>
    <t>Jonathan</t>
  </si>
  <si>
    <t>David</t>
  </si>
  <si>
    <t>Troy</t>
  </si>
  <si>
    <t>Rosemary</t>
  </si>
  <si>
    <t>Rosa</t>
  </si>
  <si>
    <t>Blanca</t>
  </si>
  <si>
    <t>Mercedes</t>
  </si>
  <si>
    <t>Nevien</t>
  </si>
  <si>
    <t>Orquidea</t>
  </si>
  <si>
    <t>Tamerlane</t>
  </si>
  <si>
    <t>Edito</t>
  </si>
  <si>
    <t>Miguel</t>
  </si>
  <si>
    <t>Alba</t>
  </si>
  <si>
    <t>Amarilis</t>
  </si>
  <si>
    <t>Yaribel</t>
  </si>
  <si>
    <t>Marina</t>
  </si>
  <si>
    <t>Raquel</t>
  </si>
  <si>
    <t>Ramona</t>
  </si>
  <si>
    <t>Gabriela</t>
  </si>
  <si>
    <t>Carmen</t>
  </si>
  <si>
    <t>Modesto</t>
  </si>
  <si>
    <t>Angelina</t>
  </si>
  <si>
    <t>Claudina</t>
  </si>
  <si>
    <t>Rafael</t>
  </si>
  <si>
    <t>Bienvenida</t>
  </si>
  <si>
    <t>Sonia</t>
  </si>
  <si>
    <t>Melinda</t>
  </si>
  <si>
    <t>Ana</t>
  </si>
  <si>
    <t>Ligia</t>
  </si>
  <si>
    <t>Evelina</t>
  </si>
  <si>
    <t>Chris</t>
  </si>
  <si>
    <t>Simona</t>
  </si>
  <si>
    <t>Estela</t>
  </si>
  <si>
    <t>Maria</t>
  </si>
  <si>
    <t>Patrice</t>
  </si>
  <si>
    <t>Karen</t>
  </si>
  <si>
    <t>Amjad</t>
  </si>
  <si>
    <t>Cristina</t>
  </si>
  <si>
    <t>Jose</t>
  </si>
  <si>
    <t>Carl</t>
  </si>
  <si>
    <t>Paul</t>
  </si>
  <si>
    <t>Lugena</t>
  </si>
  <si>
    <t>Amanda</t>
  </si>
  <si>
    <t>Dalia Jaqueline</t>
  </si>
  <si>
    <t>Nadia</t>
  </si>
  <si>
    <t>Njeri</t>
  </si>
  <si>
    <t>Atagracia</t>
  </si>
  <si>
    <t>John</t>
  </si>
  <si>
    <t>Venus</t>
  </si>
  <si>
    <t>Lillian</t>
  </si>
  <si>
    <t>Eric</t>
  </si>
  <si>
    <t>Earl</t>
  </si>
  <si>
    <t>Bonnie</t>
  </si>
  <si>
    <t>Darryl</t>
  </si>
  <si>
    <t>Steven</t>
  </si>
  <si>
    <t>Catalano</t>
  </si>
  <si>
    <t>Senait</t>
  </si>
  <si>
    <t>Jon</t>
  </si>
  <si>
    <t>Kafula</t>
  </si>
  <si>
    <t>Katie</t>
  </si>
  <si>
    <t>Linda</t>
  </si>
  <si>
    <t>Gerad</t>
  </si>
  <si>
    <t>Carolyn</t>
  </si>
  <si>
    <t>Elizabeth</t>
  </si>
  <si>
    <t>Erika</t>
  </si>
  <si>
    <t>Raushan</t>
  </si>
  <si>
    <t>Mina</t>
  </si>
  <si>
    <t>Charles</t>
  </si>
  <si>
    <t>Waleska</t>
  </si>
  <si>
    <t>Jarrod</t>
  </si>
  <si>
    <t>Charmine</t>
  </si>
  <si>
    <t>Julia</t>
  </si>
  <si>
    <t>Florencia</t>
  </si>
  <si>
    <t>Dominique</t>
  </si>
  <si>
    <t>Jayson</t>
  </si>
  <si>
    <t>Yacily</t>
  </si>
  <si>
    <t>Akasha</t>
  </si>
  <si>
    <t>Cesar</t>
  </si>
  <si>
    <t>Omari</t>
  </si>
  <si>
    <t>Georgina</t>
  </si>
  <si>
    <t>Diamond</t>
  </si>
  <si>
    <t>Inocencia</t>
  </si>
  <si>
    <t>Hernan</t>
  </si>
  <si>
    <t>Rodney</t>
  </si>
  <si>
    <t>Robert</t>
  </si>
  <si>
    <t>Anthony</t>
  </si>
  <si>
    <t>Nicole</t>
  </si>
  <si>
    <t>Patricia</t>
  </si>
  <si>
    <t>Valesia</t>
  </si>
  <si>
    <t>Chaya</t>
  </si>
  <si>
    <t>Juan</t>
  </si>
  <si>
    <t>Bridgette</t>
  </si>
  <si>
    <t>Shaka</t>
  </si>
  <si>
    <t>Katheleen</t>
  </si>
  <si>
    <t>Amada</t>
  </si>
  <si>
    <t>Valerie</t>
  </si>
  <si>
    <t>Miriam</t>
  </si>
  <si>
    <t>Edward</t>
  </si>
  <si>
    <t>Lavien</t>
  </si>
  <si>
    <t>William</t>
  </si>
  <si>
    <t>Cleophuss</t>
  </si>
  <si>
    <t>Iris</t>
  </si>
  <si>
    <t>Magaly</t>
  </si>
  <si>
    <t>Allan</t>
  </si>
  <si>
    <t>Kai Ming</t>
  </si>
  <si>
    <t>Kathy</t>
  </si>
  <si>
    <t>Norma</t>
  </si>
  <si>
    <t>Denise</t>
  </si>
  <si>
    <t>Faisa</t>
  </si>
  <si>
    <t>Noemi</t>
  </si>
  <si>
    <t>Rachel</t>
  </si>
  <si>
    <t>Juanitha</t>
  </si>
  <si>
    <t>JoAnn</t>
  </si>
  <si>
    <t>Lizette</t>
  </si>
  <si>
    <t>Maribel</t>
  </si>
  <si>
    <t>Gladys</t>
  </si>
  <si>
    <t>Susanne</t>
  </si>
  <si>
    <t>Genesis</t>
  </si>
  <si>
    <t>Leslie</t>
  </si>
  <si>
    <t>Dayana</t>
  </si>
  <si>
    <t>Carlos</t>
  </si>
  <si>
    <t>LaQuinta</t>
  </si>
  <si>
    <t>Ida</t>
  </si>
  <si>
    <t>Delroy</t>
  </si>
  <si>
    <t>Alison</t>
  </si>
  <si>
    <t>Rastko</t>
  </si>
  <si>
    <t>Judy</t>
  </si>
  <si>
    <t>Shaquana</t>
  </si>
  <si>
    <t>Latresa</t>
  </si>
  <si>
    <t>Mohammad</t>
  </si>
  <si>
    <t>Asia</t>
  </si>
  <si>
    <t>Melanie</t>
  </si>
  <si>
    <t>Holly</t>
  </si>
  <si>
    <t>Hilda</t>
  </si>
  <si>
    <t>Jaime</t>
  </si>
  <si>
    <t>Sharon</t>
  </si>
  <si>
    <t>Evelyn</t>
  </si>
  <si>
    <t>Devin</t>
  </si>
  <si>
    <t>Elsie</t>
  </si>
  <si>
    <t>Regina</t>
  </si>
  <si>
    <t>Tiona</t>
  </si>
  <si>
    <t>Myra</t>
  </si>
  <si>
    <t>Sally</t>
  </si>
  <si>
    <t>Juana</t>
  </si>
  <si>
    <t>Thomas</t>
  </si>
  <si>
    <t>Tasha</t>
  </si>
  <si>
    <t>Mirely</t>
  </si>
  <si>
    <t>James</t>
  </si>
  <si>
    <t>Stephanie</t>
  </si>
  <si>
    <t>Nicolas</t>
  </si>
  <si>
    <t>Loida</t>
  </si>
  <si>
    <t>Bertha</t>
  </si>
  <si>
    <t>Lena</t>
  </si>
  <si>
    <t>Olga</t>
  </si>
  <si>
    <t>Silvia</t>
  </si>
  <si>
    <t>Deborah</t>
  </si>
  <si>
    <t>Sharmance</t>
  </si>
  <si>
    <t>Belgica</t>
  </si>
  <si>
    <t>Emilio</t>
  </si>
  <si>
    <t>Virgilio</t>
  </si>
  <si>
    <t>Rosalida</t>
  </si>
  <si>
    <t>Yoani</t>
  </si>
  <si>
    <t>Julio</t>
  </si>
  <si>
    <t>Cora</t>
  </si>
  <si>
    <t>Brunilda</t>
  </si>
  <si>
    <t>Katty</t>
  </si>
  <si>
    <t>Katherine</t>
  </si>
  <si>
    <t>Guo Ping</t>
  </si>
  <si>
    <t>Roquelia</t>
  </si>
  <si>
    <t>Adelina</t>
  </si>
  <si>
    <t>Nathan</t>
  </si>
  <si>
    <t>Belkis</t>
  </si>
  <si>
    <t>Isabel</t>
  </si>
  <si>
    <t>Pura</t>
  </si>
  <si>
    <t>Eduvigis</t>
  </si>
  <si>
    <t>Celiana</t>
  </si>
  <si>
    <t>Bernice</t>
  </si>
  <si>
    <t>Barbara</t>
  </si>
  <si>
    <t>Migdalia</t>
  </si>
  <si>
    <t>Fol</t>
  </si>
  <si>
    <t>Fausto</t>
  </si>
  <si>
    <t>Thelma</t>
  </si>
  <si>
    <t>Loi Sao</t>
  </si>
  <si>
    <t>Maria de los Angeles</t>
  </si>
  <si>
    <t>Elena</t>
  </si>
  <si>
    <t>Cynthia</t>
  </si>
  <si>
    <t>Michelle</t>
  </si>
  <si>
    <t>Cruz</t>
  </si>
  <si>
    <t>Marjorie</t>
  </si>
  <si>
    <t>Rafaelina</t>
  </si>
  <si>
    <t>Josmely</t>
  </si>
  <si>
    <t>Donald</t>
  </si>
  <si>
    <t>Guillermo</t>
  </si>
  <si>
    <t>Melido</t>
  </si>
  <si>
    <t>Ada</t>
  </si>
  <si>
    <t>Bernarda</t>
  </si>
  <si>
    <t>Diego</t>
  </si>
  <si>
    <t>Dolores</t>
  </si>
  <si>
    <t>Nadya</t>
  </si>
  <si>
    <t>Timonthy</t>
  </si>
  <si>
    <t>Yolanda</t>
  </si>
  <si>
    <t>Domingo</t>
  </si>
  <si>
    <t>Maritza</t>
  </si>
  <si>
    <t>Eni</t>
  </si>
  <si>
    <t>Frances</t>
  </si>
  <si>
    <t>Caroline</t>
  </si>
  <si>
    <t>Ai</t>
  </si>
  <si>
    <t>Sollinda</t>
  </si>
  <si>
    <t>Sylvia</t>
  </si>
  <si>
    <t>Mirella</t>
  </si>
  <si>
    <t>Ludis</t>
  </si>
  <si>
    <t>Rosita</t>
  </si>
  <si>
    <t>Elina</t>
  </si>
  <si>
    <t>Darneice</t>
  </si>
  <si>
    <t>Celia</t>
  </si>
  <si>
    <t>Shu Tim</t>
  </si>
  <si>
    <t>Lee</t>
  </si>
  <si>
    <t>Yi</t>
  </si>
  <si>
    <t>Tasliym</t>
  </si>
  <si>
    <t>Julie</t>
  </si>
  <si>
    <t>Teofila</t>
  </si>
  <si>
    <t>Misae</t>
  </si>
  <si>
    <t>Teresa</t>
  </si>
  <si>
    <t>Sandra</t>
  </si>
  <si>
    <t>Pedro</t>
  </si>
  <si>
    <t>Louise</t>
  </si>
  <si>
    <t>Mokdul</t>
  </si>
  <si>
    <t>Damaris</t>
  </si>
  <si>
    <t>Rodolfo</t>
  </si>
  <si>
    <t>Maximiliano</t>
  </si>
  <si>
    <t>Sarah</t>
  </si>
  <si>
    <t>Tariq</t>
  </si>
  <si>
    <t>Carol</t>
  </si>
  <si>
    <t>Jorge</t>
  </si>
  <si>
    <t>Braulia</t>
  </si>
  <si>
    <t>Sikhumbuzo</t>
  </si>
  <si>
    <t>Eulogio</t>
  </si>
  <si>
    <t>Alma</t>
  </si>
  <si>
    <t>Fiordaliza</t>
  </si>
  <si>
    <t>Fedora</t>
  </si>
  <si>
    <t>Hope</t>
  </si>
  <si>
    <t>Romula</t>
  </si>
  <si>
    <t>Lynette</t>
  </si>
  <si>
    <t>Dulce</t>
  </si>
  <si>
    <t>Aida</t>
  </si>
  <si>
    <t>Barreiro</t>
  </si>
  <si>
    <t>Akitsu</t>
  </si>
  <si>
    <t>Engracia</t>
  </si>
  <si>
    <t>Amelia</t>
  </si>
  <si>
    <t>Leonard</t>
  </si>
  <si>
    <t>Zoila</t>
  </si>
  <si>
    <t>Alexis</t>
  </si>
  <si>
    <t>Xiomara</t>
  </si>
  <si>
    <t>Onaira</t>
  </si>
  <si>
    <t>Malika</t>
  </si>
  <si>
    <t>Wen Ke</t>
  </si>
  <si>
    <t>Ruby</t>
  </si>
  <si>
    <t>Milady</t>
  </si>
  <si>
    <t>Magdalena</t>
  </si>
  <si>
    <t>Alida</t>
  </si>
  <si>
    <t>Juanita</t>
  </si>
  <si>
    <t>Estelle</t>
  </si>
  <si>
    <t>Patric</t>
  </si>
  <si>
    <t>Yajaira</t>
  </si>
  <si>
    <t>Roberto</t>
  </si>
  <si>
    <t>Gloria</t>
  </si>
  <si>
    <t>Sheila</t>
  </si>
  <si>
    <t>Francisca</t>
  </si>
  <si>
    <t>Adalberto</t>
  </si>
  <si>
    <t>Yudelka</t>
  </si>
  <si>
    <t>Veronica</t>
  </si>
  <si>
    <t>Albert</t>
  </si>
  <si>
    <t>Raheela</t>
  </si>
  <si>
    <t>Santa</t>
  </si>
  <si>
    <t>Alejandro</t>
  </si>
  <si>
    <t>Milagros</t>
  </si>
  <si>
    <t>Tania</t>
  </si>
  <si>
    <t>Nancy</t>
  </si>
  <si>
    <t>Angela</t>
  </si>
  <si>
    <t>Luz</t>
  </si>
  <si>
    <t>Martha</t>
  </si>
  <si>
    <t>Margarita</t>
  </si>
  <si>
    <t>Doris</t>
  </si>
  <si>
    <t>Luis</t>
  </si>
  <si>
    <t>Wilfredo</t>
  </si>
  <si>
    <t>Fresi</t>
  </si>
  <si>
    <t>Margirita</t>
  </si>
  <si>
    <t>Caridad</t>
  </si>
  <si>
    <t>Michael</t>
  </si>
  <si>
    <t>Myrtle</t>
  </si>
  <si>
    <t>Ycelsa</t>
  </si>
  <si>
    <t>Lussen</t>
  </si>
  <si>
    <t>Alexander</t>
  </si>
  <si>
    <t>Herbert</t>
  </si>
  <si>
    <t>Moumini</t>
  </si>
  <si>
    <t>Kathleen</t>
  </si>
  <si>
    <t>Maricela</t>
  </si>
  <si>
    <t>Peter</t>
  </si>
  <si>
    <t>Ciara</t>
  </si>
  <si>
    <t>Mildred</t>
  </si>
  <si>
    <t>Abdoulaye</t>
  </si>
  <si>
    <t>Shavell</t>
  </si>
  <si>
    <t>Zinzi</t>
  </si>
  <si>
    <t>Serena</t>
  </si>
  <si>
    <t>Diamari</t>
  </si>
  <si>
    <t>Nereyda</t>
  </si>
  <si>
    <t>Alan</t>
  </si>
  <si>
    <t>Liropeya</t>
  </si>
  <si>
    <t>Adolfo</t>
  </si>
  <si>
    <t>Minerva</t>
  </si>
  <si>
    <t>Luisa</t>
  </si>
  <si>
    <t>Manuela</t>
  </si>
  <si>
    <t>Lorenzo</t>
  </si>
  <si>
    <t>Xiao Yu</t>
  </si>
  <si>
    <t>Rene</t>
  </si>
  <si>
    <t>Francia</t>
  </si>
  <si>
    <t>Patrick</t>
  </si>
  <si>
    <t>Mireya</t>
  </si>
  <si>
    <t>Marcia</t>
  </si>
  <si>
    <t>Shui Jin</t>
  </si>
  <si>
    <t>Debbie</t>
  </si>
  <si>
    <t>Clara</t>
  </si>
  <si>
    <t>Eva</t>
  </si>
  <si>
    <t>Melvin</t>
  </si>
  <si>
    <t>Santos</t>
  </si>
  <si>
    <t>Altagracia</t>
  </si>
  <si>
    <t>Brigida</t>
  </si>
  <si>
    <t>Sultane</t>
  </si>
  <si>
    <t>Mona</t>
  </si>
  <si>
    <t>Fun Fong</t>
  </si>
  <si>
    <t>Riquilin</t>
  </si>
  <si>
    <t>Soffy</t>
  </si>
  <si>
    <t>Alice</t>
  </si>
  <si>
    <t>Josefa</t>
  </si>
  <si>
    <t>Ninoska</t>
  </si>
  <si>
    <t>Eucarina</t>
  </si>
  <si>
    <t>Victoria</t>
  </si>
  <si>
    <t>Reginald</t>
  </si>
  <si>
    <t>Shaon</t>
  </si>
  <si>
    <t>Josephine</t>
  </si>
  <si>
    <t>Jacqueline</t>
  </si>
  <si>
    <t>Violanda</t>
  </si>
  <si>
    <t>Germania</t>
  </si>
  <si>
    <t>Pilar</t>
  </si>
  <si>
    <t>Dominga</t>
  </si>
  <si>
    <t>Deline</t>
  </si>
  <si>
    <t>Alicia</t>
  </si>
  <si>
    <t>Alexandra</t>
  </si>
  <si>
    <t>Chantal</t>
  </si>
  <si>
    <t>Rolando</t>
  </si>
  <si>
    <t>Margaret</t>
  </si>
  <si>
    <t>Luna</t>
  </si>
  <si>
    <t>Hattie</t>
  </si>
  <si>
    <t>Miguelina</t>
  </si>
  <si>
    <t>Ren Yun</t>
  </si>
  <si>
    <t>Doug</t>
  </si>
  <si>
    <t>Estanislao</t>
  </si>
  <si>
    <t>Davene</t>
  </si>
  <si>
    <t>Leonardo</t>
  </si>
  <si>
    <t>Genovera</t>
  </si>
  <si>
    <t>Zulma</t>
  </si>
  <si>
    <t>Candida</t>
  </si>
  <si>
    <t>Benita</t>
  </si>
  <si>
    <t>Ileana</t>
  </si>
  <si>
    <t>Lizzette</t>
  </si>
  <si>
    <t>George</t>
  </si>
  <si>
    <t>Florentina</t>
  </si>
  <si>
    <t>Rhonda</t>
  </si>
  <si>
    <t>Marilyn</t>
  </si>
  <si>
    <t>Eddy</t>
  </si>
  <si>
    <t>Mariana</t>
  </si>
  <si>
    <t>Clarita</t>
  </si>
  <si>
    <t>Carmelo</t>
  </si>
  <si>
    <t>Rebekah</t>
  </si>
  <si>
    <t>Crimilda</t>
  </si>
  <si>
    <t>Alfonso</t>
  </si>
  <si>
    <t>Eusebio</t>
  </si>
  <si>
    <t>Gregorio</t>
  </si>
  <si>
    <t>Ydalia</t>
  </si>
  <si>
    <t>Debra</t>
  </si>
  <si>
    <t>Nery</t>
  </si>
  <si>
    <t>Yovani</t>
  </si>
  <si>
    <t>Lili</t>
  </si>
  <si>
    <t>Mayra</t>
  </si>
  <si>
    <t>Bonita</t>
  </si>
  <si>
    <t>Donisha</t>
  </si>
  <si>
    <t>Steve</t>
  </si>
  <si>
    <t>Mirian</t>
  </si>
  <si>
    <t>Nilda</t>
  </si>
  <si>
    <t>Felipa</t>
  </si>
  <si>
    <t>Marieme</t>
  </si>
  <si>
    <t>Neris</t>
  </si>
  <si>
    <t>Cathy</t>
  </si>
  <si>
    <t>Ernestina</t>
  </si>
  <si>
    <t>Catherine</t>
  </si>
  <si>
    <t>Dinora</t>
  </si>
  <si>
    <t>Harouna</t>
  </si>
  <si>
    <t>Rubin</t>
  </si>
  <si>
    <t>Glenda</t>
  </si>
  <si>
    <t>Ana Maria</t>
  </si>
  <si>
    <t>Aleida</t>
  </si>
  <si>
    <t>Clarence</t>
  </si>
  <si>
    <t>Choi Haug</t>
  </si>
  <si>
    <t>Mario</t>
  </si>
  <si>
    <t>Vilma</t>
  </si>
  <si>
    <t>Sherry</t>
  </si>
  <si>
    <t>Andrea</t>
  </si>
  <si>
    <t>Johanna</t>
  </si>
  <si>
    <t>Esperanza</t>
  </si>
  <si>
    <t>Felix</t>
  </si>
  <si>
    <t>Sergio</t>
  </si>
  <si>
    <t>Carolina</t>
  </si>
  <si>
    <t>Niolka</t>
  </si>
  <si>
    <t>Angie</t>
  </si>
  <si>
    <t>Helen</t>
  </si>
  <si>
    <t>Enma</t>
  </si>
  <si>
    <t>Beatriz</t>
  </si>
  <si>
    <t>Hocasta</t>
  </si>
  <si>
    <t>Jessica</t>
  </si>
  <si>
    <t>Daniel</t>
  </si>
  <si>
    <t>Danette</t>
  </si>
  <si>
    <t>Alyssa</t>
  </si>
  <si>
    <t>Temistocles</t>
  </si>
  <si>
    <t>Thembeni</t>
  </si>
  <si>
    <t>Aura</t>
  </si>
  <si>
    <t>Mor</t>
  </si>
  <si>
    <t>Wai Yue</t>
  </si>
  <si>
    <t>Ruth</t>
  </si>
  <si>
    <t>Fernando</t>
  </si>
  <si>
    <t>Alfida</t>
  </si>
  <si>
    <t>Rosalia</t>
  </si>
  <si>
    <t>Jeannette</t>
  </si>
  <si>
    <t>Vera</t>
  </si>
  <si>
    <t>Daniella</t>
  </si>
  <si>
    <t>Dimaris</t>
  </si>
  <si>
    <t>Timothy</t>
  </si>
  <si>
    <t>Emmanuel</t>
  </si>
  <si>
    <t>Tim</t>
  </si>
  <si>
    <t>Ousmane</t>
  </si>
  <si>
    <t>Christina</t>
  </si>
  <si>
    <t>Epifania</t>
  </si>
  <si>
    <t>Antonio</t>
  </si>
  <si>
    <t>Danny</t>
  </si>
  <si>
    <t>Bethania</t>
  </si>
  <si>
    <t>Dimas</t>
  </si>
  <si>
    <t>Susan</t>
  </si>
  <si>
    <t>Francisco</t>
  </si>
  <si>
    <t>Phyllis</t>
  </si>
  <si>
    <t>Humberto</t>
  </si>
  <si>
    <t>Vernetta</t>
  </si>
  <si>
    <t>Theda</t>
  </si>
  <si>
    <t>Lucrecia</t>
  </si>
  <si>
    <t>Antonia</t>
  </si>
  <si>
    <t>Zobeida</t>
  </si>
  <si>
    <t>Marie</t>
  </si>
  <si>
    <t>Dawn</t>
  </si>
  <si>
    <t>Virginia</t>
  </si>
  <si>
    <t>Joaris</t>
  </si>
  <si>
    <t>Sokhna</t>
  </si>
  <si>
    <t>Victor</t>
  </si>
  <si>
    <t>Irene</t>
  </si>
  <si>
    <t>Ysabel</t>
  </si>
  <si>
    <t>Geraldine</t>
  </si>
  <si>
    <t>Jane</t>
  </si>
  <si>
    <t>Glenys</t>
  </si>
  <si>
    <t>Ylma</t>
  </si>
  <si>
    <t>Samantha</t>
  </si>
  <si>
    <t>Digna</t>
  </si>
  <si>
    <t>Frederic T.</t>
  </si>
  <si>
    <t>Noel</t>
  </si>
  <si>
    <t>Enrique</t>
  </si>
  <si>
    <t>Chekesha</t>
  </si>
  <si>
    <t>Jacinta</t>
  </si>
  <si>
    <t>Diana</t>
  </si>
  <si>
    <t>Miladys</t>
  </si>
  <si>
    <t>Viviana</t>
  </si>
  <si>
    <t>Evelis</t>
  </si>
  <si>
    <t>Mujahid</t>
  </si>
  <si>
    <t>Rosanna</t>
  </si>
  <si>
    <t>Amparo</t>
  </si>
  <si>
    <t>Damon</t>
  </si>
  <si>
    <t>Delfina</t>
  </si>
  <si>
    <t>Michel'le</t>
  </si>
  <si>
    <t>Nelson</t>
  </si>
  <si>
    <t>Wanda</t>
  </si>
  <si>
    <t>Quanda</t>
  </si>
  <si>
    <t>Angel</t>
  </si>
  <si>
    <t>Lishan</t>
  </si>
  <si>
    <t>Emilia</t>
  </si>
  <si>
    <t>Paula</t>
  </si>
  <si>
    <t>Ines</t>
  </si>
  <si>
    <t>Richardson</t>
  </si>
  <si>
    <t>Ernesto</t>
  </si>
  <si>
    <t>Yuri</t>
  </si>
  <si>
    <t>Christine</t>
  </si>
  <si>
    <t>Yaritza</t>
  </si>
  <si>
    <t>Giovanni</t>
  </si>
  <si>
    <t>Yanet</t>
  </si>
  <si>
    <t>Albita</t>
  </si>
  <si>
    <t>Agueda</t>
  </si>
  <si>
    <t>Allison</t>
  </si>
  <si>
    <t>Latanya</t>
  </si>
  <si>
    <t>Tamar</t>
  </si>
  <si>
    <t>Teodora</t>
  </si>
  <si>
    <t>Gisela</t>
  </si>
  <si>
    <t>Daisy</t>
  </si>
  <si>
    <t>Theodore</t>
  </si>
  <si>
    <t>Dagoberto</t>
  </si>
  <si>
    <t>Matilde</t>
  </si>
  <si>
    <t>Pucci</t>
  </si>
  <si>
    <t>Yesenia</t>
  </si>
  <si>
    <t>Ysonia</t>
  </si>
  <si>
    <t>Elvira</t>
  </si>
  <si>
    <t>Evaristo</t>
  </si>
  <si>
    <t>Acirde</t>
  </si>
  <si>
    <t>Rosse</t>
  </si>
  <si>
    <t>Bartola</t>
  </si>
  <si>
    <t>Ramira</t>
  </si>
  <si>
    <t>Veola</t>
  </si>
  <si>
    <t>Isaiah</t>
  </si>
  <si>
    <t>Benjamin</t>
  </si>
  <si>
    <t>Ediltrudis</t>
  </si>
  <si>
    <t>Tina</t>
  </si>
  <si>
    <t>Judelca</t>
  </si>
  <si>
    <t>Lucy</t>
  </si>
  <si>
    <t>Mau Fong</t>
  </si>
  <si>
    <t>Aydin</t>
  </si>
  <si>
    <t>Ilona</t>
  </si>
  <si>
    <t>Mark</t>
  </si>
  <si>
    <t>Dorothy</t>
  </si>
  <si>
    <t>Erdal</t>
  </si>
  <si>
    <t>Arelis</t>
  </si>
  <si>
    <t>Adela</t>
  </si>
  <si>
    <t>Hector</t>
  </si>
  <si>
    <t>Leonora</t>
  </si>
  <si>
    <t>Marcelina</t>
  </si>
  <si>
    <t>Kristen</t>
  </si>
  <si>
    <t>Charlotte</t>
  </si>
  <si>
    <t>Shaunte</t>
  </si>
  <si>
    <t>Clementina</t>
  </si>
  <si>
    <t>Anna</t>
  </si>
  <si>
    <t>Mardoqueo</t>
  </si>
  <si>
    <t>Idalia</t>
  </si>
  <si>
    <t>Jay</t>
  </si>
  <si>
    <t>Maurrissa</t>
  </si>
  <si>
    <t>Felicia</t>
  </si>
  <si>
    <t>Ramon</t>
  </si>
  <si>
    <t>Sasha</t>
  </si>
  <si>
    <t>Lilliam</t>
  </si>
  <si>
    <t>Eufemia</t>
  </si>
  <si>
    <t>Nikeea</t>
  </si>
  <si>
    <t>Kathryn</t>
  </si>
  <si>
    <t>Ellen</t>
  </si>
  <si>
    <t>Joe</t>
  </si>
  <si>
    <t>Nuris</t>
  </si>
  <si>
    <t>Sherete</t>
  </si>
  <si>
    <t>Reuben</t>
  </si>
  <si>
    <t>Arleen</t>
  </si>
  <si>
    <t>Khristen</t>
  </si>
  <si>
    <t>Penny</t>
  </si>
  <si>
    <t>Gema</t>
  </si>
  <si>
    <t>Edwin</t>
  </si>
  <si>
    <t>Leopoldo</t>
  </si>
  <si>
    <t>Flor</t>
  </si>
  <si>
    <t>Nila</t>
  </si>
  <si>
    <t>Joseph</t>
  </si>
  <si>
    <t>Esther</t>
  </si>
  <si>
    <t>Elminah</t>
  </si>
  <si>
    <t>Whitson</t>
  </si>
  <si>
    <t>Elida</t>
  </si>
  <si>
    <t>Erneticia</t>
  </si>
  <si>
    <t>Marlene</t>
  </si>
  <si>
    <t>Betty</t>
  </si>
  <si>
    <t>Lourdes</t>
  </si>
  <si>
    <t>Tara</t>
  </si>
  <si>
    <t>Manuel</t>
  </si>
  <si>
    <t>Ugurcan</t>
  </si>
  <si>
    <t>Aurora</t>
  </si>
  <si>
    <t>Madeline</t>
  </si>
  <si>
    <t>Juliana</t>
  </si>
  <si>
    <t>Annetta</t>
  </si>
  <si>
    <t>Carmela</t>
  </si>
  <si>
    <t>Adriano</t>
  </si>
  <si>
    <t>Haydee</t>
  </si>
  <si>
    <t>Diojones</t>
  </si>
  <si>
    <t>Annette</t>
  </si>
  <si>
    <t>ELsa</t>
  </si>
  <si>
    <t>Letea</t>
  </si>
  <si>
    <t>Maura</t>
  </si>
  <si>
    <t>Yvette</t>
  </si>
  <si>
    <t>Angelique</t>
  </si>
  <si>
    <t>Naomi</t>
  </si>
  <si>
    <t>Robin</t>
  </si>
  <si>
    <t>Flerida</t>
  </si>
  <si>
    <t>Rudy</t>
  </si>
  <si>
    <t>Leta</t>
  </si>
  <si>
    <t>Christopher</t>
  </si>
  <si>
    <t>Dalmar</t>
  </si>
  <si>
    <t>Eugene</t>
  </si>
  <si>
    <t>Benito</t>
  </si>
  <si>
    <t>Gamal</t>
  </si>
  <si>
    <t>Madina</t>
  </si>
  <si>
    <t>Michele</t>
  </si>
  <si>
    <t>Norris</t>
  </si>
  <si>
    <t>Modesta</t>
  </si>
  <si>
    <t>Zoraida</t>
  </si>
  <si>
    <t>Atania</t>
  </si>
  <si>
    <t>Trisha</t>
  </si>
  <si>
    <t>Ian</t>
  </si>
  <si>
    <t>Odalis</t>
  </si>
  <si>
    <t>Jia Na</t>
  </si>
  <si>
    <t>Shameeka</t>
  </si>
  <si>
    <t>Emerson</t>
  </si>
  <si>
    <t>Edna</t>
  </si>
  <si>
    <t>Hunter</t>
  </si>
  <si>
    <t>Zomara</t>
  </si>
  <si>
    <t>Abou</t>
  </si>
  <si>
    <t>Nader</t>
  </si>
  <si>
    <t>Enriqueta</t>
  </si>
  <si>
    <t>Camille</t>
  </si>
  <si>
    <t>Yordy</t>
  </si>
  <si>
    <t>Jesus</t>
  </si>
  <si>
    <t>Emily</t>
  </si>
  <si>
    <t>Grisel</t>
  </si>
  <si>
    <t>Diane</t>
  </si>
  <si>
    <t>Erick</t>
  </si>
  <si>
    <t>Elba</t>
  </si>
  <si>
    <t>Yovanni</t>
  </si>
  <si>
    <t>Beverly</t>
  </si>
  <si>
    <t>Irima</t>
  </si>
  <si>
    <t>Natividad</t>
  </si>
  <si>
    <t>Emeline</t>
  </si>
  <si>
    <t>Silda</t>
  </si>
  <si>
    <t>Aludin</t>
  </si>
  <si>
    <t>Marcella</t>
  </si>
  <si>
    <t>Lev</t>
  </si>
  <si>
    <t>Pamela</t>
  </si>
  <si>
    <t>Ziaul</t>
  </si>
  <si>
    <t>Walter</t>
  </si>
  <si>
    <t>Salluris</t>
  </si>
  <si>
    <t>Claribel</t>
  </si>
  <si>
    <t>Kanayo</t>
  </si>
  <si>
    <t>Crisanta</t>
  </si>
  <si>
    <t>Xiu Hua</t>
  </si>
  <si>
    <t>Hai</t>
  </si>
  <si>
    <t>Lucia</t>
  </si>
  <si>
    <t>Anny</t>
  </si>
  <si>
    <t>Vicente</t>
  </si>
  <si>
    <t>Hugolina</t>
  </si>
  <si>
    <t>Marianela</t>
  </si>
  <si>
    <t>Consuelo</t>
  </si>
  <si>
    <t>Richard</t>
  </si>
  <si>
    <t>Suzanne</t>
  </si>
  <si>
    <t>Arleigh</t>
  </si>
  <si>
    <t>Regla</t>
  </si>
  <si>
    <t>Josefina</t>
  </si>
  <si>
    <t>Tchaikvosky</t>
  </si>
  <si>
    <t>Heather</t>
  </si>
  <si>
    <t>Eudacia</t>
  </si>
  <si>
    <t>Tyhessia</t>
  </si>
  <si>
    <t>Susana</t>
  </si>
  <si>
    <t>Mariceth</t>
  </si>
  <si>
    <t>Rosalba</t>
  </si>
  <si>
    <t>Alsacia</t>
  </si>
  <si>
    <t>Tidiane</t>
  </si>
  <si>
    <t>Felipe</t>
  </si>
  <si>
    <t>Andres</t>
  </si>
  <si>
    <t>Segundo</t>
  </si>
  <si>
    <t>Afra</t>
  </si>
  <si>
    <t>Nidia</t>
  </si>
  <si>
    <t>Alina</t>
  </si>
  <si>
    <t>Madelin</t>
  </si>
  <si>
    <t>Nelly</t>
  </si>
  <si>
    <t>Loulou</t>
  </si>
  <si>
    <t>Aldora</t>
  </si>
  <si>
    <t>Lorraine</t>
  </si>
  <si>
    <t>Cosme</t>
  </si>
  <si>
    <t>Laura</t>
  </si>
  <si>
    <t>Admir</t>
  </si>
  <si>
    <t>Claudia</t>
  </si>
  <si>
    <t>Brannon</t>
  </si>
  <si>
    <t>Ariel</t>
  </si>
  <si>
    <t>Gretchen</t>
  </si>
  <si>
    <t>Elvida</t>
  </si>
  <si>
    <t>Carlo</t>
  </si>
  <si>
    <t>Amy</t>
  </si>
  <si>
    <t>Latoya</t>
  </si>
  <si>
    <t>Jasmine</t>
  </si>
  <si>
    <t>Ilza</t>
  </si>
  <si>
    <t>Raibely</t>
  </si>
  <si>
    <t>Brenda</t>
  </si>
  <si>
    <t>Rafaela</t>
  </si>
  <si>
    <t>Cherie</t>
  </si>
  <si>
    <t>Herminio</t>
  </si>
  <si>
    <t>Bernadette</t>
  </si>
  <si>
    <t>Angelita</t>
  </si>
  <si>
    <t>Clarissa</t>
  </si>
  <si>
    <t>Willinda</t>
  </si>
  <si>
    <t>Delia</t>
  </si>
  <si>
    <t>Washington</t>
  </si>
  <si>
    <t>Saralyn</t>
  </si>
  <si>
    <t>Ronny</t>
  </si>
  <si>
    <t>Harley</t>
  </si>
  <si>
    <t>Wilky</t>
  </si>
  <si>
    <t>Taquan</t>
  </si>
  <si>
    <t>Jo-ann</t>
  </si>
  <si>
    <t>Celenia`</t>
  </si>
  <si>
    <t>Wayne</t>
  </si>
  <si>
    <t>Abdelmegid</t>
  </si>
  <si>
    <t>Conrado</t>
  </si>
  <si>
    <t>Lidia</t>
  </si>
  <si>
    <t>Pramilla</t>
  </si>
  <si>
    <t>Catalina</t>
  </si>
  <si>
    <t>Roshay</t>
  </si>
  <si>
    <t>Cindy</t>
  </si>
  <si>
    <t>Iva</t>
  </si>
  <si>
    <t>Lucitania</t>
  </si>
  <si>
    <t>Raymond</t>
  </si>
  <si>
    <t>Judith</t>
  </si>
  <si>
    <t>Frederick</t>
  </si>
  <si>
    <t>Ioulia</t>
  </si>
  <si>
    <t>Jennifer</t>
  </si>
  <si>
    <t>Alfi</t>
  </si>
  <si>
    <t>You Ying</t>
  </si>
  <si>
    <t>Latisha</t>
  </si>
  <si>
    <t>Peggy</t>
  </si>
  <si>
    <t>Modou</t>
  </si>
  <si>
    <t>Elaine</t>
  </si>
  <si>
    <t>Nicholas</t>
  </si>
  <si>
    <t>Betsy</t>
  </si>
  <si>
    <t>Roxanna</t>
  </si>
  <si>
    <t>Tenisha</t>
  </si>
  <si>
    <t>Sabrina</t>
  </si>
  <si>
    <t>Teasha</t>
  </si>
  <si>
    <t>Tishawna</t>
  </si>
  <si>
    <t>Latonya</t>
  </si>
  <si>
    <t>Teofilo</t>
  </si>
  <si>
    <t>Freddy</t>
  </si>
  <si>
    <t>Kim</t>
  </si>
  <si>
    <t>Fatima</t>
  </si>
  <si>
    <t>Vanessa</t>
  </si>
  <si>
    <t>Santana</t>
  </si>
  <si>
    <t>Lurilla</t>
  </si>
  <si>
    <t>Lisa</t>
  </si>
  <si>
    <t>Gregory</t>
  </si>
  <si>
    <t>Javier</t>
  </si>
  <si>
    <t>Alex</t>
  </si>
  <si>
    <t>Armand</t>
  </si>
  <si>
    <t>Melissa</t>
  </si>
  <si>
    <t>Artist</t>
  </si>
  <si>
    <t>Luis Angel</t>
  </si>
  <si>
    <t>Dongqing</t>
  </si>
  <si>
    <t>Melida</t>
  </si>
  <si>
    <t>Ramiro</t>
  </si>
  <si>
    <t>Yudania</t>
  </si>
  <si>
    <t>Taje</t>
  </si>
  <si>
    <t>Yvanna</t>
  </si>
  <si>
    <t>Monique</t>
  </si>
  <si>
    <t>Lilia</t>
  </si>
  <si>
    <t>Alberto</t>
  </si>
  <si>
    <t>Taisha</t>
  </si>
  <si>
    <t>Souleymane</t>
  </si>
  <si>
    <t>Yanira</t>
  </si>
  <si>
    <t>Ashley</t>
  </si>
  <si>
    <t>Ari</t>
  </si>
  <si>
    <t>Basilicia</t>
  </si>
  <si>
    <t>Wilhelmina</t>
  </si>
  <si>
    <t>Jewell</t>
  </si>
  <si>
    <t>Nataly</t>
  </si>
  <si>
    <t>Agnes</t>
  </si>
  <si>
    <t>Nilsa</t>
  </si>
  <si>
    <t>Ellice</t>
  </si>
  <si>
    <t>Jonnie</t>
  </si>
  <si>
    <t>Rebecca</t>
  </si>
  <si>
    <t>Yamile</t>
  </si>
  <si>
    <t>Shirley</t>
  </si>
  <si>
    <t>Maira</t>
  </si>
  <si>
    <t>Mirza</t>
  </si>
  <si>
    <t>Ariana</t>
  </si>
  <si>
    <t>Fomdo</t>
  </si>
  <si>
    <t>Chaunte</t>
  </si>
  <si>
    <t>Mary-Beth</t>
  </si>
  <si>
    <t>Cristobal</t>
  </si>
  <si>
    <t>Grecia</t>
  </si>
  <si>
    <t>Sekou</t>
  </si>
  <si>
    <t>Moraima</t>
  </si>
  <si>
    <t>Rufino</t>
  </si>
  <si>
    <t>Ravi</t>
  </si>
  <si>
    <t>Becky</t>
  </si>
  <si>
    <t>Hong</t>
  </si>
  <si>
    <t>Paola</t>
  </si>
  <si>
    <t>Shazzia</t>
  </si>
  <si>
    <t>Renier</t>
  </si>
  <si>
    <t>Joseline</t>
  </si>
  <si>
    <t>Jasper</t>
  </si>
  <si>
    <t>Jeanette</t>
  </si>
  <si>
    <t>Vernice</t>
  </si>
  <si>
    <t>Wafaa</t>
  </si>
  <si>
    <t>Dakeisha</t>
  </si>
  <si>
    <t>Bukunmi</t>
  </si>
  <si>
    <t>Jerlyn</t>
  </si>
  <si>
    <t>Ezequiel</t>
  </si>
  <si>
    <t>Sabino</t>
  </si>
  <si>
    <t>Raul</t>
  </si>
  <si>
    <t>Fannye</t>
  </si>
  <si>
    <t>Sergei</t>
  </si>
  <si>
    <t>Jacylin</t>
  </si>
  <si>
    <t>Matthew</t>
  </si>
  <si>
    <t>Baudilia</t>
  </si>
  <si>
    <t>Lourine</t>
  </si>
  <si>
    <t>Natalie</t>
  </si>
  <si>
    <t>Alondrea</t>
  </si>
  <si>
    <t>Vicenta</t>
  </si>
  <si>
    <t>Siu Lan</t>
  </si>
  <si>
    <t>Lisbeth</t>
  </si>
  <si>
    <t>Jason</t>
  </si>
  <si>
    <t>Micia</t>
  </si>
  <si>
    <t>Adolphys</t>
  </si>
  <si>
    <t>Orlando</t>
  </si>
  <si>
    <t>Ronald</t>
  </si>
  <si>
    <t>Sandy</t>
  </si>
  <si>
    <t>Frank</t>
  </si>
  <si>
    <t>Isabelle</t>
  </si>
  <si>
    <t>Susie</t>
  </si>
  <si>
    <t>Abby</t>
  </si>
  <si>
    <t>Janelle</t>
  </si>
  <si>
    <t>Karl</t>
  </si>
  <si>
    <t>Henry</t>
  </si>
  <si>
    <t>Helga</t>
  </si>
  <si>
    <t>Molly</t>
  </si>
  <si>
    <t>Allana</t>
  </si>
  <si>
    <t>Joel</t>
  </si>
  <si>
    <t>Danielle</t>
  </si>
  <si>
    <t>Kelly</t>
  </si>
  <si>
    <t>Maryalice</t>
  </si>
  <si>
    <t>Shelley</t>
  </si>
  <si>
    <t>Abraham</t>
  </si>
  <si>
    <t>Emmett</t>
  </si>
  <si>
    <t>Gerardo</t>
  </si>
  <si>
    <t>Dennis</t>
  </si>
  <si>
    <t>Gina</t>
  </si>
  <si>
    <t>Laurel</t>
  </si>
  <si>
    <t>Hannah</t>
  </si>
  <si>
    <t>Aimee</t>
  </si>
  <si>
    <t>Lori</t>
  </si>
  <si>
    <t>Ricardo</t>
  </si>
  <si>
    <t>Brian</t>
  </si>
  <si>
    <t>Federick</t>
  </si>
  <si>
    <t>Kimberly</t>
  </si>
  <si>
    <t>Darren</t>
  </si>
  <si>
    <t>Renata</t>
  </si>
  <si>
    <t>Nucleo</t>
  </si>
  <si>
    <t>Jarrett</t>
  </si>
  <si>
    <t>Gloria Maria</t>
  </si>
  <si>
    <t>Jerome</t>
  </si>
  <si>
    <t>Renee</t>
  </si>
  <si>
    <t>Rama</t>
  </si>
  <si>
    <t>Dirk</t>
  </si>
  <si>
    <t>Yamit</t>
  </si>
  <si>
    <t>Sophia</t>
  </si>
  <si>
    <t>Alston</t>
  </si>
  <si>
    <t>Rvalov</t>
  </si>
  <si>
    <t>De los Santos</t>
  </si>
  <si>
    <t>Putinskaya</t>
  </si>
  <si>
    <t>Keeby</t>
  </si>
  <si>
    <t>Musa</t>
  </si>
  <si>
    <t>Verame</t>
  </si>
  <si>
    <t>Batista</t>
  </si>
  <si>
    <t>Kennedy</t>
  </si>
  <si>
    <t>Marinez</t>
  </si>
  <si>
    <t>Gottlieb</t>
  </si>
  <si>
    <t>Galan-Batista</t>
  </si>
  <si>
    <t>Cook</t>
  </si>
  <si>
    <t>Puello</t>
  </si>
  <si>
    <t>Genao</t>
  </si>
  <si>
    <t>Alvarado</t>
  </si>
  <si>
    <t>Polanco</t>
  </si>
  <si>
    <t>Acevedo</t>
  </si>
  <si>
    <t>Ibrahim</t>
  </si>
  <si>
    <t>Garcia</t>
  </si>
  <si>
    <t>Bey</t>
  </si>
  <si>
    <t>Reyes Peguero</t>
  </si>
  <si>
    <t>Franco</t>
  </si>
  <si>
    <t>Beltre</t>
  </si>
  <si>
    <t>Salazar</t>
  </si>
  <si>
    <t>Montes De Oca</t>
  </si>
  <si>
    <t>Guerrero</t>
  </si>
  <si>
    <t>Peralta</t>
  </si>
  <si>
    <t>Taveras</t>
  </si>
  <si>
    <t>Lora</t>
  </si>
  <si>
    <t>Lina</t>
  </si>
  <si>
    <t>De La Cruz</t>
  </si>
  <si>
    <t>Bravo</t>
  </si>
  <si>
    <t>Iturralde</t>
  </si>
  <si>
    <t>Rodriguez</t>
  </si>
  <si>
    <t>Razon</t>
  </si>
  <si>
    <t>Sanchez</t>
  </si>
  <si>
    <t>Volquez</t>
  </si>
  <si>
    <t>Sosa</t>
  </si>
  <si>
    <t>Perez</t>
  </si>
  <si>
    <t>Rivera</t>
  </si>
  <si>
    <t>Calcano</t>
  </si>
  <si>
    <t>Veliovic</t>
  </si>
  <si>
    <t>Pichardo</t>
  </si>
  <si>
    <t>Arias</t>
  </si>
  <si>
    <t>Diaz-Migoyo</t>
  </si>
  <si>
    <t>Taylor</t>
  </si>
  <si>
    <t>Qayyem</t>
  </si>
  <si>
    <t>Apararicio</t>
  </si>
  <si>
    <t>De la Cruz</t>
  </si>
  <si>
    <t>Klapper</t>
  </si>
  <si>
    <t>Yturbe</t>
  </si>
  <si>
    <t>Whitfield</t>
  </si>
  <si>
    <t>Gueits</t>
  </si>
  <si>
    <t>Cuevas Espinoza</t>
  </si>
  <si>
    <t>Mota</t>
  </si>
  <si>
    <t>Williams</t>
  </si>
  <si>
    <t>Manzan-Tom</t>
  </si>
  <si>
    <t>Orekunrin</t>
  </si>
  <si>
    <t>Otra</t>
  </si>
  <si>
    <t>Muriel</t>
  </si>
  <si>
    <t>Justiniano</t>
  </si>
  <si>
    <t>Pena</t>
  </si>
  <si>
    <t>Rosado</t>
  </si>
  <si>
    <t>Scott</t>
  </si>
  <si>
    <t>Boyuk</t>
  </si>
  <si>
    <t>Simmons</t>
  </si>
  <si>
    <t>McLain</t>
  </si>
  <si>
    <t>Salvatore</t>
  </si>
  <si>
    <t>Yohannes</t>
  </si>
  <si>
    <t>Weigand</t>
  </si>
  <si>
    <t>Chileshe</t>
  </si>
  <si>
    <t>Brehm</t>
  </si>
  <si>
    <t>Jaynes</t>
  </si>
  <si>
    <t>Audige</t>
  </si>
  <si>
    <t>Waldman</t>
  </si>
  <si>
    <t>Burke</t>
  </si>
  <si>
    <t>Abrams</t>
  </si>
  <si>
    <t>Bertin</t>
  </si>
  <si>
    <t>Kheir</t>
  </si>
  <si>
    <t>Keiers</t>
  </si>
  <si>
    <t>Portela</t>
  </si>
  <si>
    <t>Hernandez</t>
  </si>
  <si>
    <t>Brown</t>
  </si>
  <si>
    <t>Maloney</t>
  </si>
  <si>
    <t>Duarte</t>
  </si>
  <si>
    <t>Aguilar</t>
  </si>
  <si>
    <t>Dixon</t>
  </si>
  <si>
    <t>Woolley</t>
  </si>
  <si>
    <t>Fuerte</t>
  </si>
  <si>
    <t>Carpenter</t>
  </si>
  <si>
    <t>Gaston</t>
  </si>
  <si>
    <t>Baus</t>
  </si>
  <si>
    <t>Reid</t>
  </si>
  <si>
    <t>Craig</t>
  </si>
  <si>
    <t>Del Pilar Cabrera</t>
  </si>
  <si>
    <t>Martinez</t>
  </si>
  <si>
    <t>Newell</t>
  </si>
  <si>
    <t>Buchfuhrer</t>
  </si>
  <si>
    <t>Dickey</t>
  </si>
  <si>
    <t>Rainey</t>
  </si>
  <si>
    <t>Correa</t>
  </si>
  <si>
    <t>Bland</t>
  </si>
  <si>
    <t>Jackson</t>
  </si>
  <si>
    <t>caicedo</t>
  </si>
  <si>
    <t>King</t>
  </si>
  <si>
    <t>Tyler</t>
  </si>
  <si>
    <t>Banovich</t>
  </si>
  <si>
    <t>Chavez</t>
  </si>
  <si>
    <t>Barnes</t>
  </si>
  <si>
    <t>Ynfante</t>
  </si>
  <si>
    <t>Dean</t>
  </si>
  <si>
    <t>Sales</t>
  </si>
  <si>
    <t>Pagan</t>
  </si>
  <si>
    <t>Mathews</t>
  </si>
  <si>
    <t>Moronta</t>
  </si>
  <si>
    <t>Ramos</t>
  </si>
  <si>
    <t>Englander</t>
  </si>
  <si>
    <t>Mei</t>
  </si>
  <si>
    <t>Vanderhorst</t>
  </si>
  <si>
    <t>Reyes Sonhouse</t>
  </si>
  <si>
    <t>Rolon</t>
  </si>
  <si>
    <t>Miles Henry</t>
  </si>
  <si>
    <t>Ali</t>
  </si>
  <si>
    <t>Gomez</t>
  </si>
  <si>
    <t>Rowland</t>
  </si>
  <si>
    <t>Carter</t>
  </si>
  <si>
    <t>Spencer</t>
  </si>
  <si>
    <t>Soto</t>
  </si>
  <si>
    <t>Echevarria</t>
  </si>
  <si>
    <t>Harris Hudson</t>
  </si>
  <si>
    <t>Ragel</t>
  </si>
  <si>
    <t>Meilleur-Hardy</t>
  </si>
  <si>
    <t>Guzman</t>
  </si>
  <si>
    <t>Ramirez</t>
  </si>
  <si>
    <t>Felton</t>
  </si>
  <si>
    <t>Baker</t>
  </si>
  <si>
    <t>Dove</t>
  </si>
  <si>
    <t>Benson</t>
  </si>
  <si>
    <t>Kwon</t>
  </si>
  <si>
    <t>Choudhry</t>
  </si>
  <si>
    <t>Mckenzie</t>
  </si>
  <si>
    <t>Almonte</t>
  </si>
  <si>
    <t>Bellber</t>
  </si>
  <si>
    <t>Molyneaux</t>
  </si>
  <si>
    <t>Valle</t>
  </si>
  <si>
    <t>Garcia Valdez</t>
  </si>
  <si>
    <t>Chapman</t>
  </si>
  <si>
    <t>Leon</t>
  </si>
  <si>
    <t>Ross</t>
  </si>
  <si>
    <t>Estrella</t>
  </si>
  <si>
    <t>Choy</t>
  </si>
  <si>
    <t>Fleming</t>
  </si>
  <si>
    <t>Bermudez</t>
  </si>
  <si>
    <t>Osei-Oferi</t>
  </si>
  <si>
    <t>Robinson</t>
  </si>
  <si>
    <t>Pacifico</t>
  </si>
  <si>
    <t>Deitz</t>
  </si>
  <si>
    <t>Vasquez</t>
  </si>
  <si>
    <t>Cruz Balbi</t>
  </si>
  <si>
    <t>Pappas</t>
  </si>
  <si>
    <t>Roa</t>
  </si>
  <si>
    <t>Connolly</t>
  </si>
  <si>
    <t>Matos</t>
  </si>
  <si>
    <t>Croom</t>
  </si>
  <si>
    <t>Cockerl</t>
  </si>
  <si>
    <t>Suarez</t>
  </si>
  <si>
    <t>Marrero</t>
  </si>
  <si>
    <t>Melendez</t>
  </si>
  <si>
    <t>Pina</t>
  </si>
  <si>
    <t>Cabrera</t>
  </si>
  <si>
    <t>Keve Lier</t>
  </si>
  <si>
    <t>Greene</t>
  </si>
  <si>
    <t>Praylow</t>
  </si>
  <si>
    <t>Nivar</t>
  </si>
  <si>
    <t>Flores</t>
  </si>
  <si>
    <t>Silva</t>
  </si>
  <si>
    <t>Vargas</t>
  </si>
  <si>
    <t>Adames</t>
  </si>
  <si>
    <t>Ferreira</t>
  </si>
  <si>
    <t>Speller</t>
  </si>
  <si>
    <t>Imbert</t>
  </si>
  <si>
    <t>Tossas</t>
  </si>
  <si>
    <t>Moreau</t>
  </si>
  <si>
    <t>Jiang</t>
  </si>
  <si>
    <t>Ortega</t>
  </si>
  <si>
    <t>Lopez</t>
  </si>
  <si>
    <t>Cuevas</t>
  </si>
  <si>
    <t>Jimenez</t>
  </si>
  <si>
    <t>Johnson</t>
  </si>
  <si>
    <t>Lantigua</t>
  </si>
  <si>
    <t>Tejada</t>
  </si>
  <si>
    <t>Liriano</t>
  </si>
  <si>
    <t>Paulino</t>
  </si>
  <si>
    <t>Diaz</t>
  </si>
  <si>
    <t>Walker</t>
  </si>
  <si>
    <t>Munoz</t>
  </si>
  <si>
    <t>Cheng</t>
  </si>
  <si>
    <t>Cardona</t>
  </si>
  <si>
    <t>Bracero</t>
  </si>
  <si>
    <t>Men</t>
  </si>
  <si>
    <t>Ducret</t>
  </si>
  <si>
    <t>Escamilla</t>
  </si>
  <si>
    <t>Sitaras</t>
  </si>
  <si>
    <t>Lovera</t>
  </si>
  <si>
    <t>Brooks</t>
  </si>
  <si>
    <t>Kercy</t>
  </si>
  <si>
    <t>Garrido-Rodriguez</t>
  </si>
  <si>
    <t>Nunez</t>
  </si>
  <si>
    <t>Cabral</t>
  </si>
  <si>
    <t>Blackwell</t>
  </si>
  <si>
    <t>Castro</t>
  </si>
  <si>
    <t>Tito</t>
  </si>
  <si>
    <t>Soriano</t>
  </si>
  <si>
    <t>Santiesteban</t>
  </si>
  <si>
    <t>Duran</t>
  </si>
  <si>
    <t>Molina</t>
  </si>
  <si>
    <t>Aguiar</t>
  </si>
  <si>
    <t>Albakooli</t>
  </si>
  <si>
    <t>Hurbides</t>
  </si>
  <si>
    <t>Simon</t>
  </si>
  <si>
    <t>Andrickson</t>
  </si>
  <si>
    <t>Alcindor</t>
  </si>
  <si>
    <t>Xin</t>
  </si>
  <si>
    <t>Pacheco</t>
  </si>
  <si>
    <t>Baez</t>
  </si>
  <si>
    <t>Montilla</t>
  </si>
  <si>
    <t>Lopez Torres</t>
  </si>
  <si>
    <t>Quiles</t>
  </si>
  <si>
    <t>Contreras</t>
  </si>
  <si>
    <t>Abreu</t>
  </si>
  <si>
    <t>Foster</t>
  </si>
  <si>
    <t>Checo</t>
  </si>
  <si>
    <t>Carmona</t>
  </si>
  <si>
    <t>Ip</t>
  </si>
  <si>
    <t>Sun</t>
  </si>
  <si>
    <t>Vega</t>
  </si>
  <si>
    <t>Dilone</t>
  </si>
  <si>
    <t>Tindal</t>
  </si>
  <si>
    <t>Panora</t>
  </si>
  <si>
    <t>Richards</t>
  </si>
  <si>
    <t>Albino</t>
  </si>
  <si>
    <t>Hill</t>
  </si>
  <si>
    <t>McClucksey</t>
  </si>
  <si>
    <t>Dminguez</t>
  </si>
  <si>
    <t>Varaques</t>
  </si>
  <si>
    <t>Sucarato</t>
  </si>
  <si>
    <t>Ahmed</t>
  </si>
  <si>
    <t>Fernandez</t>
  </si>
  <si>
    <t>Diaz De Morillo</t>
  </si>
  <si>
    <t>Morales</t>
  </si>
  <si>
    <t>Velez</t>
  </si>
  <si>
    <t>Pervez</t>
  </si>
  <si>
    <t>Bovian</t>
  </si>
  <si>
    <t>Lockward</t>
  </si>
  <si>
    <t>Willson</t>
  </si>
  <si>
    <t>Kunene</t>
  </si>
  <si>
    <t>Villar</t>
  </si>
  <si>
    <t>Paula Martinez</t>
  </si>
  <si>
    <t>Medrano</t>
  </si>
  <si>
    <t>Murray</t>
  </si>
  <si>
    <t>Mateo</t>
  </si>
  <si>
    <t>Cochran</t>
  </si>
  <si>
    <t>Anglero</t>
  </si>
  <si>
    <t>Lawrie</t>
  </si>
  <si>
    <t>Espinal</t>
  </si>
  <si>
    <t>Garcia Collado</t>
  </si>
  <si>
    <t>Nakamura</t>
  </si>
  <si>
    <t>Urena</t>
  </si>
  <si>
    <t>Lugo</t>
  </si>
  <si>
    <t>Encarnacion</t>
  </si>
  <si>
    <t>Bonilla</t>
  </si>
  <si>
    <t>Ford</t>
  </si>
  <si>
    <t>Vicioso</t>
  </si>
  <si>
    <t>Acosta</t>
  </si>
  <si>
    <t>White</t>
  </si>
  <si>
    <t>Lin</t>
  </si>
  <si>
    <t>Lendebory</t>
  </si>
  <si>
    <t>Colon</t>
  </si>
  <si>
    <t>Garcia Cruz</t>
  </si>
  <si>
    <t>Davila</t>
  </si>
  <si>
    <t>Cachola</t>
  </si>
  <si>
    <t>Carbuccia</t>
  </si>
  <si>
    <t>Bryant</t>
  </si>
  <si>
    <t>Torres</t>
  </si>
  <si>
    <t>Dowell</t>
  </si>
  <si>
    <t>Reyes</t>
  </si>
  <si>
    <t>Smith</t>
  </si>
  <si>
    <t>Mercado</t>
  </si>
  <si>
    <t>Spruce</t>
  </si>
  <si>
    <t>Falu</t>
  </si>
  <si>
    <t>Familia</t>
  </si>
  <si>
    <t>Urena-Perez</t>
  </si>
  <si>
    <t>Delgado</t>
  </si>
  <si>
    <t>Mantilla</t>
  </si>
  <si>
    <t>Alvarez</t>
  </si>
  <si>
    <t>Betances</t>
  </si>
  <si>
    <t>Montero</t>
  </si>
  <si>
    <t>Guillen</t>
  </si>
  <si>
    <t>Collado</t>
  </si>
  <si>
    <t>Abelino</t>
  </si>
  <si>
    <t>Gadson</t>
  </si>
  <si>
    <t>Hiciano</t>
  </si>
  <si>
    <t>Miranda</t>
  </si>
  <si>
    <t>Roque</t>
  </si>
  <si>
    <t>Holguin</t>
  </si>
  <si>
    <t>Richiez</t>
  </si>
  <si>
    <t>Zapata</t>
  </si>
  <si>
    <t>Gaskin</t>
  </si>
  <si>
    <t>Ogando</t>
  </si>
  <si>
    <t>Breytman</t>
  </si>
  <si>
    <t>Lindsay</t>
  </si>
  <si>
    <t>Askins</t>
  </si>
  <si>
    <t>Camara</t>
  </si>
  <si>
    <t>Caughey</t>
  </si>
  <si>
    <t>Ortiz</t>
  </si>
  <si>
    <t>Mojica</t>
  </si>
  <si>
    <t>Ofner</t>
  </si>
  <si>
    <t>Mejia</t>
  </si>
  <si>
    <t>Detres</t>
  </si>
  <si>
    <t>Mbow</t>
  </si>
  <si>
    <t>Bailley</t>
  </si>
  <si>
    <t>Isaie</t>
  </si>
  <si>
    <t>Gates</t>
  </si>
  <si>
    <t>Alcantara</t>
  </si>
  <si>
    <t>Herrera</t>
  </si>
  <si>
    <t>Porto</t>
  </si>
  <si>
    <t>Diez</t>
  </si>
  <si>
    <t>Garcia-Pichardo</t>
  </si>
  <si>
    <t>Rojas</t>
  </si>
  <si>
    <t>Rondon Nunez</t>
  </si>
  <si>
    <t>Yang</t>
  </si>
  <si>
    <t>De Los Santos</t>
  </si>
  <si>
    <t>Estevez</t>
  </si>
  <si>
    <t>Cupid</t>
  </si>
  <si>
    <t>Baldayac</t>
  </si>
  <si>
    <t>Higgins</t>
  </si>
  <si>
    <t>Arroyo</t>
  </si>
  <si>
    <t>Reynoso</t>
  </si>
  <si>
    <t>Chen</t>
  </si>
  <si>
    <t>Hilton</t>
  </si>
  <si>
    <t>Ventura</t>
  </si>
  <si>
    <t>Almanzar</t>
  </si>
  <si>
    <t>Floyd</t>
  </si>
  <si>
    <t>Davis</t>
  </si>
  <si>
    <t>De Pena</t>
  </si>
  <si>
    <t>Nerys</t>
  </si>
  <si>
    <t>Narcisse</t>
  </si>
  <si>
    <t>De Leon</t>
  </si>
  <si>
    <t>Wu</t>
  </si>
  <si>
    <t>Carrillo</t>
  </si>
  <si>
    <t>Del Rosario</t>
  </si>
  <si>
    <t>Eng</t>
  </si>
  <si>
    <t>Gonzalez</t>
  </si>
  <si>
    <t>Carney</t>
  </si>
  <si>
    <t>Carvajal</t>
  </si>
  <si>
    <t>Evans</t>
  </si>
  <si>
    <t>Mendoza</t>
  </si>
  <si>
    <t>Gonell</t>
  </si>
  <si>
    <t>Navarro</t>
  </si>
  <si>
    <t>Barrett</t>
  </si>
  <si>
    <t>Gautier</t>
  </si>
  <si>
    <t>Jones</t>
  </si>
  <si>
    <t>Cleto</t>
  </si>
  <si>
    <t>Tirado</t>
  </si>
  <si>
    <t>Feliz</t>
  </si>
  <si>
    <t>Liz</t>
  </si>
  <si>
    <t>Feliciano</t>
  </si>
  <si>
    <t>Lapaix</t>
  </si>
  <si>
    <t>Storms</t>
  </si>
  <si>
    <t>Arguelles</t>
  </si>
  <si>
    <t>Oliver</t>
  </si>
  <si>
    <t>Crean</t>
  </si>
  <si>
    <t>Tapia</t>
  </si>
  <si>
    <t>Bouchereau</t>
  </si>
  <si>
    <t>Grullon</t>
  </si>
  <si>
    <t>Neville</t>
  </si>
  <si>
    <t>Silvestre</t>
  </si>
  <si>
    <t>Gossett</t>
  </si>
  <si>
    <t>Berrios</t>
  </si>
  <si>
    <t>Jiminian</t>
  </si>
  <si>
    <t>Horning</t>
  </si>
  <si>
    <t>Paredes</t>
  </si>
  <si>
    <t>Best</t>
  </si>
  <si>
    <t>McCarthy</t>
  </si>
  <si>
    <t>Salcedo</t>
  </si>
  <si>
    <t>Parada</t>
  </si>
  <si>
    <t>Bowe</t>
  </si>
  <si>
    <t>Toribio</t>
  </si>
  <si>
    <t>Fuentes</t>
  </si>
  <si>
    <t>Gatter</t>
  </si>
  <si>
    <t>Hanley</t>
  </si>
  <si>
    <t>Minaya</t>
  </si>
  <si>
    <t>Collazo</t>
  </si>
  <si>
    <t>Boyer</t>
  </si>
  <si>
    <t>Hudson</t>
  </si>
  <si>
    <t>Nin</t>
  </si>
  <si>
    <t>Rivas</t>
  </si>
  <si>
    <t>Minier</t>
  </si>
  <si>
    <t>Caceres</t>
  </si>
  <si>
    <t>Kevelier</t>
  </si>
  <si>
    <t>Rosario</t>
  </si>
  <si>
    <t>Xie</t>
  </si>
  <si>
    <t>Gomes</t>
  </si>
  <si>
    <t>Mirambeaux</t>
  </si>
  <si>
    <t>Bockman</t>
  </si>
  <si>
    <t>Inoa</t>
  </si>
  <si>
    <t>Rosavilela</t>
  </si>
  <si>
    <t>Gerena</t>
  </si>
  <si>
    <t>Muñoz</t>
  </si>
  <si>
    <t>Suazo</t>
  </si>
  <si>
    <t>Tao</t>
  </si>
  <si>
    <t>Betancourt</t>
  </si>
  <si>
    <t>Moreno</t>
  </si>
  <si>
    <t>Moses</t>
  </si>
  <si>
    <t>Buten</t>
  </si>
  <si>
    <t>Rosas</t>
  </si>
  <si>
    <t>Hayes</t>
  </si>
  <si>
    <t>Sprouse</t>
  </si>
  <si>
    <t>Pelaez</t>
  </si>
  <si>
    <t>Bonifacio</t>
  </si>
  <si>
    <t>West</t>
  </si>
  <si>
    <t>Cepeda</t>
  </si>
  <si>
    <t>Morel</t>
  </si>
  <si>
    <t>Patino</t>
  </si>
  <si>
    <t>Manzueta</t>
  </si>
  <si>
    <t>Fabian</t>
  </si>
  <si>
    <t>Rey Puterbaugh</t>
  </si>
  <si>
    <t>Odems</t>
  </si>
  <si>
    <t>Mclain</t>
  </si>
  <si>
    <t>Whiten</t>
  </si>
  <si>
    <t>Renkas</t>
  </si>
  <si>
    <t>Gil Abreu</t>
  </si>
  <si>
    <t>Buthelezi</t>
  </si>
  <si>
    <t>Gerber</t>
  </si>
  <si>
    <t>Robles</t>
  </si>
  <si>
    <t>Pereyra</t>
  </si>
  <si>
    <t>Lewis</t>
  </si>
  <si>
    <t>Diao</t>
  </si>
  <si>
    <t>Rosas-Mejia</t>
  </si>
  <si>
    <t>Porro</t>
  </si>
  <si>
    <t>Walcott</t>
  </si>
  <si>
    <t>Fong</t>
  </si>
  <si>
    <t>Pendie</t>
  </si>
  <si>
    <t>Daly</t>
  </si>
  <si>
    <t>Diatta</t>
  </si>
  <si>
    <t>Aybar</t>
  </si>
  <si>
    <t>Custodio</t>
  </si>
  <si>
    <t>Vallecillo</t>
  </si>
  <si>
    <t>Medina</t>
  </si>
  <si>
    <t>Rosales</t>
  </si>
  <si>
    <t>Tweel</t>
  </si>
  <si>
    <t>Reyes Fernandez</t>
  </si>
  <si>
    <t>Avecillas</t>
  </si>
  <si>
    <t>Mickens</t>
  </si>
  <si>
    <t>Corniel</t>
  </si>
  <si>
    <t>Edwards</t>
  </si>
  <si>
    <t>Farrell</t>
  </si>
  <si>
    <t>Penn</t>
  </si>
  <si>
    <t>Quinones</t>
  </si>
  <si>
    <t>Avelino</t>
  </si>
  <si>
    <t>Hawkins</t>
  </si>
  <si>
    <t>Asencio</t>
  </si>
  <si>
    <t>Battista</t>
  </si>
  <si>
    <t>Grullon Pena</t>
  </si>
  <si>
    <t>Adams</t>
  </si>
  <si>
    <t>Seye</t>
  </si>
  <si>
    <t>Maldonado</t>
  </si>
  <si>
    <t>Vazquez</t>
  </si>
  <si>
    <t>Warfield</t>
  </si>
  <si>
    <t>Scalia</t>
  </si>
  <si>
    <t>Millerick</t>
  </si>
  <si>
    <t>Barbosa</t>
  </si>
  <si>
    <t>Silverio</t>
  </si>
  <si>
    <t>Breton</t>
  </si>
  <si>
    <t>Burgos</t>
  </si>
  <si>
    <t>Ruddock</t>
  </si>
  <si>
    <t>Martin</t>
  </si>
  <si>
    <t>Bethea</t>
  </si>
  <si>
    <t>Love Garris</t>
  </si>
  <si>
    <t>Manrique</t>
  </si>
  <si>
    <t>Mayo</t>
  </si>
  <si>
    <t>Mata</t>
  </si>
  <si>
    <t>Balbuena Mane</t>
  </si>
  <si>
    <t>Grantham</t>
  </si>
  <si>
    <t>Cortez</t>
  </si>
  <si>
    <t>Tidwell</t>
  </si>
  <si>
    <t>Young</t>
  </si>
  <si>
    <t>Barnkow</t>
  </si>
  <si>
    <t>Pratt</t>
  </si>
  <si>
    <t>Mendez</t>
  </si>
  <si>
    <t>Green-Barnes</t>
  </si>
  <si>
    <t>Crowe</t>
  </si>
  <si>
    <t>Girard</t>
  </si>
  <si>
    <t>Bido</t>
  </si>
  <si>
    <t>Perdomo</t>
  </si>
  <si>
    <t>Caquias Ramos</t>
  </si>
  <si>
    <t>Recinos</t>
  </si>
  <si>
    <t>Kavalerchik</t>
  </si>
  <si>
    <t>Ruiz</t>
  </si>
  <si>
    <t>Laukam</t>
  </si>
  <si>
    <t>Parra</t>
  </si>
  <si>
    <t>Deas</t>
  </si>
  <si>
    <t>Boccara</t>
  </si>
  <si>
    <t>Monroe</t>
  </si>
  <si>
    <t>Aguilera</t>
  </si>
  <si>
    <t>Orta</t>
  </si>
  <si>
    <t>Lightstone</t>
  </si>
  <si>
    <t>Yearwood</t>
  </si>
  <si>
    <t>Rodriquez</t>
  </si>
  <si>
    <t>Summers</t>
  </si>
  <si>
    <t>Seelig</t>
  </si>
  <si>
    <t>Mazara</t>
  </si>
  <si>
    <t>Nakazwe</t>
  </si>
  <si>
    <t>Aleman</t>
  </si>
  <si>
    <t>Jhones</t>
  </si>
  <si>
    <t>Marte</t>
  </si>
  <si>
    <t>Pazmino</t>
  </si>
  <si>
    <t>Quezada</t>
  </si>
  <si>
    <t>Cordero</t>
  </si>
  <si>
    <t>Dominguez</t>
  </si>
  <si>
    <t>Terlitsky</t>
  </si>
  <si>
    <t>Tavarez</t>
  </si>
  <si>
    <t>Deleon</t>
  </si>
  <si>
    <t>Waldon</t>
  </si>
  <si>
    <t>Musik-Ayala</t>
  </si>
  <si>
    <t>Cramer</t>
  </si>
  <si>
    <t>Salacks</t>
  </si>
  <si>
    <t>Gaton</t>
  </si>
  <si>
    <t>Hines</t>
  </si>
  <si>
    <t>Yip</t>
  </si>
  <si>
    <t>Torun</t>
  </si>
  <si>
    <t>Woodward</t>
  </si>
  <si>
    <t>Weitzman</t>
  </si>
  <si>
    <t>Mims</t>
  </si>
  <si>
    <t>Sarak</t>
  </si>
  <si>
    <t>Clayton</t>
  </si>
  <si>
    <t>Julius</t>
  </si>
  <si>
    <t>Day-Reiss</t>
  </si>
  <si>
    <t>Rozenberg</t>
  </si>
  <si>
    <t>Egunen</t>
  </si>
  <si>
    <t>Chavous</t>
  </si>
  <si>
    <t>Meetze</t>
  </si>
  <si>
    <t>Harris</t>
  </si>
  <si>
    <t>Nashen</t>
  </si>
  <si>
    <t>Redmon</t>
  </si>
  <si>
    <t>Scales</t>
  </si>
  <si>
    <t>Luciano</t>
  </si>
  <si>
    <t>Cervantes</t>
  </si>
  <si>
    <t>Antoine</t>
  </si>
  <si>
    <t>Hiraldo</t>
  </si>
  <si>
    <t>Disla</t>
  </si>
  <si>
    <t>Seymour</t>
  </si>
  <si>
    <t>Marrow</t>
  </si>
  <si>
    <t>Robletto</t>
  </si>
  <si>
    <t>Terrero</t>
  </si>
  <si>
    <t>Chambers</t>
  </si>
  <si>
    <t>Rossy</t>
  </si>
  <si>
    <t>Freeman</t>
  </si>
  <si>
    <t>Coleman</t>
  </si>
  <si>
    <t>Romero Castro</t>
  </si>
  <si>
    <t>Caicedo</t>
  </si>
  <si>
    <t>Castillo-Diaz</t>
  </si>
  <si>
    <t>Michel</t>
  </si>
  <si>
    <t>Marmolejos</t>
  </si>
  <si>
    <t>Montes</t>
  </si>
  <si>
    <t>Caranza</t>
  </si>
  <si>
    <t>Gordon</t>
  </si>
  <si>
    <t>Concepcion</t>
  </si>
  <si>
    <t>Irizzary</t>
  </si>
  <si>
    <t>Bas</t>
  </si>
  <si>
    <t>Payero</t>
  </si>
  <si>
    <t>de Torres</t>
  </si>
  <si>
    <t>Trujillo</t>
  </si>
  <si>
    <t>Holley</t>
  </si>
  <si>
    <t>Bobea</t>
  </si>
  <si>
    <t>Seelenfreund</t>
  </si>
  <si>
    <t>Santiago</t>
  </si>
  <si>
    <t>Diele</t>
  </si>
  <si>
    <t>Lofton</t>
  </si>
  <si>
    <t>Taveras S</t>
  </si>
  <si>
    <t>Anzalota</t>
  </si>
  <si>
    <t>Blake</t>
  </si>
  <si>
    <t>Castillo</t>
  </si>
  <si>
    <t>DeLeon</t>
  </si>
  <si>
    <t>Blyden</t>
  </si>
  <si>
    <t>Calderon</t>
  </si>
  <si>
    <t>Vegazo</t>
  </si>
  <si>
    <t>Wells</t>
  </si>
  <si>
    <t>Goines</t>
  </si>
  <si>
    <t>Konzelman</t>
  </si>
  <si>
    <t>Mott</t>
  </si>
  <si>
    <t>Mena</t>
  </si>
  <si>
    <t>Peña</t>
  </si>
  <si>
    <t>Polo</t>
  </si>
  <si>
    <t>Hidalgo</t>
  </si>
  <si>
    <t>Leed</t>
  </si>
  <si>
    <t>Billini</t>
  </si>
  <si>
    <t>Canciello</t>
  </si>
  <si>
    <t>Amurrio</t>
  </si>
  <si>
    <t>Nagaki</t>
  </si>
  <si>
    <t>Brujan</t>
  </si>
  <si>
    <t>Welch</t>
  </si>
  <si>
    <t>Thorn Taber</t>
  </si>
  <si>
    <t>Keene</t>
  </si>
  <si>
    <t>Montealegre</t>
  </si>
  <si>
    <t>Valentin</t>
  </si>
  <si>
    <t>Garcia De Moran</t>
  </si>
  <si>
    <t>Tovar</t>
  </si>
  <si>
    <t>Powell</t>
  </si>
  <si>
    <t>Palmer</t>
  </si>
  <si>
    <t>Wolfe</t>
  </si>
  <si>
    <t>Tineo</t>
  </si>
  <si>
    <t>Mahulawde</t>
  </si>
  <si>
    <t>Fortuna</t>
  </si>
  <si>
    <t>Stephens-Jones</t>
  </si>
  <si>
    <t>Pakiakis</t>
  </si>
  <si>
    <t>Marquez</t>
  </si>
  <si>
    <t>Ba</t>
  </si>
  <si>
    <t>Solano</t>
  </si>
  <si>
    <t>Elalaily</t>
  </si>
  <si>
    <t>Farrar</t>
  </si>
  <si>
    <t>Allen</t>
  </si>
  <si>
    <t>St. Jean</t>
  </si>
  <si>
    <t>Escobar</t>
  </si>
  <si>
    <t>Gil</t>
  </si>
  <si>
    <t>Bodie</t>
  </si>
  <si>
    <t>Goman</t>
  </si>
  <si>
    <t>De Fran</t>
  </si>
  <si>
    <t>Grogan</t>
  </si>
  <si>
    <t>Ullah</t>
  </si>
  <si>
    <t>Watt</t>
  </si>
  <si>
    <t>Levi</t>
  </si>
  <si>
    <t>Bradford</t>
  </si>
  <si>
    <t>Brudnoy</t>
  </si>
  <si>
    <t>Payne</t>
  </si>
  <si>
    <t>Haque</t>
  </si>
  <si>
    <t>Berreta</t>
  </si>
  <si>
    <t>Orona</t>
  </si>
  <si>
    <t>Onwuachi</t>
  </si>
  <si>
    <t>Bailey</t>
  </si>
  <si>
    <t>Pimentel</t>
  </si>
  <si>
    <t>Ye</t>
  </si>
  <si>
    <t>Tao Tao</t>
  </si>
  <si>
    <t>Toribio De Lopez</t>
  </si>
  <si>
    <t>Leger</t>
  </si>
  <si>
    <t>Pimentel Fleury</t>
  </si>
  <si>
    <t>Soacha</t>
  </si>
  <si>
    <t>Larrazabal</t>
  </si>
  <si>
    <t>Savary</t>
  </si>
  <si>
    <t>Perlmutter</t>
  </si>
  <si>
    <t>Aviles</t>
  </si>
  <si>
    <t>Schneider</t>
  </si>
  <si>
    <t>Schwing</t>
  </si>
  <si>
    <t>Allene</t>
  </si>
  <si>
    <t>Zorrilla</t>
  </si>
  <si>
    <t>Price</t>
  </si>
  <si>
    <t>Villanueva</t>
  </si>
  <si>
    <t>Carbonell</t>
  </si>
  <si>
    <t>Stowe</t>
  </si>
  <si>
    <t>Blanchard</t>
  </si>
  <si>
    <t>Haduch</t>
  </si>
  <si>
    <t>Balbosa</t>
  </si>
  <si>
    <t>Naranjo</t>
  </si>
  <si>
    <t>Middleton</t>
  </si>
  <si>
    <t>Colon Disla</t>
  </si>
  <si>
    <t>Thacher</t>
  </si>
  <si>
    <t>Bagayoko</t>
  </si>
  <si>
    <t>Yunda</t>
  </si>
  <si>
    <t>Sepulveda</t>
  </si>
  <si>
    <t>Cintron</t>
  </si>
  <si>
    <t>Harsch</t>
  </si>
  <si>
    <t>Valdez</t>
  </si>
  <si>
    <t>Ramales</t>
  </si>
  <si>
    <t>Layens</t>
  </si>
  <si>
    <t>Schrader</t>
  </si>
  <si>
    <t>Britton</t>
  </si>
  <si>
    <t>German</t>
  </si>
  <si>
    <t>Moran</t>
  </si>
  <si>
    <t>Harrigan</t>
  </si>
  <si>
    <t>Tolentino</t>
  </si>
  <si>
    <t>Rasic</t>
  </si>
  <si>
    <t>Schaer</t>
  </si>
  <si>
    <t>D. Chauca</t>
  </si>
  <si>
    <t>De la Rosa</t>
  </si>
  <si>
    <t>Couvertier</t>
  </si>
  <si>
    <t>De Pasquale</t>
  </si>
  <si>
    <t>Andolini</t>
  </si>
  <si>
    <t>Livermore</t>
  </si>
  <si>
    <t>Toste</t>
  </si>
  <si>
    <t>Villafain</t>
  </si>
  <si>
    <t>Urrutia</t>
  </si>
  <si>
    <t>Figueroa</t>
  </si>
  <si>
    <t>Gebert</t>
  </si>
  <si>
    <t>Penalo</t>
  </si>
  <si>
    <t>Filion</t>
  </si>
  <si>
    <t>Laurence</t>
  </si>
  <si>
    <t>Hearen</t>
  </si>
  <si>
    <t>Andino</t>
  </si>
  <si>
    <t>Bee</t>
  </si>
  <si>
    <t>Fendley</t>
  </si>
  <si>
    <t>Mitchell</t>
  </si>
  <si>
    <t>Aparicio</t>
  </si>
  <si>
    <t>Grenade</t>
  </si>
  <si>
    <t>Colin</t>
  </si>
  <si>
    <t>Pugh</t>
  </si>
  <si>
    <t>Ramos Ceballos</t>
  </si>
  <si>
    <t>Plowden</t>
  </si>
  <si>
    <t>Wallstein</t>
  </si>
  <si>
    <t>Parker</t>
  </si>
  <si>
    <t>Morillo</t>
  </si>
  <si>
    <t>Pelegrin</t>
  </si>
  <si>
    <t>Dumonte</t>
  </si>
  <si>
    <t>Malick</t>
  </si>
  <si>
    <t>Uman</t>
  </si>
  <si>
    <t>Santaella</t>
  </si>
  <si>
    <t>Negron</t>
  </si>
  <si>
    <t>Henriquez</t>
  </si>
  <si>
    <t>McDonald</t>
  </si>
  <si>
    <t>Stevenson</t>
  </si>
  <si>
    <t>Salamone</t>
  </si>
  <si>
    <t>Crute</t>
  </si>
  <si>
    <t>Goubatova</t>
  </si>
  <si>
    <t>Augustin</t>
  </si>
  <si>
    <t>Ayala</t>
  </si>
  <si>
    <t>Tejeda</t>
  </si>
  <si>
    <t>Ordonez</t>
  </si>
  <si>
    <t>Gutierrez</t>
  </si>
  <si>
    <t>Kagan</t>
  </si>
  <si>
    <t>Bejjani</t>
  </si>
  <si>
    <t>Mbaye</t>
  </si>
  <si>
    <t>Blizzard</t>
  </si>
  <si>
    <t>Schiebel</t>
  </si>
  <si>
    <t>Koukaras</t>
  </si>
  <si>
    <t>Capers</t>
  </si>
  <si>
    <t>Portuondo</t>
  </si>
  <si>
    <t>Saneaux</t>
  </si>
  <si>
    <t>Streety</t>
  </si>
  <si>
    <t>Malone</t>
  </si>
  <si>
    <t>DeJesus</t>
  </si>
  <si>
    <t>Dacchille</t>
  </si>
  <si>
    <t>Grasso</t>
  </si>
  <si>
    <t>Roberts</t>
  </si>
  <si>
    <t>Casado</t>
  </si>
  <si>
    <t>Chandler Coard</t>
  </si>
  <si>
    <t>Araujo</t>
  </si>
  <si>
    <t>d'Agestino</t>
  </si>
  <si>
    <t>Ziskind</t>
  </si>
  <si>
    <t>Vivians</t>
  </si>
  <si>
    <t>Chery</t>
  </si>
  <si>
    <t>Igantovich</t>
  </si>
  <si>
    <t>Kashmanian</t>
  </si>
  <si>
    <t>Thornton</t>
  </si>
  <si>
    <t>Carlotti</t>
  </si>
  <si>
    <t>Huang</t>
  </si>
  <si>
    <t>Carrasquillo</t>
  </si>
  <si>
    <t>Wiggins</t>
  </si>
  <si>
    <t>Reyes Ruiz</t>
  </si>
  <si>
    <t>Skeet</t>
  </si>
  <si>
    <t>McGarrity</t>
  </si>
  <si>
    <t>Vegerano</t>
  </si>
  <si>
    <t>Valles</t>
  </si>
  <si>
    <t>Cisneros</t>
  </si>
  <si>
    <t>Vidal</t>
  </si>
  <si>
    <t>Keita</t>
  </si>
  <si>
    <t>Hoover</t>
  </si>
  <si>
    <t>D'Arcangelo</t>
  </si>
  <si>
    <t>Clay</t>
  </si>
  <si>
    <t>Hillstrom</t>
  </si>
  <si>
    <t>Alarcon</t>
  </si>
  <si>
    <t>Villegas</t>
  </si>
  <si>
    <t>Denehan</t>
  </si>
  <si>
    <t>Siguencia</t>
  </si>
  <si>
    <t>Galdamez</t>
  </si>
  <si>
    <t>Randolph</t>
  </si>
  <si>
    <t>O'Briant</t>
  </si>
  <si>
    <t>Castillo-Valencia</t>
  </si>
  <si>
    <t>Federgrun</t>
  </si>
  <si>
    <t>Madison</t>
  </si>
  <si>
    <t>Mercer</t>
  </si>
  <si>
    <t>Penafiel</t>
  </si>
  <si>
    <t>Reinoso Atancuri</t>
  </si>
  <si>
    <t>Ciunga</t>
  </si>
  <si>
    <t>Murphey</t>
  </si>
  <si>
    <t>de Abreu</t>
  </si>
  <si>
    <t>Cayer</t>
  </si>
  <si>
    <t>Somthers</t>
  </si>
  <si>
    <t>PErez</t>
  </si>
  <si>
    <t>Diaz-Albertini</t>
  </si>
  <si>
    <t>Alvarado Bobea</t>
  </si>
  <si>
    <t>Kocheneva</t>
  </si>
  <si>
    <t>Quiroz</t>
  </si>
  <si>
    <t>Drame</t>
  </si>
  <si>
    <t>Wyche</t>
  </si>
  <si>
    <t>Holland</t>
  </si>
  <si>
    <t>Vivar</t>
  </si>
  <si>
    <t>Caro</t>
  </si>
  <si>
    <t>Alder</t>
  </si>
  <si>
    <t>Callender</t>
  </si>
  <si>
    <t>Millet</t>
  </si>
  <si>
    <t>Lapaz</t>
  </si>
  <si>
    <t>Blank</t>
  </si>
  <si>
    <t>Da Silva</t>
  </si>
  <si>
    <t>Faison</t>
  </si>
  <si>
    <t>Hendricks</t>
  </si>
  <si>
    <t>Francisquini</t>
  </si>
  <si>
    <t>Merino</t>
  </si>
  <si>
    <t>Pellot</t>
  </si>
  <si>
    <t>Lara</t>
  </si>
  <si>
    <t>Rondon</t>
  </si>
  <si>
    <t>Cortorreal</t>
  </si>
  <si>
    <t>Newland</t>
  </si>
  <si>
    <t>Hamed</t>
  </si>
  <si>
    <t>Romero</t>
  </si>
  <si>
    <t>Veras</t>
  </si>
  <si>
    <t>Ojumu</t>
  </si>
  <si>
    <t>Mcfadden</t>
  </si>
  <si>
    <t>Katt</t>
  </si>
  <si>
    <t>Carloss</t>
  </si>
  <si>
    <t>Amezquita</t>
  </si>
  <si>
    <t>Serebriakov</t>
  </si>
  <si>
    <t>Osorio</t>
  </si>
  <si>
    <t>Zawoiski</t>
  </si>
  <si>
    <t>Ridley Parson</t>
  </si>
  <si>
    <t>Valerio</t>
  </si>
  <si>
    <t>Bridges</t>
  </si>
  <si>
    <t>Bradley</t>
  </si>
  <si>
    <t>Rodgers</t>
  </si>
  <si>
    <t>Devonish</t>
  </si>
  <si>
    <t>VArgas</t>
  </si>
  <si>
    <t>Apolinario</t>
  </si>
  <si>
    <t>Cristian</t>
  </si>
  <si>
    <t>Yung</t>
  </si>
  <si>
    <t>Zoppo</t>
  </si>
  <si>
    <t>Gallagher</t>
  </si>
  <si>
    <t>Redmond</t>
  </si>
  <si>
    <t>Steele</t>
  </si>
  <si>
    <t>Lotson</t>
  </si>
  <si>
    <t>Torres Adorno</t>
  </si>
  <si>
    <t>Colardo</t>
  </si>
  <si>
    <t>Fields</t>
  </si>
  <si>
    <t>Rucker</t>
  </si>
  <si>
    <t>Allende</t>
  </si>
  <si>
    <t>Frias</t>
  </si>
  <si>
    <t>Hassell</t>
  </si>
  <si>
    <t>McIntosh</t>
  </si>
  <si>
    <t>Dattaray</t>
  </si>
  <si>
    <t>Gil Poche</t>
  </si>
  <si>
    <t>Rollins</t>
  </si>
  <si>
    <t>Francis</t>
  </si>
  <si>
    <t>Pops</t>
  </si>
  <si>
    <t>Knight</t>
  </si>
  <si>
    <t>Held</t>
  </si>
  <si>
    <t>Richmond</t>
  </si>
  <si>
    <t>Nyanffor</t>
  </si>
  <si>
    <t>Gervis</t>
  </si>
  <si>
    <t>Blumenthal</t>
  </si>
  <si>
    <t>Beato</t>
  </si>
  <si>
    <t>Balfour</t>
  </si>
  <si>
    <t>Hodges</t>
  </si>
  <si>
    <t>Tanner</t>
  </si>
  <si>
    <t>Gary</t>
  </si>
  <si>
    <t>Zipkin</t>
  </si>
  <si>
    <t>Ray</t>
  </si>
  <si>
    <t>Camilo</t>
  </si>
  <si>
    <t>Goulet</t>
  </si>
  <si>
    <t>Antigua</t>
  </si>
  <si>
    <t>Patino-Lebron</t>
  </si>
  <si>
    <t>Ohmes</t>
  </si>
  <si>
    <t>Biddle</t>
  </si>
  <si>
    <t>Hendin</t>
  </si>
  <si>
    <t>Cooper</t>
  </si>
  <si>
    <t>Suozzo</t>
  </si>
  <si>
    <t>Byrnes</t>
  </si>
  <si>
    <t>Crusco</t>
  </si>
  <si>
    <t>Russell</t>
  </si>
  <si>
    <t>Scholl</t>
  </si>
  <si>
    <t>Anderson</t>
  </si>
  <si>
    <t>McClintock</t>
  </si>
  <si>
    <t>Dyer</t>
  </si>
  <si>
    <t>Dooley</t>
  </si>
  <si>
    <t>Bores</t>
  </si>
  <si>
    <t>Granados</t>
  </si>
  <si>
    <t>Bondoc</t>
  </si>
  <si>
    <t>Midgette</t>
  </si>
  <si>
    <t>Zeidenberg</t>
  </si>
  <si>
    <t>Prol</t>
  </si>
  <si>
    <t>Corona Rios</t>
  </si>
  <si>
    <t>Rochman</t>
  </si>
  <si>
    <t>Tenebaum</t>
  </si>
  <si>
    <t>Bosco</t>
  </si>
  <si>
    <t>Lucas</t>
  </si>
  <si>
    <t>Mateo Mejia</t>
  </si>
  <si>
    <t>Ndinyl</t>
  </si>
  <si>
    <t>Yuan</t>
  </si>
  <si>
    <t>Pause</t>
  </si>
  <si>
    <t>Garrett</t>
  </si>
  <si>
    <t>Alpern Kol</t>
  </si>
  <si>
    <t>Mendenhall</t>
  </si>
  <si>
    <t>4010 Vernon Blvd</t>
  </si>
  <si>
    <t>346 E 65th St</t>
  </si>
  <si>
    <t>1 Sickles St</t>
  </si>
  <si>
    <t>620 W 190th St</t>
  </si>
  <si>
    <t>2301 5th Ave</t>
  </si>
  <si>
    <t>1465 5th Ave</t>
  </si>
  <si>
    <t>1961 Madison Ave</t>
  </si>
  <si>
    <t>58 E 117th St</t>
  </si>
  <si>
    <t>1990 Lexington Ave</t>
  </si>
  <si>
    <t>128 Post Ave</t>
  </si>
  <si>
    <t>49 Payson ave</t>
  </si>
  <si>
    <t>49 Payson Ave</t>
  </si>
  <si>
    <t>272 Sherman Ave</t>
  </si>
  <si>
    <t>5025 Broadway</t>
  </si>
  <si>
    <t>123 Vermilyea Ave</t>
  </si>
  <si>
    <t>113 Sherman Ave</t>
  </si>
  <si>
    <t>110 Post Ave</t>
  </si>
  <si>
    <t>500 W 213th St</t>
  </si>
  <si>
    <t>5057 Broadway</t>
  </si>
  <si>
    <t>5008 Broadway</t>
  </si>
  <si>
    <t>140 Vermilyea Ave</t>
  </si>
  <si>
    <t>97-103 Seaman Avenue</t>
  </si>
  <si>
    <t>164 Sherman Ave</t>
  </si>
  <si>
    <t>41 Park Ter W</t>
  </si>
  <si>
    <t>4861 Broadway</t>
  </si>
  <si>
    <t>251 Sherman Ave</t>
  </si>
  <si>
    <t>5009 Broadway</t>
  </si>
  <si>
    <t>549 Isham Street</t>
  </si>
  <si>
    <t>506 W 178th St</t>
  </si>
  <si>
    <t>260 Audubon Ave</t>
  </si>
  <si>
    <t>600 W 183rd St</t>
  </si>
  <si>
    <t>615 W 186th St</t>
  </si>
  <si>
    <t>353 Fort Washington Ave</t>
  </si>
  <si>
    <t>539 W 179th St</t>
  </si>
  <si>
    <t>563 West 184th Street</t>
  </si>
  <si>
    <t>100 Fort Washington Ave</t>
  </si>
  <si>
    <t>128 Fort Washington Ave</t>
  </si>
  <si>
    <t>565 W 162nd St</t>
  </si>
  <si>
    <t>523 W 162nd St</t>
  </si>
  <si>
    <t>555 Edgecombe Ave</t>
  </si>
  <si>
    <t>1090 Saint Nicholas Ave</t>
  </si>
  <si>
    <t>124 Fort Washington Ave</t>
  </si>
  <si>
    <t>47 Fort Washington Ave</t>
  </si>
  <si>
    <t>3333 Broadway</t>
  </si>
  <si>
    <t>321 Edgecombe Ave</t>
  </si>
  <si>
    <t>502 W 151st St</t>
  </si>
  <si>
    <t>151 W 140th St</t>
  </si>
  <si>
    <t>1590 Lexington Ave</t>
  </si>
  <si>
    <t>1325 5th Ave</t>
  </si>
  <si>
    <t>127 E 107th St</t>
  </si>
  <si>
    <t>420 E 111th St</t>
  </si>
  <si>
    <t>107 E 100th St</t>
  </si>
  <si>
    <t>1873 2nd Ave</t>
  </si>
  <si>
    <t>139 E 110th St</t>
  </si>
  <si>
    <t>91 E 116th St</t>
  </si>
  <si>
    <t>1575 Lexington Ave</t>
  </si>
  <si>
    <t>138 W 129th St</t>
  </si>
  <si>
    <t>4 W 121st St</t>
  </si>
  <si>
    <t>2067 7th ave</t>
  </si>
  <si>
    <t>423 W 120th St</t>
  </si>
  <si>
    <t>21 W 106th St</t>
  </si>
  <si>
    <t>666 W End Ave</t>
  </si>
  <si>
    <t>155 W 81st St</t>
  </si>
  <si>
    <t>Po Box 230455</t>
  </si>
  <si>
    <t>1410 York Ave</t>
  </si>
  <si>
    <t>241 W 36th St</t>
  </si>
  <si>
    <t>237 E 34th Street</t>
  </si>
  <si>
    <t>40 Worth St</t>
  </si>
  <si>
    <t>265 LaFayette St</t>
  </si>
  <si>
    <t>178 Avenue D</t>
  </si>
  <si>
    <t>317 W 30th St</t>
  </si>
  <si>
    <t>310 Propect Avenue</t>
  </si>
  <si>
    <t>231 E 117th St</t>
  </si>
  <si>
    <t>22 E 112th St</t>
  </si>
  <si>
    <t>1626 Lexington Ave</t>
  </si>
  <si>
    <t>57-63 Wadsworth Terrace</t>
  </si>
  <si>
    <t>549 Isham St</t>
  </si>
  <si>
    <t>2075 2nd Ave</t>
  </si>
  <si>
    <t>3852 10th Ave</t>
  </si>
  <si>
    <t>51 E 129th St # 55</t>
  </si>
  <si>
    <t>537 E 81st St</t>
  </si>
  <si>
    <t>124 Sherman Ave</t>
  </si>
  <si>
    <t>454 E 119th St</t>
  </si>
  <si>
    <t>521 W 186th St</t>
  </si>
  <si>
    <t>426 E 118th st</t>
  </si>
  <si>
    <t>1781 Riverside Dr</t>
  </si>
  <si>
    <t>95 Seaman Ave</t>
  </si>
  <si>
    <t>112 W 144th St</t>
  </si>
  <si>
    <t>112 W 138th St</t>
  </si>
  <si>
    <t>101-125 W 147th St</t>
  </si>
  <si>
    <t>618 Academy St</t>
  </si>
  <si>
    <t>100 E 118th St</t>
  </si>
  <si>
    <t>287 Edgecombe Ave</t>
  </si>
  <si>
    <t>547 W 160th St</t>
  </si>
  <si>
    <t>229 Seaman Ave</t>
  </si>
  <si>
    <t>508 W 136th St</t>
  </si>
  <si>
    <t>418 E 119th St</t>
  </si>
  <si>
    <t>117 Sherman Ave</t>
  </si>
  <si>
    <t>25 Cumming St</t>
  </si>
  <si>
    <t>162 E 109th St</t>
  </si>
  <si>
    <t>127E 107 St</t>
  </si>
  <si>
    <t>220 W 98th St</t>
  </si>
  <si>
    <t>413 E 114th St</t>
  </si>
  <si>
    <t>241 Sherman Ave</t>
  </si>
  <si>
    <t>245 E 63rd St</t>
  </si>
  <si>
    <t>191 Orchard St</t>
  </si>
  <si>
    <t>540 W 145th St</t>
  </si>
  <si>
    <t>563 W 191st St</t>
  </si>
  <si>
    <t>325 E 106th St</t>
  </si>
  <si>
    <t>545 Edgecombe Ave</t>
  </si>
  <si>
    <t>101 Post Ave</t>
  </si>
  <si>
    <t>1405 5th Ave</t>
  </si>
  <si>
    <t>175 E 105th St</t>
  </si>
  <si>
    <t>3609 Broadway</t>
  </si>
  <si>
    <t>414 E 119th St</t>
  </si>
  <si>
    <t>153 Seaman Ave</t>
  </si>
  <si>
    <t>314 E 100th St</t>
  </si>
  <si>
    <t>666 W 188th St</t>
  </si>
  <si>
    <t>336 Fort Washington Ave</t>
  </si>
  <si>
    <t>4700 Broadway</t>
  </si>
  <si>
    <t>3856 10th Ave</t>
  </si>
  <si>
    <t>421 W 162nd St</t>
  </si>
  <si>
    <t>83 Vermilyea Ave C21</t>
  </si>
  <si>
    <t>114 E 122nd St</t>
  </si>
  <si>
    <t>409 W 127th St</t>
  </si>
  <si>
    <t>112 E 103rd St</t>
  </si>
  <si>
    <t>2 E 128th St</t>
  </si>
  <si>
    <t>331 E 109th St</t>
  </si>
  <si>
    <t>115 E 116th St</t>
  </si>
  <si>
    <t>685 Academy St</t>
  </si>
  <si>
    <t>87 Saint Nicholas Pl</t>
  </si>
  <si>
    <t>1806 1st Ave</t>
  </si>
  <si>
    <t>122 E 102nd St</t>
  </si>
  <si>
    <t>2080 1st Ave</t>
  </si>
  <si>
    <t>217 E 120th St</t>
  </si>
  <si>
    <t>25 Post Ave</t>
  </si>
  <si>
    <t>2085 Lexington Ave</t>
  </si>
  <si>
    <t>50 W 139th St</t>
  </si>
  <si>
    <t>1883 Amsterdam Ave</t>
  </si>
  <si>
    <t>609 W 196th St</t>
  </si>
  <si>
    <t>125 Seaman Ave</t>
  </si>
  <si>
    <t>1964 1st Ave</t>
  </si>
  <si>
    <t>111 W 135th St</t>
  </si>
  <si>
    <t>35 E 106th St</t>
  </si>
  <si>
    <t>110 Seaman Ave</t>
  </si>
  <si>
    <t>165 Seaman Ave</t>
  </si>
  <si>
    <t>531 W 145th St</t>
  </si>
  <si>
    <t>40 W 115th St</t>
  </si>
  <si>
    <t>167 E 115th St</t>
  </si>
  <si>
    <t>364 W 18th St</t>
  </si>
  <si>
    <t>248 Audubon Ave</t>
  </si>
  <si>
    <t>4865 Broadway</t>
  </si>
  <si>
    <t>453 E 117th St</t>
  </si>
  <si>
    <t>200 Nagle Ave</t>
  </si>
  <si>
    <t>335 E 115th St # 7</t>
  </si>
  <si>
    <t>231 Sherman Ave</t>
  </si>
  <si>
    <t>730 Riverside Dr</t>
  </si>
  <si>
    <t>501 W 184th St</t>
  </si>
  <si>
    <t>1954 1st Ave</t>
  </si>
  <si>
    <t>700 W 175th St</t>
  </si>
  <si>
    <t>521 W 185th St</t>
  </si>
  <si>
    <t>120 Sherman Ave</t>
  </si>
  <si>
    <t>212 E 117th St</t>
  </si>
  <si>
    <t>124 E 117th St</t>
  </si>
  <si>
    <t>600 W 161st St</t>
  </si>
  <si>
    <t>1760 Madison Ave</t>
  </si>
  <si>
    <t>90 Laurel Hill Ter</t>
  </si>
  <si>
    <t>536 Isham St</t>
  </si>
  <si>
    <t>580 W 215th St</t>
  </si>
  <si>
    <t>48 Post Ave</t>
  </si>
  <si>
    <t>9-11 Delancey St</t>
  </si>
  <si>
    <t>2267 2nd Ave</t>
  </si>
  <si>
    <t>121 Sherman Ave</t>
  </si>
  <si>
    <t>25-31 Post Avenue</t>
  </si>
  <si>
    <t>153 Vermilyea Ave</t>
  </si>
  <si>
    <t>10 Post Ave</t>
  </si>
  <si>
    <t>160 Vermilyea Ave</t>
  </si>
  <si>
    <t>532 W 145th St</t>
  </si>
  <si>
    <t>517 W 212th St</t>
  </si>
  <si>
    <t>168 Sherman Ave</t>
  </si>
  <si>
    <t>117 E 130th St</t>
  </si>
  <si>
    <t>119 E 100th St</t>
  </si>
  <si>
    <t>96 Baxter St</t>
  </si>
  <si>
    <t>546 Isham St</t>
  </si>
  <si>
    <t>592 W 178th St</t>
  </si>
  <si>
    <t>1844 Stuart St</t>
  </si>
  <si>
    <t>332 E 109th St</t>
  </si>
  <si>
    <t>49 Saint Nicholas Ter</t>
  </si>
  <si>
    <t>601 W 180th St</t>
  </si>
  <si>
    <t>19 Cooper St</t>
  </si>
  <si>
    <t>315 E 102nd St</t>
  </si>
  <si>
    <t>23 Arden St</t>
  </si>
  <si>
    <t>530 Isham St</t>
  </si>
  <si>
    <t>502 W 213th St</t>
  </si>
  <si>
    <t>250 E 105th St</t>
  </si>
  <si>
    <t>5085 Broadway</t>
  </si>
  <si>
    <t>34 Post Ave</t>
  </si>
  <si>
    <t>109 Post Ave</t>
  </si>
  <si>
    <t>655 W 160th St</t>
  </si>
  <si>
    <t>166 W 118th St</t>
  </si>
  <si>
    <t>55 Nagle Ave</t>
  </si>
  <si>
    <t>4960 Broadway</t>
  </si>
  <si>
    <t>500 W 30th Street</t>
  </si>
  <si>
    <t>1777 Madison Ave</t>
  </si>
  <si>
    <t>181 Vermilyea Ave</t>
  </si>
  <si>
    <t>578 Academy St</t>
  </si>
  <si>
    <t>667 W 161st St</t>
  </si>
  <si>
    <t>19 E 109th St</t>
  </si>
  <si>
    <t>706 E 11th St</t>
  </si>
  <si>
    <t>64 Vermilyea Ave</t>
  </si>
  <si>
    <t>25 Vermilyea Ave</t>
  </si>
  <si>
    <t>555 W 173rd St</t>
  </si>
  <si>
    <t>252 Sherman Ave</t>
  </si>
  <si>
    <t>301 W 138TH ST</t>
  </si>
  <si>
    <t>574 W 176th St</t>
  </si>
  <si>
    <t>159 Bay 34th St</t>
  </si>
  <si>
    <t>144 Gatling Pl</t>
  </si>
  <si>
    <t>2295 2nd Ave</t>
  </si>
  <si>
    <t>10 E 116th St</t>
  </si>
  <si>
    <t>420 E 102nd St</t>
  </si>
  <si>
    <t>521-523 West 180th Street</t>
  </si>
  <si>
    <t>171 E 109th St</t>
  </si>
  <si>
    <t>545 W 162nd St</t>
  </si>
  <si>
    <t>110 W End Ave</t>
  </si>
  <si>
    <t>88 Seaman Ave</t>
  </si>
  <si>
    <t>605 W 42nd St</t>
  </si>
  <si>
    <t>330 Wadsworth Ave</t>
  </si>
  <si>
    <t>281 Pleasant Ave</t>
  </si>
  <si>
    <t>182 Nagle Ave</t>
  </si>
  <si>
    <t>119 Vermilyea Ave</t>
  </si>
  <si>
    <t>860 Riverside Dr</t>
  </si>
  <si>
    <t>506 W 172nd St</t>
  </si>
  <si>
    <t>65 Seaman Ave</t>
  </si>
  <si>
    <t>10 Stanton St</t>
  </si>
  <si>
    <t>21 E 104th St</t>
  </si>
  <si>
    <t>480 Saint Nicholas Ave</t>
  </si>
  <si>
    <t>509 W 212th St</t>
  </si>
  <si>
    <t>1454 Grand Concourse</t>
  </si>
  <si>
    <t>73 Vermilyea Ave</t>
  </si>
  <si>
    <t>161 E 96th St</t>
  </si>
  <si>
    <t>38 Post Ave</t>
  </si>
  <si>
    <t>505 W 167th St</t>
  </si>
  <si>
    <t>620 W 182nd St</t>
  </si>
  <si>
    <t>176 Nagle Ave # 182</t>
  </si>
  <si>
    <t>177 E 101st St</t>
  </si>
  <si>
    <t>535 W 151st St</t>
  </si>
  <si>
    <t>554 W 181st St</t>
  </si>
  <si>
    <t>2070 1st Ave</t>
  </si>
  <si>
    <t>176-182  Nagle Avenue</t>
  </si>
  <si>
    <t>524 W 173rd St</t>
  </si>
  <si>
    <t>89-95 Seaman Avenue</t>
  </si>
  <si>
    <t>9 E 124th St</t>
  </si>
  <si>
    <t>248 Sherman Ave</t>
  </si>
  <si>
    <t>14 Thayer St</t>
  </si>
  <si>
    <t>116 Sherman Ave</t>
  </si>
  <si>
    <t>524 W 134th St</t>
  </si>
  <si>
    <t>1680 Madison Ave</t>
  </si>
  <si>
    <t>220 E 94th St</t>
  </si>
  <si>
    <t>135 Chrystie St</t>
  </si>
  <si>
    <t>61 Vermilyea Ave</t>
  </si>
  <si>
    <t>2301 1st Ave</t>
  </si>
  <si>
    <t>309 E 110th St</t>
  </si>
  <si>
    <t>1636 Lexington Ave</t>
  </si>
  <si>
    <t>1624 Madison Ave</t>
  </si>
  <si>
    <t>163 E 106th St</t>
  </si>
  <si>
    <t>347 E 119th St</t>
  </si>
  <si>
    <t>115 Hamilton Pl</t>
  </si>
  <si>
    <t>165 Christopher St</t>
  </si>
  <si>
    <t>2022 3rd Ave</t>
  </si>
  <si>
    <t>662 W 184th St</t>
  </si>
  <si>
    <t>220 W 149th St</t>
  </si>
  <si>
    <t>71 Vermilyea Ave</t>
  </si>
  <si>
    <t>247 Audubon Ave</t>
  </si>
  <si>
    <t>701 W 179th St</t>
  </si>
  <si>
    <t>1115 1st Ave</t>
  </si>
  <si>
    <t>20 Sherman Ave</t>
  </si>
  <si>
    <t>2999 8th Ave</t>
  </si>
  <si>
    <t>2130 1st Ave</t>
  </si>
  <si>
    <t>11 E 107th St</t>
  </si>
  <si>
    <t>132 Sherman Ave Apt 3</t>
  </si>
  <si>
    <t>558 W 164th St</t>
  </si>
  <si>
    <t>170 Vermilyea Ave</t>
  </si>
  <si>
    <t>26 Post Ave</t>
  </si>
  <si>
    <t>177 E 117th st</t>
  </si>
  <si>
    <t>104 Vermilyea Ave</t>
  </si>
  <si>
    <t>559 W 156th St</t>
  </si>
  <si>
    <t>715 W 180th St</t>
  </si>
  <si>
    <t>125 Sherman Avenue</t>
  </si>
  <si>
    <t>318 E 126th St</t>
  </si>
  <si>
    <t>11 Fort George Hill</t>
  </si>
  <si>
    <t>124 E 117th ST</t>
  </si>
  <si>
    <t>66 Post Ave</t>
  </si>
  <si>
    <t>251 E 105th St</t>
  </si>
  <si>
    <t>145 E 126th St</t>
  </si>
  <si>
    <t>339 E 94th St</t>
  </si>
  <si>
    <t>95 Thayer St</t>
  </si>
  <si>
    <t>55 Cooper St</t>
  </si>
  <si>
    <t>154 E 106th St</t>
  </si>
  <si>
    <t>31 Park Ter W</t>
  </si>
  <si>
    <t>1590 Madison Ave</t>
  </si>
  <si>
    <t>1951 Park Ave</t>
  </si>
  <si>
    <t>123 E 129th St</t>
  </si>
  <si>
    <t>601 W 162nd St</t>
  </si>
  <si>
    <t>2315 2nd Ave</t>
  </si>
  <si>
    <t>4879 Broadway</t>
  </si>
  <si>
    <t>114 E 104th St</t>
  </si>
  <si>
    <t>85 Seaman ave</t>
  </si>
  <si>
    <t>514 W 213th St</t>
  </si>
  <si>
    <t>152 Sherman Avenue</t>
  </si>
  <si>
    <t>91 Allen St</t>
  </si>
  <si>
    <t>333 3rd Ave</t>
  </si>
  <si>
    <t>1944 Madison Ave</t>
  </si>
  <si>
    <t>301 E 108th St</t>
  </si>
  <si>
    <t>803 W 180th St</t>
  </si>
  <si>
    <t>444 2nd Ave</t>
  </si>
  <si>
    <t>58 Orchard St</t>
  </si>
  <si>
    <t>127 E 117th St</t>
  </si>
  <si>
    <t>112 W 117th St</t>
  </si>
  <si>
    <t>3502 Hull Ave</t>
  </si>
  <si>
    <t>562 W 189th St</t>
  </si>
  <si>
    <t>422 W 154th St</t>
  </si>
  <si>
    <t>20 Arden St</t>
  </si>
  <si>
    <t>303 W 154th St</t>
  </si>
  <si>
    <t>11 E 125th St</t>
  </si>
  <si>
    <t>117 E 118th St</t>
  </si>
  <si>
    <t>164 E 104th St</t>
  </si>
  <si>
    <t>4 E 107th St</t>
  </si>
  <si>
    <t>645 Water St</t>
  </si>
  <si>
    <t>136 Seaman Ave</t>
  </si>
  <si>
    <t>10-22 Fairview Ave</t>
  </si>
  <si>
    <t>85 Seaman Ave</t>
  </si>
  <si>
    <t>252 E 112th St</t>
  </si>
  <si>
    <t>19 Monroe St</t>
  </si>
  <si>
    <t>81 Cabrini Blvd</t>
  </si>
  <si>
    <t>103 Vermilyea Ave</t>
  </si>
  <si>
    <t>1952 1st Ave</t>
  </si>
  <si>
    <t>11 Seaman Ave</t>
  </si>
  <si>
    <t>154 Vermilyea Ave</t>
  </si>
  <si>
    <t>1652 Park Ave</t>
  </si>
  <si>
    <t>506 W 213th St</t>
  </si>
  <si>
    <t>451 E 116th St</t>
  </si>
  <si>
    <t>567 W 186th St</t>
  </si>
  <si>
    <t>517 W 160th St</t>
  </si>
  <si>
    <t>2010 Lexington Ave</t>
  </si>
  <si>
    <t>541 Isham St</t>
  </si>
  <si>
    <t>524 E 119th St</t>
  </si>
  <si>
    <t>101 Cooper St</t>
  </si>
  <si>
    <t>561 W 179th St</t>
  </si>
  <si>
    <t>19 Vermilyea Ave</t>
  </si>
  <si>
    <t>149 E 118th St</t>
  </si>
  <si>
    <t>23 Vermilyea Ave</t>
  </si>
  <si>
    <t>775 Riverside Dr</t>
  </si>
  <si>
    <t>550 Academy St</t>
  </si>
  <si>
    <t>34 Hillside Ave</t>
  </si>
  <si>
    <t>555 W 184th St</t>
  </si>
  <si>
    <t>195 Madison St</t>
  </si>
  <si>
    <t>315 E 5th St</t>
  </si>
  <si>
    <t>560 W 192nd St</t>
  </si>
  <si>
    <t>645 W 160th St</t>
  </si>
  <si>
    <t>195 Stanton St</t>
  </si>
  <si>
    <t>658 W 188th St</t>
  </si>
  <si>
    <t>20 sherman Ave</t>
  </si>
  <si>
    <t>238 E 111th St</t>
  </si>
  <si>
    <t>441 E 116th St</t>
  </si>
  <si>
    <t>118 E 116th St</t>
  </si>
  <si>
    <t>209 E 118th St</t>
  </si>
  <si>
    <t>1692 Park Ave</t>
  </si>
  <si>
    <t>506 W 151st St</t>
  </si>
  <si>
    <t>650 W 173rd St</t>
  </si>
  <si>
    <t>120 Vermilyea Ave</t>
  </si>
  <si>
    <t>585 W 204th St</t>
  </si>
  <si>
    <t>9708 Kings Hwy</t>
  </si>
  <si>
    <t>569 Academy St</t>
  </si>
  <si>
    <t>229 Columbus Ave</t>
  </si>
  <si>
    <t>601 W 190th St</t>
  </si>
  <si>
    <t>600 W 204th St</t>
  </si>
  <si>
    <t>107 Post Ave</t>
  </si>
  <si>
    <t>152 Sherman Ave</t>
  </si>
  <si>
    <t>2075 1st Ave</t>
  </si>
  <si>
    <t>104 W 83rd St</t>
  </si>
  <si>
    <t>115 E 115th St</t>
  </si>
  <si>
    <t>107 E 126th St # 129</t>
  </si>
  <si>
    <t>424 W 110th St</t>
  </si>
  <si>
    <t>623 W 207th St</t>
  </si>
  <si>
    <t>560 W 160th St</t>
  </si>
  <si>
    <t>199 Sherman Ave</t>
  </si>
  <si>
    <t>254 Seaman Ave</t>
  </si>
  <si>
    <t>603 Academy St</t>
  </si>
  <si>
    <t>103 Post Ave</t>
  </si>
  <si>
    <t>127 W 141st St</t>
  </si>
  <si>
    <t>168 E 108th St</t>
  </si>
  <si>
    <t>552 W 186th St</t>
  </si>
  <si>
    <t>3920 Broadway</t>
  </si>
  <si>
    <t>470 2nd Ave</t>
  </si>
  <si>
    <t>1366 Ovington Ave</t>
  </si>
  <si>
    <t>22 Post Ave</t>
  </si>
  <si>
    <t>510 W 150th St</t>
  </si>
  <si>
    <t>1901 Madison Ave</t>
  </si>
  <si>
    <t>508 W 180th St</t>
  </si>
  <si>
    <t>215 E 117th St</t>
  </si>
  <si>
    <t>518 W 204th St</t>
  </si>
  <si>
    <t>100 Cooper St</t>
  </si>
  <si>
    <t>260 Audubon ave</t>
  </si>
  <si>
    <t>200 E 110th St</t>
  </si>
  <si>
    <t>336 E 117th St</t>
  </si>
  <si>
    <t>78 Post Ave</t>
  </si>
  <si>
    <t>610 Academy St</t>
  </si>
  <si>
    <t>13 E 124th St</t>
  </si>
  <si>
    <t>427 Fort Washington Ave</t>
  </si>
  <si>
    <t>237 E 115th St</t>
  </si>
  <si>
    <t>22 E 119th St</t>
  </si>
  <si>
    <t>101 W 106th St</t>
  </si>
  <si>
    <t>243 E 120th St</t>
  </si>
  <si>
    <t>725 Riverside Dr</t>
  </si>
  <si>
    <t>360 Cabrini Blvd</t>
  </si>
  <si>
    <t>106 E 116th St</t>
  </si>
  <si>
    <t>561 W 186th St</t>
  </si>
  <si>
    <t>220 W 133rd St</t>
  </si>
  <si>
    <t>320 E 109th St</t>
  </si>
  <si>
    <t>39 Henry St</t>
  </si>
  <si>
    <t>66 W 126th St</t>
  </si>
  <si>
    <t>1952 2nd ave</t>
  </si>
  <si>
    <t>65 Post Ave</t>
  </si>
  <si>
    <t>189 Sherman Ave</t>
  </si>
  <si>
    <t>222 E 104th St</t>
  </si>
  <si>
    <t>1531 York Ave</t>
  </si>
  <si>
    <t>228 Nagle Ave</t>
  </si>
  <si>
    <t>157 Vermilyea Ave</t>
  </si>
  <si>
    <t>711 W 180th St</t>
  </si>
  <si>
    <t>221 E 106th St</t>
  </si>
  <si>
    <t>35 Thayer St</t>
  </si>
  <si>
    <t>152 E 84th St</t>
  </si>
  <si>
    <t>850 Amsterdam Ave</t>
  </si>
  <si>
    <t>117 W 111th St</t>
  </si>
  <si>
    <t>61 Ellwood St</t>
  </si>
  <si>
    <t>73-83 Vermilyea Avenue</t>
  </si>
  <si>
    <t>153 E 105th St</t>
  </si>
  <si>
    <t>590 W 204th St</t>
  </si>
  <si>
    <t>9 Sherman Ave</t>
  </si>
  <si>
    <t>2855 8th Ave</t>
  </si>
  <si>
    <t>3505 Broadway</t>
  </si>
  <si>
    <t>656 W 204th St</t>
  </si>
  <si>
    <t>330 E 100th St</t>
  </si>
  <si>
    <t>644 W 185th St</t>
  </si>
  <si>
    <t>9 Post Ave</t>
  </si>
  <si>
    <t>51 E Houston St</t>
  </si>
  <si>
    <t>272 Sherman ave</t>
  </si>
  <si>
    <t>2110 1st Ave</t>
  </si>
  <si>
    <t>210 Sherman Ave</t>
  </si>
  <si>
    <t>189 Sherman Avenue</t>
  </si>
  <si>
    <t>606 W 191st St</t>
  </si>
  <si>
    <t>10 Vermilyea Ave</t>
  </si>
  <si>
    <t>513 E 13th St</t>
  </si>
  <si>
    <t>611 W 148th St</t>
  </si>
  <si>
    <t>130 E 104th St</t>
  </si>
  <si>
    <t>30 Post Ave</t>
  </si>
  <si>
    <t>158 E 119th St</t>
  </si>
  <si>
    <t>287 Audubon Ave</t>
  </si>
  <si>
    <t>615 W 164th St</t>
  </si>
  <si>
    <t>570 W 204th St</t>
  </si>
  <si>
    <t>686 Academy St</t>
  </si>
  <si>
    <t>1795 Riverside Dr</t>
  </si>
  <si>
    <t>530 W 136th St</t>
  </si>
  <si>
    <t>470 W 166th St</t>
  </si>
  <si>
    <t>245 E 124th St</t>
  </si>
  <si>
    <t>577 Isham Street</t>
  </si>
  <si>
    <t>21 E 127th St</t>
  </si>
  <si>
    <t>309 W 76th St</t>
  </si>
  <si>
    <t>509 W 176th St</t>
  </si>
  <si>
    <t>101 Sherman Avenue</t>
  </si>
  <si>
    <t>1553 Lexington Ave</t>
  </si>
  <si>
    <t>511 W 179th St</t>
  </si>
  <si>
    <t>464 W 15th St</t>
  </si>
  <si>
    <t>484 E Houston St</t>
  </si>
  <si>
    <t>102 W 134th St</t>
  </si>
  <si>
    <t>577 Isham St</t>
  </si>
  <si>
    <t>3852 10th ave</t>
  </si>
  <si>
    <t>109 Sherman Ave</t>
  </si>
  <si>
    <t>244 E 117th St</t>
  </si>
  <si>
    <t>340 Haven Ave</t>
  </si>
  <si>
    <t>101 Sherman Ave</t>
  </si>
  <si>
    <t>252 Sherman ave</t>
  </si>
  <si>
    <t>267 W 152nd St</t>
  </si>
  <si>
    <t>418 W 20th St</t>
  </si>
  <si>
    <t>9-15 Post Avenue</t>
  </si>
  <si>
    <t>580 W 161st St</t>
  </si>
  <si>
    <t>571 W 139th St</t>
  </si>
  <si>
    <t>362 Audubon Ave</t>
  </si>
  <si>
    <t>51 E 129th St</t>
  </si>
  <si>
    <t>231 Edgecome Avenue</t>
  </si>
  <si>
    <t>212 Sherman Ave</t>
  </si>
  <si>
    <t>232 E 106th St</t>
  </si>
  <si>
    <t>111 E 100th St</t>
  </si>
  <si>
    <t>117 Sherman Avenue</t>
  </si>
  <si>
    <t>13 E 9th St</t>
  </si>
  <si>
    <t>36 Ellwood St</t>
  </si>
  <si>
    <t>1274 5th Ave</t>
  </si>
  <si>
    <t>301 Audubon Ave</t>
  </si>
  <si>
    <t>15 Post Ave</t>
  </si>
  <si>
    <t>58 E 132nd St</t>
  </si>
  <si>
    <t>122 E 104th St</t>
  </si>
  <si>
    <t>60 Thayer St</t>
  </si>
  <si>
    <t>630 W 172nd St</t>
  </si>
  <si>
    <t>2115 kecoughtan Rd #71D</t>
  </si>
  <si>
    <t>140 Henry St</t>
  </si>
  <si>
    <t>163 E 115th St</t>
  </si>
  <si>
    <t>235 W 48th St</t>
  </si>
  <si>
    <t>55 cooper st</t>
  </si>
  <si>
    <t>462 E 115th St</t>
  </si>
  <si>
    <t>319 E 91st St</t>
  </si>
  <si>
    <t>115 Post Ave</t>
  </si>
  <si>
    <t>109 W 111th St</t>
  </si>
  <si>
    <t>1990 lexington ave</t>
  </si>
  <si>
    <t>72 Vermilyea Ave</t>
  </si>
  <si>
    <t>157 W 131st St</t>
  </si>
  <si>
    <t>74 Post ave</t>
  </si>
  <si>
    <t>40 E Broadway</t>
  </si>
  <si>
    <t>1365 Saint Nicholas Ave</t>
  </si>
  <si>
    <t>110 New York Ave</t>
  </si>
  <si>
    <t>63 Post Ave</t>
  </si>
  <si>
    <t>173 Avenue B</t>
  </si>
  <si>
    <t>33 Indian Rd</t>
  </si>
  <si>
    <t>421 E 116th St</t>
  </si>
  <si>
    <t>2411 2nd Ave</t>
  </si>
  <si>
    <t>106 Cabrini Blvd</t>
  </si>
  <si>
    <t>2430 7th Ave</t>
  </si>
  <si>
    <t>300 E 119th St</t>
  </si>
  <si>
    <t>544 Academy St</t>
  </si>
  <si>
    <t>122 E 108th St</t>
  </si>
  <si>
    <t>225 E 118th St</t>
  </si>
  <si>
    <t>73 Ellwood St # 1</t>
  </si>
  <si>
    <t>425 W 160th St</t>
  </si>
  <si>
    <t>2890 8th Ave</t>
  </si>
  <si>
    <t>815 W 180th St</t>
  </si>
  <si>
    <t>2293 3rd Ave</t>
  </si>
  <si>
    <t>1595 Madison Ave</t>
  </si>
  <si>
    <t>221 Seaman Ave</t>
  </si>
  <si>
    <t>221 Sherman Ave</t>
  </si>
  <si>
    <t>444 E 82nd St</t>
  </si>
  <si>
    <t>158 E 110th St</t>
  </si>
  <si>
    <t>165 Sherman Ave</t>
  </si>
  <si>
    <t>20 Laurel Hill Ter</t>
  </si>
  <si>
    <t>339 E 118th St</t>
  </si>
  <si>
    <t>420 W 206th St</t>
  </si>
  <si>
    <t>315 E 103rd St</t>
  </si>
  <si>
    <t>715 W 175th St</t>
  </si>
  <si>
    <t>562 W 190th St</t>
  </si>
  <si>
    <t>132 Sherman Ave</t>
  </si>
  <si>
    <t>720 W 180th St</t>
  </si>
  <si>
    <t>603 Isham St</t>
  </si>
  <si>
    <t>506 W 170th St</t>
  </si>
  <si>
    <t>241 E 120th St</t>
  </si>
  <si>
    <t>611 W 176th St</t>
  </si>
  <si>
    <t>40 Thayer St</t>
  </si>
  <si>
    <t>301 E 62nd St</t>
  </si>
  <si>
    <t>1370 Saint Nicholas Ave</t>
  </si>
  <si>
    <t>101 sherman ave</t>
  </si>
  <si>
    <t>376 Madison Ave</t>
  </si>
  <si>
    <t>526 W 158th St</t>
  </si>
  <si>
    <t>1491 Lexington Ave</t>
  </si>
  <si>
    <t>119 Ellwood St</t>
  </si>
  <si>
    <t>2217 8th Ave</t>
  </si>
  <si>
    <t>66 Vermilyea Ave</t>
  </si>
  <si>
    <t>172 Nagle Ave Apt 34</t>
  </si>
  <si>
    <t>1900 Lexington Ave</t>
  </si>
  <si>
    <t>33 Post Ave</t>
  </si>
  <si>
    <t>1295 5th Ave</t>
  </si>
  <si>
    <t>809 W 177th St</t>
  </si>
  <si>
    <t>565 W 181st St</t>
  </si>
  <si>
    <t>1854 7th Ave</t>
  </si>
  <si>
    <t>2253 3rd Ave</t>
  </si>
  <si>
    <t>516 Main St</t>
  </si>
  <si>
    <t>25 Cooper St</t>
  </si>
  <si>
    <t>609 W 158th St</t>
  </si>
  <si>
    <t>547 W 135th St</t>
  </si>
  <si>
    <t>73 Cooper St</t>
  </si>
  <si>
    <t>22 E 104th St</t>
  </si>
  <si>
    <t>2291 1/2 2nd Ave</t>
  </si>
  <si>
    <t>90-96 Stontan street</t>
  </si>
  <si>
    <t>107 E 126th St</t>
  </si>
  <si>
    <t>1374 York Ave</t>
  </si>
  <si>
    <t>166 E 119th ST</t>
  </si>
  <si>
    <t>541 W 133rd St</t>
  </si>
  <si>
    <t>10 Park Ter E</t>
  </si>
  <si>
    <t>425 W 205th St</t>
  </si>
  <si>
    <t>680 Saint Nicholas Ave</t>
  </si>
  <si>
    <t>497 W 182nd St</t>
  </si>
  <si>
    <t>19 W 105th St</t>
  </si>
  <si>
    <t>38 W 31st St</t>
  </si>
  <si>
    <t>438 E 120th St</t>
  </si>
  <si>
    <t>601 W 156th St</t>
  </si>
  <si>
    <t>12 E 116th St</t>
  </si>
  <si>
    <t>418 W 130th St</t>
  </si>
  <si>
    <t>2593 8th Ave</t>
  </si>
  <si>
    <t>316 E 49th St</t>
  </si>
  <si>
    <t>2021 Lexington Ave</t>
  </si>
  <si>
    <t>16 Marble Hill Ave</t>
  </si>
  <si>
    <t>204 Sherman Ave</t>
  </si>
  <si>
    <t>205 E 124th St</t>
  </si>
  <si>
    <t>1115 Fdr Dr</t>
  </si>
  <si>
    <t>221 E 122nd St</t>
  </si>
  <si>
    <t>3784 10th Ave</t>
  </si>
  <si>
    <t>2027 3rd Ave</t>
  </si>
  <si>
    <t>1644 Madison Ave</t>
  </si>
  <si>
    <t>132 Seaman Ave</t>
  </si>
  <si>
    <t>595 W 207th St</t>
  </si>
  <si>
    <t>244 E 7th St</t>
  </si>
  <si>
    <t>424 W 48th St</t>
  </si>
  <si>
    <t>121 Post Ave</t>
  </si>
  <si>
    <t>215 W 101st St</t>
  </si>
  <si>
    <t>1309 5TH AVE</t>
  </si>
  <si>
    <t>156 Allen St</t>
  </si>
  <si>
    <t>395 Fort Washington Ave</t>
  </si>
  <si>
    <t>571 W 175th St</t>
  </si>
  <si>
    <t>21 E 107th st</t>
  </si>
  <si>
    <t>206 E 117th St</t>
  </si>
  <si>
    <t>423 E 115th St</t>
  </si>
  <si>
    <t>447 E 116th St</t>
  </si>
  <si>
    <t>81 Ludlow St</t>
  </si>
  <si>
    <t>57 Wadsworth Ter # 63</t>
  </si>
  <si>
    <t>165 Nagle Ave</t>
  </si>
  <si>
    <t>2321 1st Ave</t>
  </si>
  <si>
    <t>25-31 Post Ave</t>
  </si>
  <si>
    <t>208 Nagle Ave</t>
  </si>
  <si>
    <t>455 Fort Washington Ave</t>
  </si>
  <si>
    <t>650 W 177th St</t>
  </si>
  <si>
    <t>610 W 180th St</t>
  </si>
  <si>
    <t>165 E 99th St</t>
  </si>
  <si>
    <t>22 E 108th St</t>
  </si>
  <si>
    <t>520 Isham St</t>
  </si>
  <si>
    <t>260 Fort Washington Ave</t>
  </si>
  <si>
    <t>601 W 174th St</t>
  </si>
  <si>
    <t>601 West 149th Street 54</t>
  </si>
  <si>
    <t>656 W 162nd St</t>
  </si>
  <si>
    <t>130 Fort Washington Ave</t>
  </si>
  <si>
    <t>2078 2nd Ave</t>
  </si>
  <si>
    <t>238 W 122nd St</t>
  </si>
  <si>
    <t>69 Pinehurst Ave</t>
  </si>
  <si>
    <t>561 W 141st St</t>
  </si>
  <si>
    <t>1629 Lexington Ave</t>
  </si>
  <si>
    <t>223 E 89th St</t>
  </si>
  <si>
    <t>100 Arden St</t>
  </si>
  <si>
    <t>611 Academy St</t>
  </si>
  <si>
    <t>540 W 157th St</t>
  </si>
  <si>
    <t>75 Thayer St</t>
  </si>
  <si>
    <t>1116 Grant Ave</t>
  </si>
  <si>
    <t>230 Clinton St</t>
  </si>
  <si>
    <t>100 Haven Ave</t>
  </si>
  <si>
    <t>174 E 85th St</t>
  </si>
  <si>
    <t>119 E 102nd St</t>
  </si>
  <si>
    <t>129 E 102nd St</t>
  </si>
  <si>
    <t>482 Fort Washington Ave</t>
  </si>
  <si>
    <t>57 Wadsworth Ter</t>
  </si>
  <si>
    <t>671 W 193rd St</t>
  </si>
  <si>
    <t>250 W 146th St</t>
  </si>
  <si>
    <t>2011 Amsterdam Ave</t>
  </si>
  <si>
    <t>75 E 116th St</t>
  </si>
  <si>
    <t>285 3rd Ave</t>
  </si>
  <si>
    <t>449 W 206th St</t>
  </si>
  <si>
    <t>141 Haven Ave</t>
  </si>
  <si>
    <t>59 E 3rd St</t>
  </si>
  <si>
    <t>87 Post Ave</t>
  </si>
  <si>
    <t>367 Wadsworth Ave</t>
  </si>
  <si>
    <t>347 W 55th St</t>
  </si>
  <si>
    <t>137 E 110th St</t>
  </si>
  <si>
    <t>501 E 87th St</t>
  </si>
  <si>
    <t>4530 Broadway</t>
  </si>
  <si>
    <t>20 Seaman Ave</t>
  </si>
  <si>
    <t>228 W 149th St</t>
  </si>
  <si>
    <t>237 W 127th St</t>
  </si>
  <si>
    <t>279 E 4th St</t>
  </si>
  <si>
    <t>617 W 143rd St</t>
  </si>
  <si>
    <t>235 E 117th St</t>
  </si>
  <si>
    <t>468 W 140th St</t>
  </si>
  <si>
    <t>57 Wadsworth Ave</t>
  </si>
  <si>
    <t>562 W 174th St</t>
  </si>
  <si>
    <t>209 E 110th St</t>
  </si>
  <si>
    <t>691 Fdr Dr</t>
  </si>
  <si>
    <t>304 E 8th St</t>
  </si>
  <si>
    <t>502 W 139th St</t>
  </si>
  <si>
    <t>409 E 120th St</t>
  </si>
  <si>
    <t>89 Seaman Ave</t>
  </si>
  <si>
    <t>2 Pinehurst Ave</t>
  </si>
  <si>
    <t>121 Seaman Ave</t>
  </si>
  <si>
    <t>77 Columbia St</t>
  </si>
  <si>
    <t>127 e 107th St</t>
  </si>
  <si>
    <t>1864 7th Ave</t>
  </si>
  <si>
    <t>213 Bennett Ave</t>
  </si>
  <si>
    <t>4966 Broadway</t>
  </si>
  <si>
    <t>551 W 185th St</t>
  </si>
  <si>
    <t>125 Sherman Ave</t>
  </si>
  <si>
    <t>9 Post Ave # 15</t>
  </si>
  <si>
    <t>164 Henry St</t>
  </si>
  <si>
    <t>75 Montgomery St</t>
  </si>
  <si>
    <t>112 W 134th St</t>
  </si>
  <si>
    <t>433 W 24th St</t>
  </si>
  <si>
    <t>242 E 106th St</t>
  </si>
  <si>
    <t>2032 Madison Ave</t>
  </si>
  <si>
    <t>330 E 104th St</t>
  </si>
  <si>
    <t>320 Wadsworth Ave</t>
  </si>
  <si>
    <t>600 W 218th St</t>
  </si>
  <si>
    <t>34-64 Hillside Avenue</t>
  </si>
  <si>
    <t>2 Ellwood St</t>
  </si>
  <si>
    <t>1924 2nd Ave</t>
  </si>
  <si>
    <t>245 E 111th St</t>
  </si>
  <si>
    <t>1481 5th Ave</t>
  </si>
  <si>
    <t>145 Seaman Ave</t>
  </si>
  <si>
    <t>570 Fort Washington Ave</t>
  </si>
  <si>
    <t>105 Pinehurst Ave</t>
  </si>
  <si>
    <t>442 W 164th St</t>
  </si>
  <si>
    <t>90 Ellwood St</t>
  </si>
  <si>
    <t>1309 5th Ave</t>
  </si>
  <si>
    <t>65 E 110th St</t>
  </si>
  <si>
    <t>120 1st Ave</t>
  </si>
  <si>
    <t>252 Sherman Aveue</t>
  </si>
  <si>
    <t>440 E 6th St</t>
  </si>
  <si>
    <t>55 Sickles St</t>
  </si>
  <si>
    <t>297 Pleasant Ave</t>
  </si>
  <si>
    <t>3 Haven Plz</t>
  </si>
  <si>
    <t>184 Nagle Ave</t>
  </si>
  <si>
    <t>66 Mulberry St</t>
  </si>
  <si>
    <t>235 E 39th St</t>
  </si>
  <si>
    <t>570 W 156th St</t>
  </si>
  <si>
    <t>167 W 81st St</t>
  </si>
  <si>
    <t>2569 Adam Clayton Powell Jr Blvd</t>
  </si>
  <si>
    <t>24 Cooper St</t>
  </si>
  <si>
    <t>171 Morningside Ave</t>
  </si>
  <si>
    <t>256 Seaman Ave</t>
  </si>
  <si>
    <t>512 W 158th St</t>
  </si>
  <si>
    <t>34 Bogardus Pl</t>
  </si>
  <si>
    <t>270 Nagle Ave</t>
  </si>
  <si>
    <t>614 Saint Nicholas Ave</t>
  </si>
  <si>
    <t>50 Park Ter E</t>
  </si>
  <si>
    <t>1 Marble Hill Ave</t>
  </si>
  <si>
    <t>200 W 15th St</t>
  </si>
  <si>
    <t>639 W 204th St</t>
  </si>
  <si>
    <t>600 W 144th St</t>
  </si>
  <si>
    <t>220 Wadsworth Ave</t>
  </si>
  <si>
    <t>200 Haven Ave</t>
  </si>
  <si>
    <t>602 W 137th St</t>
  </si>
  <si>
    <t>122 E 103rd St</t>
  </si>
  <si>
    <t>2330 5th Ave</t>
  </si>
  <si>
    <t>4672 Broadway</t>
  </si>
  <si>
    <t>240 Nagle Ave</t>
  </si>
  <si>
    <t>114 E 97th St</t>
  </si>
  <si>
    <t>603 Academy st</t>
  </si>
  <si>
    <t>328 E 78th St</t>
  </si>
  <si>
    <t>638 West 160</t>
  </si>
  <si>
    <t>401 E 115th St</t>
  </si>
  <si>
    <t>212 Saint Nicholas Ave</t>
  </si>
  <si>
    <t>70 Post Ave</t>
  </si>
  <si>
    <t>454 Fort Washington Ave</t>
  </si>
  <si>
    <t>31 Post Ave</t>
  </si>
  <si>
    <t>235 Seaman Ave</t>
  </si>
  <si>
    <t>516 W 167th St</t>
  </si>
  <si>
    <t>14 Mount Morris Park W</t>
  </si>
  <si>
    <t>25 W 128th st</t>
  </si>
  <si>
    <t>264 Elizabeth St</t>
  </si>
  <si>
    <t>601 W 57th St</t>
  </si>
  <si>
    <t>140 Wadsworth Ave</t>
  </si>
  <si>
    <t>45 Arden St</t>
  </si>
  <si>
    <t>528 W 123rd St</t>
  </si>
  <si>
    <t>1652 Park ave</t>
  </si>
  <si>
    <t>150 W 225th St</t>
  </si>
  <si>
    <t>33 Catherine St</t>
  </si>
  <si>
    <t>2049 5th Ave</t>
  </si>
  <si>
    <t>543 W 211th St</t>
  </si>
  <si>
    <t>507 W 186th St</t>
  </si>
  <si>
    <t>961 Saint Nicholas Ave</t>
  </si>
  <si>
    <t>670 Riverside Dr</t>
  </si>
  <si>
    <t>511 Amsterdam Ave</t>
  </si>
  <si>
    <t>4848 Broadway</t>
  </si>
  <si>
    <t>608-610 West 139th St</t>
  </si>
  <si>
    <t>250 Fort Washington Ave</t>
  </si>
  <si>
    <t>102 Odell Clark Pl</t>
  </si>
  <si>
    <t>82 Rutgers Slip</t>
  </si>
  <si>
    <t>208 E 117th St</t>
  </si>
  <si>
    <t>812 W 181st St</t>
  </si>
  <si>
    <t>2086 2nd Ave</t>
  </si>
  <si>
    <t>615 W 173rd St</t>
  </si>
  <si>
    <t>500 W 172nd St</t>
  </si>
  <si>
    <t>650 Lenox Ave</t>
  </si>
  <si>
    <t>225 E 106th St</t>
  </si>
  <si>
    <t>2110 Frederick Douglass Blvd</t>
  </si>
  <si>
    <t>312 W 112th St</t>
  </si>
  <si>
    <t>30 Allen St</t>
  </si>
  <si>
    <t>221 E 111th St</t>
  </si>
  <si>
    <t>407 Audubon Ave</t>
  </si>
  <si>
    <t>616 W 207th St</t>
  </si>
  <si>
    <t>70 E 127th St</t>
  </si>
  <si>
    <t>801 W 181st St</t>
  </si>
  <si>
    <t>1590 Madison ave</t>
  </si>
  <si>
    <t>509 Amsterdam Ave</t>
  </si>
  <si>
    <t>4857 Broadway</t>
  </si>
  <si>
    <t>45 Sickles St</t>
  </si>
  <si>
    <t>546 Isham st</t>
  </si>
  <si>
    <t>2102 Amsterdam Avenue</t>
  </si>
  <si>
    <t>5000 Broadway</t>
  </si>
  <si>
    <t>231 E 117th ST</t>
  </si>
  <si>
    <t>531 W 211th St</t>
  </si>
  <si>
    <t>501 W 189th St</t>
  </si>
  <si>
    <t>80 Arden St</t>
  </si>
  <si>
    <t>229 Seaman ave</t>
  </si>
  <si>
    <t>788 Riverside Dr</t>
  </si>
  <si>
    <t>117 sherman ave</t>
  </si>
  <si>
    <t>225 E 95th St</t>
  </si>
  <si>
    <t>105 E 117th St</t>
  </si>
  <si>
    <t>134 Haven Ave</t>
  </si>
  <si>
    <t>344 fort Washington ave</t>
  </si>
  <si>
    <t>615 W 183rd St</t>
  </si>
  <si>
    <t>385 Fort Washington Avenue</t>
  </si>
  <si>
    <t>802 W 190th St</t>
  </si>
  <si>
    <t>520 W 218th St</t>
  </si>
  <si>
    <t>1 Seaman Ave</t>
  </si>
  <si>
    <t>1F</t>
  </si>
  <si>
    <t>5D</t>
  </si>
  <si>
    <t>3B12</t>
  </si>
  <si>
    <t>5E</t>
  </si>
  <si>
    <t>5DD</t>
  </si>
  <si>
    <t>C2</t>
  </si>
  <si>
    <t>3E</t>
  </si>
  <si>
    <t>8K</t>
  </si>
  <si>
    <t>3 O</t>
  </si>
  <si>
    <t>3D</t>
  </si>
  <si>
    <t>bment</t>
  </si>
  <si>
    <t>6I</t>
  </si>
  <si>
    <t>4B</t>
  </si>
  <si>
    <t>4C</t>
  </si>
  <si>
    <t>4G</t>
  </si>
  <si>
    <t>B</t>
  </si>
  <si>
    <t>A</t>
  </si>
  <si>
    <t>4T</t>
  </si>
  <si>
    <t>6C</t>
  </si>
  <si>
    <t>28F</t>
  </si>
  <si>
    <t>1C</t>
  </si>
  <si>
    <t>2A</t>
  </si>
  <si>
    <t>4H</t>
  </si>
  <si>
    <t>2K</t>
  </si>
  <si>
    <t>2J</t>
  </si>
  <si>
    <t>2I</t>
  </si>
  <si>
    <t>8C</t>
  </si>
  <si>
    <t>8H</t>
  </si>
  <si>
    <t>9D</t>
  </si>
  <si>
    <t>9C</t>
  </si>
  <si>
    <t>7A</t>
  </si>
  <si>
    <t>4D</t>
  </si>
  <si>
    <t>9J</t>
  </si>
  <si>
    <t>3C</t>
  </si>
  <si>
    <t>8B</t>
  </si>
  <si>
    <t>16D</t>
  </si>
  <si>
    <t>D25H</t>
  </si>
  <si>
    <t>5X</t>
  </si>
  <si>
    <t>1B</t>
  </si>
  <si>
    <t>7F</t>
  </si>
  <si>
    <t>3K</t>
  </si>
  <si>
    <t>4A</t>
  </si>
  <si>
    <t>1A</t>
  </si>
  <si>
    <t>2B</t>
  </si>
  <si>
    <t>4c</t>
  </si>
  <si>
    <t>4F</t>
  </si>
  <si>
    <t>6F</t>
  </si>
  <si>
    <t>5J</t>
  </si>
  <si>
    <t>22C</t>
  </si>
  <si>
    <t>8E</t>
  </si>
  <si>
    <t>D4</t>
  </si>
  <si>
    <t>2E</t>
  </si>
  <si>
    <t>4E</t>
  </si>
  <si>
    <t>12B</t>
  </si>
  <si>
    <t>1R</t>
  </si>
  <si>
    <t>1K</t>
  </si>
  <si>
    <t>6-J</t>
  </si>
  <si>
    <t>4 C</t>
  </si>
  <si>
    <t>1G</t>
  </si>
  <si>
    <t>14D</t>
  </si>
  <si>
    <t>3B</t>
  </si>
  <si>
    <t>6A</t>
  </si>
  <si>
    <t>5B</t>
  </si>
  <si>
    <t>B1</t>
  </si>
  <si>
    <t>25A</t>
  </si>
  <si>
    <t>3A</t>
  </si>
  <si>
    <t>C</t>
  </si>
  <si>
    <t>J</t>
  </si>
  <si>
    <t>3F</t>
  </si>
  <si>
    <t>2D</t>
  </si>
  <si>
    <t>2F</t>
  </si>
  <si>
    <t>5A</t>
  </si>
  <si>
    <t>2G</t>
  </si>
  <si>
    <t>Apt 3D</t>
  </si>
  <si>
    <t>52A</t>
  </si>
  <si>
    <t>2C</t>
  </si>
  <si>
    <t>Apt 4G</t>
  </si>
  <si>
    <t>5H</t>
  </si>
  <si>
    <t>3c</t>
  </si>
  <si>
    <t>14F</t>
  </si>
  <si>
    <t>6l</t>
  </si>
  <si>
    <t>5Y</t>
  </si>
  <si>
    <t>21B</t>
  </si>
  <si>
    <t>5C</t>
  </si>
  <si>
    <t>2H</t>
  </si>
  <si>
    <t>2Y</t>
  </si>
  <si>
    <t>5G</t>
  </si>
  <si>
    <t>11B</t>
  </si>
  <si>
    <t>3P</t>
  </si>
  <si>
    <t>Bsmt</t>
  </si>
  <si>
    <t>9C1</t>
  </si>
  <si>
    <t>5c</t>
  </si>
  <si>
    <t>1D</t>
  </si>
  <si>
    <t>apt 1</t>
  </si>
  <si>
    <t>3I</t>
  </si>
  <si>
    <t>6G</t>
  </si>
  <si>
    <t>20F</t>
  </si>
  <si>
    <t>12F</t>
  </si>
  <si>
    <t>33B</t>
  </si>
  <si>
    <t>BSMT</t>
  </si>
  <si>
    <t>8D</t>
  </si>
  <si>
    <t>Apt. 1G</t>
  </si>
  <si>
    <t>6D</t>
  </si>
  <si>
    <t>6h</t>
  </si>
  <si>
    <t>Apt A</t>
  </si>
  <si>
    <t>2L</t>
  </si>
  <si>
    <t>6J</t>
  </si>
  <si>
    <t>27D</t>
  </si>
  <si>
    <t>Apt. 3A</t>
  </si>
  <si>
    <t>Basement</t>
  </si>
  <si>
    <t>25E</t>
  </si>
  <si>
    <t>15G</t>
  </si>
  <si>
    <t>Apt.1-G</t>
  </si>
  <si>
    <t>2nd fl up</t>
  </si>
  <si>
    <t>1H</t>
  </si>
  <si>
    <t>Apt. 2-L</t>
  </si>
  <si>
    <t>6 J</t>
  </si>
  <si>
    <t>DV Shelter</t>
  </si>
  <si>
    <t>A32</t>
  </si>
  <si>
    <t>43B</t>
  </si>
  <si>
    <t>D</t>
  </si>
  <si>
    <t>C5</t>
  </si>
  <si>
    <t>1E</t>
  </si>
  <si>
    <t>3G</t>
  </si>
  <si>
    <t>6B</t>
  </si>
  <si>
    <t>5S</t>
  </si>
  <si>
    <t>3k</t>
  </si>
  <si>
    <t>51B</t>
  </si>
  <si>
    <t>3X</t>
  </si>
  <si>
    <t>7G</t>
  </si>
  <si>
    <t>4b</t>
  </si>
  <si>
    <t>17A</t>
  </si>
  <si>
    <t>5I</t>
  </si>
  <si>
    <t>3b</t>
  </si>
  <si>
    <t>17GA</t>
  </si>
  <si>
    <t>6E</t>
  </si>
  <si>
    <t>D1</t>
  </si>
  <si>
    <t>E9</t>
  </si>
  <si>
    <t>16B</t>
  </si>
  <si>
    <t>29H</t>
  </si>
  <si>
    <t>2 C</t>
  </si>
  <si>
    <t>6AA</t>
  </si>
  <si>
    <t>18D</t>
  </si>
  <si>
    <t>26G</t>
  </si>
  <si>
    <t>4 B</t>
  </si>
  <si>
    <t>Apt 7H</t>
  </si>
  <si>
    <t>7H</t>
  </si>
  <si>
    <t>3O</t>
  </si>
  <si>
    <t>6H</t>
  </si>
  <si>
    <t>E</t>
  </si>
  <si>
    <t>Apt 409</t>
  </si>
  <si>
    <t>13P</t>
  </si>
  <si>
    <t>1AA</t>
  </si>
  <si>
    <t>1-N</t>
  </si>
  <si>
    <t>9E</t>
  </si>
  <si>
    <t>2W</t>
  </si>
  <si>
    <t>6CE</t>
  </si>
  <si>
    <t>5F</t>
  </si>
  <si>
    <t>H3</t>
  </si>
  <si>
    <t>apt 53</t>
  </si>
  <si>
    <t>2R</t>
  </si>
  <si>
    <t>6K</t>
  </si>
  <si>
    <t>32b</t>
  </si>
  <si>
    <t>3H</t>
  </si>
  <si>
    <t>12H</t>
  </si>
  <si>
    <t>20C</t>
  </si>
  <si>
    <t>7B</t>
  </si>
  <si>
    <t>22G</t>
  </si>
  <si>
    <t>D9</t>
  </si>
  <si>
    <t>10D</t>
  </si>
  <si>
    <t>10C</t>
  </si>
  <si>
    <t>Apt. 5-E</t>
  </si>
  <si>
    <t>15H</t>
  </si>
  <si>
    <t>3J</t>
  </si>
  <si>
    <t>A5</t>
  </si>
  <si>
    <t>Apt. B2A</t>
  </si>
  <si>
    <t>B3</t>
  </si>
  <si>
    <t>4J</t>
  </si>
  <si>
    <t>5 D</t>
  </si>
  <si>
    <t>3M</t>
  </si>
  <si>
    <t>2-B</t>
  </si>
  <si>
    <t>5R</t>
  </si>
  <si>
    <t>II</t>
  </si>
  <si>
    <t>18A</t>
  </si>
  <si>
    <t>13A</t>
  </si>
  <si>
    <t>A1</t>
  </si>
  <si>
    <t>B24</t>
  </si>
  <si>
    <t>B-45</t>
  </si>
  <si>
    <t>1M</t>
  </si>
  <si>
    <t>Apt 33</t>
  </si>
  <si>
    <t>11F</t>
  </si>
  <si>
    <t>9H</t>
  </si>
  <si>
    <t>Apt. 44A</t>
  </si>
  <si>
    <t>6k</t>
  </si>
  <si>
    <t>41A</t>
  </si>
  <si>
    <t>4RE</t>
  </si>
  <si>
    <t>1a</t>
  </si>
  <si>
    <t>44A</t>
  </si>
  <si>
    <t>5W</t>
  </si>
  <si>
    <t>3-A</t>
  </si>
  <si>
    <t>23B</t>
  </si>
  <si>
    <t>4S</t>
  </si>
  <si>
    <t>32A</t>
  </si>
  <si>
    <t>9Y</t>
  </si>
  <si>
    <t>1J</t>
  </si>
  <si>
    <t>310J</t>
  </si>
  <si>
    <t>C8</t>
  </si>
  <si>
    <t>4K</t>
  </si>
  <si>
    <t>5f</t>
  </si>
  <si>
    <t>22B</t>
  </si>
  <si>
    <t>27F</t>
  </si>
  <si>
    <t>2nd Floor</t>
  </si>
  <si>
    <t>GF3</t>
  </si>
  <si>
    <t>43E</t>
  </si>
  <si>
    <t>15F</t>
  </si>
  <si>
    <t>23N</t>
  </si>
  <si>
    <t>42A</t>
  </si>
  <si>
    <t>35a</t>
  </si>
  <si>
    <t>20L</t>
  </si>
  <si>
    <t>10F</t>
  </si>
  <si>
    <t>Apt 4P</t>
  </si>
  <si>
    <t>10G</t>
  </si>
  <si>
    <t>E8</t>
  </si>
  <si>
    <t>19H</t>
  </si>
  <si>
    <t>24A</t>
  </si>
  <si>
    <t>63B</t>
  </si>
  <si>
    <t>23F</t>
  </si>
  <si>
    <t>6M</t>
  </si>
  <si>
    <t>C17</t>
  </si>
  <si>
    <t>6L</t>
  </si>
  <si>
    <t>6S</t>
  </si>
  <si>
    <t>3W</t>
  </si>
  <si>
    <t>45A</t>
  </si>
  <si>
    <t>11D</t>
  </si>
  <si>
    <t>18B</t>
  </si>
  <si>
    <t>2RE</t>
  </si>
  <si>
    <t>35 B</t>
  </si>
  <si>
    <t>4 M</t>
  </si>
  <si>
    <t>18J</t>
  </si>
  <si>
    <t>10R</t>
  </si>
  <si>
    <t>3Y</t>
  </si>
  <si>
    <t>15 J</t>
  </si>
  <si>
    <t>5L</t>
  </si>
  <si>
    <t>11E</t>
  </si>
  <si>
    <t>14C</t>
  </si>
  <si>
    <t>4AA</t>
  </si>
  <si>
    <t>Apt3B</t>
  </si>
  <si>
    <t>41B</t>
  </si>
  <si>
    <t>27B</t>
  </si>
  <si>
    <t>4I</t>
  </si>
  <si>
    <t>3L</t>
  </si>
  <si>
    <t>5 C</t>
  </si>
  <si>
    <t>apt 7</t>
  </si>
  <si>
    <t>3Q</t>
  </si>
  <si>
    <t>A9B</t>
  </si>
  <si>
    <t>A4</t>
  </si>
  <si>
    <t>A9</t>
  </si>
  <si>
    <t>Apt. 903</t>
  </si>
  <si>
    <t>Apt 5F</t>
  </si>
  <si>
    <t>55A</t>
  </si>
  <si>
    <t>10H</t>
  </si>
  <si>
    <t>F14</t>
  </si>
  <si>
    <t>24B</t>
  </si>
  <si>
    <t>C16</t>
  </si>
  <si>
    <t>Apt 309</t>
  </si>
  <si>
    <t>4 FW</t>
  </si>
  <si>
    <t>12D</t>
  </si>
  <si>
    <t>4M</t>
  </si>
  <si>
    <t>apt 4</t>
  </si>
  <si>
    <t>22A</t>
  </si>
  <si>
    <t>2M</t>
  </si>
  <si>
    <t>Apt. 2-B</t>
  </si>
  <si>
    <t>1BB</t>
  </si>
  <si>
    <t>19S</t>
  </si>
  <si>
    <t>4L</t>
  </si>
  <si>
    <t>A53</t>
  </si>
  <si>
    <t>6R</t>
  </si>
  <si>
    <t>Apt 5A</t>
  </si>
  <si>
    <t>D6</t>
  </si>
  <si>
    <t>J8</t>
  </si>
  <si>
    <t>66B</t>
  </si>
  <si>
    <t>13D</t>
  </si>
  <si>
    <t>C4</t>
  </si>
  <si>
    <t>24D</t>
  </si>
  <si>
    <t>29A</t>
  </si>
  <si>
    <t>35D</t>
  </si>
  <si>
    <t>14H</t>
  </si>
  <si>
    <t>4R</t>
  </si>
  <si>
    <t>8-O</t>
  </si>
  <si>
    <t>9G</t>
  </si>
  <si>
    <t>4X</t>
  </si>
  <si>
    <t>21A</t>
  </si>
  <si>
    <t>19G</t>
  </si>
  <si>
    <t>apt. 41</t>
  </si>
  <si>
    <t>5AA</t>
  </si>
  <si>
    <t>5n</t>
  </si>
  <si>
    <t>14E</t>
  </si>
  <si>
    <t>8M</t>
  </si>
  <si>
    <t>2b</t>
  </si>
  <si>
    <t>F2</t>
  </si>
  <si>
    <t>1S</t>
  </si>
  <si>
    <t>20A</t>
  </si>
  <si>
    <t>5N</t>
  </si>
  <si>
    <t>B02</t>
  </si>
  <si>
    <t>22J</t>
  </si>
  <si>
    <t>4i</t>
  </si>
  <si>
    <t>54 B</t>
  </si>
  <si>
    <t>3S</t>
  </si>
  <si>
    <t>16F</t>
  </si>
  <si>
    <t>2N</t>
  </si>
  <si>
    <t>11P</t>
  </si>
  <si>
    <t>5e</t>
  </si>
  <si>
    <t>E11A</t>
  </si>
  <si>
    <t>26B</t>
  </si>
  <si>
    <t>9F</t>
  </si>
  <si>
    <t>3R</t>
  </si>
  <si>
    <t>6a</t>
  </si>
  <si>
    <t>2S</t>
  </si>
  <si>
    <t>3N</t>
  </si>
  <si>
    <t>74B</t>
  </si>
  <si>
    <t>D24</t>
  </si>
  <si>
    <t>E7</t>
  </si>
  <si>
    <t>B42</t>
  </si>
  <si>
    <t>C1</t>
  </si>
  <si>
    <t>12C</t>
  </si>
  <si>
    <t>B4</t>
  </si>
  <si>
    <t>B23</t>
  </si>
  <si>
    <t>H53</t>
  </si>
  <si>
    <t>E14</t>
  </si>
  <si>
    <t>B22</t>
  </si>
  <si>
    <t>Long Is City</t>
  </si>
  <si>
    <t>New York</t>
  </si>
  <si>
    <t>New york</t>
  </si>
  <si>
    <t>Brooklyn</t>
  </si>
  <si>
    <t>NEW YORK</t>
  </si>
  <si>
    <t>Bronx</t>
  </si>
  <si>
    <t xml:space="preserve"> </t>
  </si>
  <si>
    <t>Yes</t>
  </si>
  <si>
    <t>No</t>
  </si>
  <si>
    <t>LT-053592-16/NY</t>
  </si>
  <si>
    <t>LT-025003-17/NY</t>
  </si>
  <si>
    <t>LT-250390-18/NY</t>
  </si>
  <si>
    <t>LT-251014-18/NY</t>
  </si>
  <si>
    <t>LT-75234-16/NY</t>
  </si>
  <si>
    <t>LT-051747-18/NY</t>
  </si>
  <si>
    <t>55526/19</t>
  </si>
  <si>
    <t>LT-006163-18/NY</t>
  </si>
  <si>
    <t>LT-015486-17/NY</t>
  </si>
  <si>
    <t>LT-62204-17/NY17</t>
  </si>
  <si>
    <t>LT-071392-17/NY</t>
  </si>
  <si>
    <t>LT 81151/2017</t>
  </si>
  <si>
    <t>LT-79472-17/NY</t>
  </si>
  <si>
    <t>LT-61241-18/NY</t>
  </si>
  <si>
    <t>LT-000564-19/NY</t>
  </si>
  <si>
    <t>065538/18</t>
  </si>
  <si>
    <t>LT-077337-18/NY</t>
  </si>
  <si>
    <t>LT-52328-17/NY</t>
  </si>
  <si>
    <t>LT-065291-18/NY</t>
  </si>
  <si>
    <t>LT-069239-18/NY</t>
  </si>
  <si>
    <t>LT-054599-19/NY</t>
  </si>
  <si>
    <t>LT-066621-18/NY</t>
  </si>
  <si>
    <t>LT-081381-18/NY</t>
  </si>
  <si>
    <t>LT-12145-18/NY</t>
  </si>
  <si>
    <t>HP-806-18/NY</t>
  </si>
  <si>
    <t>LT-06110-17/NY</t>
  </si>
  <si>
    <t>LT-66547-17/NY</t>
  </si>
  <si>
    <t>LT-083276-17/NY</t>
  </si>
  <si>
    <t>LT-85264-16/NY</t>
  </si>
  <si>
    <t>LT-071339-17/NY</t>
  </si>
  <si>
    <t>HP-963-18/NY</t>
  </si>
  <si>
    <t>L&amp;T-056032/17/NY</t>
  </si>
  <si>
    <t>LT-069832-18/NY</t>
  </si>
  <si>
    <t>LT-080895-17/NY</t>
  </si>
  <si>
    <t>LT-078364-17/NY</t>
  </si>
  <si>
    <t>HP-1177-17</t>
  </si>
  <si>
    <t>LT-59055-18/NY</t>
  </si>
  <si>
    <t>L&amp;T 52167/17</t>
  </si>
  <si>
    <t>LT-077170-18/NY</t>
  </si>
  <si>
    <t>LT-72977-17/NY</t>
  </si>
  <si>
    <t>LT-054231-19/NY</t>
  </si>
  <si>
    <t>LT-050246-18/NY</t>
  </si>
  <si>
    <t>LT-200119-17/NY</t>
  </si>
  <si>
    <t>LT-067512-17/NY</t>
  </si>
  <si>
    <t>LT-000956-18/NY</t>
  </si>
  <si>
    <t>LT-086772/-15/NY</t>
  </si>
  <si>
    <t>LT-086772-16/NY</t>
  </si>
  <si>
    <t>LT-530701-18/NY</t>
  </si>
  <si>
    <t>LT-251148-17/HA</t>
  </si>
  <si>
    <t>LT-084808-15/NY</t>
  </si>
  <si>
    <t>LT-067299-18/NY</t>
  </si>
  <si>
    <t>LT-080752-17/NY</t>
  </si>
  <si>
    <t>LT-001515-18/NY</t>
  </si>
  <si>
    <t>LT-079504-16/NY</t>
  </si>
  <si>
    <t>LT-070731-18/NY</t>
  </si>
  <si>
    <t>LT-52449/16-NY</t>
  </si>
  <si>
    <t>LT-072158-16/NY</t>
  </si>
  <si>
    <t>HP-135-18/NY</t>
  </si>
  <si>
    <t>LT-059262-18/NY</t>
  </si>
  <si>
    <t>LT-063396-18/NY</t>
  </si>
  <si>
    <t>LT-001861-18/NY</t>
  </si>
  <si>
    <t>LT-69583-16/NY</t>
  </si>
  <si>
    <t>LT-051925-18/NY</t>
  </si>
  <si>
    <t>LT-081934-17/NY</t>
  </si>
  <si>
    <t>LT-1861-18/NY</t>
  </si>
  <si>
    <t>LT-051849-18/NY</t>
  </si>
  <si>
    <t>LT-085491-16/NY</t>
  </si>
  <si>
    <t>LT-059197/18-NY</t>
  </si>
  <si>
    <t>LT-081447-17/NY</t>
  </si>
  <si>
    <t>LT-073128-18/NY</t>
  </si>
  <si>
    <t>LT-064674-18/NY</t>
  </si>
  <si>
    <t>LT-001681-18/NY</t>
  </si>
  <si>
    <t>LT-702230-15NY</t>
  </si>
  <si>
    <t>LT-074148-18/NY</t>
  </si>
  <si>
    <t>LT-251035-18/NY</t>
  </si>
  <si>
    <t>LT-78395-18/NY</t>
  </si>
  <si>
    <t>LT-079665-16/NY</t>
  </si>
  <si>
    <t>LT-51337-17/NY</t>
  </si>
  <si>
    <t>LT-058814-18/NY</t>
  </si>
  <si>
    <t>LT-76849-15/NY</t>
  </si>
  <si>
    <t>HP- 963-18/NY</t>
  </si>
  <si>
    <t>LT-251193-18/NY</t>
  </si>
  <si>
    <t>LT-069563-17/NY</t>
  </si>
  <si>
    <t>LT-074263-16/NY</t>
  </si>
  <si>
    <t>LT-61318-18/NY</t>
  </si>
  <si>
    <t>LT-250223-18/NY</t>
  </si>
  <si>
    <t>LT-057053-18/NY</t>
  </si>
  <si>
    <t>LT-252368-17/NY</t>
  </si>
  <si>
    <t>LT-62285-17/NY</t>
  </si>
  <si>
    <t>LT-81411-18/NY</t>
  </si>
  <si>
    <t>LT-062831-17/NY</t>
  </si>
  <si>
    <t>LT-16763-16/NY</t>
  </si>
  <si>
    <t>LT-058049-18/NY</t>
  </si>
  <si>
    <t>LT-050184-19/NY</t>
  </si>
  <si>
    <t>LT-075284-18/NY</t>
  </si>
  <si>
    <t>LT-200113-18/NY</t>
  </si>
  <si>
    <t>LT-071557-18/NY</t>
  </si>
  <si>
    <t>LT-200199-17/NY</t>
  </si>
  <si>
    <t>LT-079158-17/NY</t>
  </si>
  <si>
    <t>LT-073749-18/NY</t>
  </si>
  <si>
    <t>LT-50389-19/NY</t>
  </si>
  <si>
    <t>LT-200088-16/NY</t>
  </si>
  <si>
    <t>LT-057262-18/NY</t>
  </si>
  <si>
    <t>LT-074719-17/NY</t>
  </si>
  <si>
    <t>LT-54542-18/NY</t>
  </si>
  <si>
    <t>LT-056625-18/NY</t>
  </si>
  <si>
    <t>LT-65334-17/NY</t>
  </si>
  <si>
    <t>LT-051006-19/NY</t>
  </si>
  <si>
    <t>LT-67449-17/NY</t>
  </si>
  <si>
    <t>HP-1717-16/NY</t>
  </si>
  <si>
    <t>LT-057894-17/NY</t>
  </si>
  <si>
    <t>LT-76589-18/NY</t>
  </si>
  <si>
    <t>HP-812-18/NY</t>
  </si>
  <si>
    <t>LT-73598-18/NY</t>
  </si>
  <si>
    <t>LT-073427-18/NY</t>
  </si>
  <si>
    <t>LT-250602-17/NY</t>
  </si>
  <si>
    <t>62651/18</t>
  </si>
  <si>
    <t>LT-82220-17/NY</t>
  </si>
  <si>
    <t>LT-71078-18/NY</t>
  </si>
  <si>
    <t>LT-6066/17/NY</t>
  </si>
  <si>
    <t>HP-6066/17-NY</t>
  </si>
  <si>
    <t>LT-060994-18/NY</t>
  </si>
  <si>
    <t>HP-711-17/NY</t>
  </si>
  <si>
    <t>LT-69807-18/NY</t>
  </si>
  <si>
    <t>LT-451656/17-NY</t>
  </si>
  <si>
    <t>LT-052839-19/NY</t>
  </si>
  <si>
    <t>LT-073272-18/NY</t>
  </si>
  <si>
    <t>LT-000289-19/NY</t>
  </si>
  <si>
    <t>LT-054244-16/NY</t>
  </si>
  <si>
    <t>LT/HP 6074/17-NY</t>
  </si>
  <si>
    <t>LT-062489-19/NY</t>
  </si>
  <si>
    <t>LT-57769-17/NY</t>
  </si>
  <si>
    <t>LT-063555-17/NY</t>
  </si>
  <si>
    <t>None</t>
  </si>
  <si>
    <t>LT-061061-19/NY</t>
  </si>
  <si>
    <t>LT-54967-19/NY</t>
  </si>
  <si>
    <t>LT-071304-18/NY</t>
  </si>
  <si>
    <t>LT-085639-16/NY</t>
  </si>
  <si>
    <t>55263/2018</t>
  </si>
  <si>
    <t>LT-065913/18-NY</t>
  </si>
  <si>
    <t>LT-068489-17/NY</t>
  </si>
  <si>
    <t>LT-78320-18/NY</t>
  </si>
  <si>
    <t>L&amp;T-63547/17NY</t>
  </si>
  <si>
    <t>LT- 6073/17-NY</t>
  </si>
  <si>
    <t>LT-53166-16/NY</t>
  </si>
  <si>
    <t>LT-073288-16/NY</t>
  </si>
  <si>
    <t>LT-064576-17/NY</t>
  </si>
  <si>
    <t>HP-6016/17-NY</t>
  </si>
  <si>
    <t>LT-251420-18/NY</t>
  </si>
  <si>
    <t>LT-1681-18/NY</t>
  </si>
  <si>
    <t>LT-59415-18/NY</t>
  </si>
  <si>
    <t>LT-60458-18/NY</t>
  </si>
  <si>
    <t>LT-251271-17/NY</t>
  </si>
  <si>
    <t>LT-082535-18/NY</t>
  </si>
  <si>
    <t>LT-050770-18/NY</t>
  </si>
  <si>
    <t>LT-000029-19/NY</t>
  </si>
  <si>
    <t>M-H-DG-16-1034390</t>
  </si>
  <si>
    <t>LT-56459/18-NY</t>
  </si>
  <si>
    <t>LT-63034-16/NY</t>
  </si>
  <si>
    <t>LT-67782-17/NY</t>
  </si>
  <si>
    <t>HP-775-18/NY</t>
  </si>
  <si>
    <t>HP-000936-18/NY</t>
  </si>
  <si>
    <t>LT-01264-19/NY</t>
  </si>
  <si>
    <t>LT-055015-18/NY</t>
  </si>
  <si>
    <t>LT-078355-17/NY</t>
  </si>
  <si>
    <t>LT-82220-15/NY</t>
  </si>
  <si>
    <t>LT-68048-17/NY</t>
  </si>
  <si>
    <t>LT-069234-17/NY</t>
  </si>
  <si>
    <t>LT/HP-17N006070-17/NY</t>
  </si>
  <si>
    <t>LT-70235-17/NY</t>
  </si>
  <si>
    <t>LT-210014-18/HA</t>
  </si>
  <si>
    <t>LT-068048-17/NY</t>
  </si>
  <si>
    <t>ES-410086-RV</t>
  </si>
  <si>
    <t>LT-079272-18/NY</t>
  </si>
  <si>
    <t>LT-064892/17-NY</t>
  </si>
  <si>
    <t>LT-059415-18/NY</t>
  </si>
  <si>
    <t>LT-252099-17/NY</t>
  </si>
  <si>
    <t>LT-080992-16/NY</t>
  </si>
  <si>
    <t>LT-059658-19/NY</t>
  </si>
  <si>
    <t>LT-250590-19/NY</t>
  </si>
  <si>
    <t>LT-064640-18/NY</t>
  </si>
  <si>
    <t>LT-250130-18/NY</t>
  </si>
  <si>
    <t>LT-057384-18/NY</t>
  </si>
  <si>
    <t>LT-067527-18/NY</t>
  </si>
  <si>
    <t>LT-68682-18/NY</t>
  </si>
  <si>
    <t>LT-51617-18/NY</t>
  </si>
  <si>
    <t>LT-057004-19/NY</t>
  </si>
  <si>
    <t>LT-051575-15/NY</t>
  </si>
  <si>
    <t>LT-251022-16/NY</t>
  </si>
  <si>
    <t>LT-018295-18/NY</t>
  </si>
  <si>
    <t>LT-252372-16/NY</t>
  </si>
  <si>
    <t>LT-451656-17/NY</t>
  </si>
  <si>
    <t>LT-079547-17/NY</t>
  </si>
  <si>
    <t>LT-57436-18</t>
  </si>
  <si>
    <t>LT-077433-18/NY</t>
  </si>
  <si>
    <t>LT-78626-18/NY</t>
  </si>
  <si>
    <t>LT-076789-17/NY</t>
  </si>
  <si>
    <t>LT-1680-18/NY</t>
  </si>
  <si>
    <t>LT-051459-17/NY</t>
  </si>
  <si>
    <t>LT-252109/14/NY</t>
  </si>
  <si>
    <t>LT-059393-17/NY</t>
  </si>
  <si>
    <t>LT-067173-17/NY</t>
  </si>
  <si>
    <t>LT-65309-18/NY</t>
  </si>
  <si>
    <t>LT-060549-19/NY</t>
  </si>
  <si>
    <t>LT-081576-17/NY</t>
  </si>
  <si>
    <t>LT-052328-17/NY</t>
  </si>
  <si>
    <t>LT-60432-17/NY</t>
  </si>
  <si>
    <t>LT-81282-2017/NY</t>
  </si>
  <si>
    <t>LT-1717/16-NY</t>
  </si>
  <si>
    <t>LT-078200-14/NY</t>
  </si>
  <si>
    <t>LT-064040-18/NY</t>
  </si>
  <si>
    <t>FW430075</t>
  </si>
  <si>
    <t>LT-065893-18/NY</t>
  </si>
  <si>
    <t>LT-070268-16/NY</t>
  </si>
  <si>
    <t>LT-68058-17/NY</t>
  </si>
  <si>
    <t>LT-6066-17/NY</t>
  </si>
  <si>
    <t>LT-252000-17/NY</t>
  </si>
  <si>
    <t>LT-068428-17/NY</t>
  </si>
  <si>
    <t>LT-067415-18/NY</t>
  </si>
  <si>
    <t>LT-001919-18/NY</t>
  </si>
  <si>
    <t>LT-67542-16/NY</t>
  </si>
  <si>
    <t>LT-200123-18/NY</t>
  </si>
  <si>
    <t>LT-251111-18/NY</t>
  </si>
  <si>
    <t>LT-57777-17/NY</t>
  </si>
  <si>
    <t>LT-080058-18/NY</t>
  </si>
  <si>
    <t>LT-052904-18/NY</t>
  </si>
  <si>
    <t>LT-057797-19/NY</t>
  </si>
  <si>
    <t>LT-251009-18/NY</t>
  </si>
  <si>
    <t>LT-061420-18/NY</t>
  </si>
  <si>
    <t>LT-072586-17/NY</t>
  </si>
  <si>
    <t>LT-67687-18/NY</t>
  </si>
  <si>
    <t>LT-73988-16/NY</t>
  </si>
  <si>
    <t>LT-63767-17/NY</t>
  </si>
  <si>
    <t>LT-000775-18/NY</t>
  </si>
  <si>
    <t>LT-062593-18/NY</t>
  </si>
  <si>
    <t>LT-77300-17/Ny</t>
  </si>
  <si>
    <t>LT-77300/17-NY</t>
  </si>
  <si>
    <t>LT-250676-17/NY</t>
  </si>
  <si>
    <t>LT-65785-17/NY</t>
  </si>
  <si>
    <t>LT-250619-17/NY</t>
  </si>
  <si>
    <t>LT-078866-17/NY</t>
  </si>
  <si>
    <t>LT-072999-18/NY</t>
  </si>
  <si>
    <t>LT-056459-18/NY</t>
  </si>
  <si>
    <t>LT/HP 6073/17-NY</t>
  </si>
  <si>
    <t>FU410114S</t>
  </si>
  <si>
    <t>LT-064998-18/NY</t>
  </si>
  <si>
    <t>LT-051533-17/NY</t>
  </si>
  <si>
    <t>LT-57875-19/NY</t>
  </si>
  <si>
    <t>LT-1717/2016NY</t>
  </si>
  <si>
    <t>LT-062413-18/NY</t>
  </si>
  <si>
    <t>LT-75207-16/NY</t>
  </si>
  <si>
    <t>LT-67622-13/NY</t>
  </si>
  <si>
    <t>LT-068473-17/NY</t>
  </si>
  <si>
    <t>LT-061106-19/NY</t>
  </si>
  <si>
    <t>LT-60189/18-NY</t>
  </si>
  <si>
    <t>FU410115S</t>
  </si>
  <si>
    <t>LT-074780-16/NY</t>
  </si>
  <si>
    <t>LT-062234-17/NY</t>
  </si>
  <si>
    <t>LT-063459-18/NY</t>
  </si>
  <si>
    <t>LT-51585-18/NY</t>
  </si>
  <si>
    <t>LT-062837-17/NY</t>
  </si>
  <si>
    <t>LT-68184-17/NY</t>
  </si>
  <si>
    <t>LT-018615-17/NY</t>
  </si>
  <si>
    <t>LT-688769-18/NY</t>
  </si>
  <si>
    <t>LT-056460-18/NY</t>
  </si>
  <si>
    <t>LT-80341-17/NY</t>
  </si>
  <si>
    <t>LT-250122-17/NY</t>
  </si>
  <si>
    <t>LT-250126-17/NY</t>
  </si>
  <si>
    <t>HP-1189-17/NY</t>
  </si>
  <si>
    <t>1717/2016</t>
  </si>
  <si>
    <t>LT-71002-16/NY</t>
  </si>
  <si>
    <t>LT-1189-17/NY</t>
  </si>
  <si>
    <t>LT-250581/17NY</t>
  </si>
  <si>
    <t>LT-062434-18/NY</t>
  </si>
  <si>
    <t>LT-067085-17/NY</t>
  </si>
  <si>
    <t>LT-61946/17NY</t>
  </si>
  <si>
    <t>LT-51104-18/NY</t>
  </si>
  <si>
    <t>LT-250594-18/NY</t>
  </si>
  <si>
    <t>LT-55605-17/NY</t>
  </si>
  <si>
    <t>LT-071137-17/NY</t>
  </si>
  <si>
    <t>LT-054723-19/NY</t>
  </si>
  <si>
    <t>LT-053440-18/NY</t>
  </si>
  <si>
    <t>LT-62598/17/NY</t>
  </si>
  <si>
    <t>LT-052984-18/NY</t>
  </si>
  <si>
    <t>HP-6016-17/NY</t>
  </si>
  <si>
    <t>LT-079714-17/NY</t>
  </si>
  <si>
    <t>LT-068477-15/NY</t>
  </si>
  <si>
    <t>LT-065350-17/NY</t>
  </si>
  <si>
    <t>155/18</t>
  </si>
  <si>
    <t>LT-057519-19/NY</t>
  </si>
  <si>
    <t>LT-072661-17/NY</t>
  </si>
  <si>
    <t>LT-058077-18/NY</t>
  </si>
  <si>
    <t>LT-062485-19/NY</t>
  </si>
  <si>
    <t>LT-250503/17/NY</t>
  </si>
  <si>
    <t>LT-252431-18/NY</t>
  </si>
  <si>
    <t>LT-065085-18/NY</t>
  </si>
  <si>
    <t>LT 250863-18/NY</t>
  </si>
  <si>
    <t>LT-085454/16NY</t>
  </si>
  <si>
    <t>LT-082231-17/NY</t>
  </si>
  <si>
    <t>6022/18</t>
  </si>
  <si>
    <t>LT-75929-17/NY</t>
  </si>
  <si>
    <t>LT-073390/15NY</t>
  </si>
  <si>
    <t>LT-58185-17/NY</t>
  </si>
  <si>
    <t>LT-250778-17/NY</t>
  </si>
  <si>
    <t>LT-061655-17/NY</t>
  </si>
  <si>
    <t>LT-055068-19/NY</t>
  </si>
  <si>
    <t>LT-075621-18/NY</t>
  </si>
  <si>
    <t>LT-55849-17/NY</t>
  </si>
  <si>
    <t>LT-068222-15/NY</t>
  </si>
  <si>
    <t>LT-250658/17/NY</t>
  </si>
  <si>
    <t>LT-086497-18/NY</t>
  </si>
  <si>
    <t>98611-AN-2018</t>
  </si>
  <si>
    <t>LT-063055-18/NY</t>
  </si>
  <si>
    <t>LT-1860-18/NY</t>
  </si>
  <si>
    <t>LT-018762-17/NY</t>
  </si>
  <si>
    <t>LT-080056-17/NY</t>
  </si>
  <si>
    <t>LT-81932-17/NY</t>
  </si>
  <si>
    <t>LT-80514-17/NY</t>
  </si>
  <si>
    <t>LT-076121-17/NY</t>
  </si>
  <si>
    <t>LT-059900-19/NY</t>
  </si>
  <si>
    <t>LT-059926-18/NY</t>
  </si>
  <si>
    <t>LT-73958-17/NY</t>
  </si>
  <si>
    <t>LT-59886-18/NY</t>
  </si>
  <si>
    <t>LT-051146-17/NY</t>
  </si>
  <si>
    <t>LT-250862-18/NY</t>
  </si>
  <si>
    <t>LT-69099-17/NY</t>
  </si>
  <si>
    <t>LT-251752-16/HA</t>
  </si>
  <si>
    <t>LT-080048-15/NY</t>
  </si>
  <si>
    <t>LT-084987-16/NY</t>
  </si>
  <si>
    <t>HP-6066-17/NY</t>
  </si>
  <si>
    <t>LT-75108/16</t>
  </si>
  <si>
    <t>LT-063685-18/NY</t>
  </si>
  <si>
    <t>LT-055130-18/NY</t>
  </si>
  <si>
    <t>LT-075337-17/NY</t>
  </si>
  <si>
    <t>LT-000136-18/NY</t>
  </si>
  <si>
    <t>LT-051179-18/NY</t>
  </si>
  <si>
    <t>LT-250843-17NY</t>
  </si>
  <si>
    <t>LT-72831-17/NY</t>
  </si>
  <si>
    <t>HP-1717/16/NY</t>
  </si>
  <si>
    <t>BQ 410045 R</t>
  </si>
  <si>
    <t>LT-156955-17/NY</t>
  </si>
  <si>
    <t>LT-81328-16/NY</t>
  </si>
  <si>
    <t>LT-054384-17/NY</t>
  </si>
  <si>
    <t>LT-59715-19/NY</t>
  </si>
  <si>
    <t>LT-077998-17/NY</t>
  </si>
  <si>
    <t>LT-200048-17/NY</t>
  </si>
  <si>
    <t>LT-250836-17/NY</t>
  </si>
  <si>
    <t>37370394B</t>
  </si>
  <si>
    <t>LT-064760-18/NY</t>
  </si>
  <si>
    <t>CV-018194</t>
  </si>
  <si>
    <t>LT-53585-18/NY</t>
  </si>
  <si>
    <t>LT-79700-18/NY</t>
  </si>
  <si>
    <t>LT-001259-18/NY</t>
  </si>
  <si>
    <t>LT-63791-18/NY</t>
  </si>
  <si>
    <t>LT-067250-18/NY</t>
  </si>
  <si>
    <t>LT-066463-17/NY</t>
  </si>
  <si>
    <t>LT-251783-17/NY</t>
  </si>
  <si>
    <t>LT-074325-16/NY</t>
  </si>
  <si>
    <t>LT-058768-19/NY</t>
  </si>
  <si>
    <t>LT-61607-17/NY</t>
  </si>
  <si>
    <t>LT-055072-18/NY</t>
  </si>
  <si>
    <t>LT-059561-17/NY</t>
  </si>
  <si>
    <t>LT-51644-17/NY</t>
  </si>
  <si>
    <t>LT-532165-18/NY</t>
  </si>
  <si>
    <t>450884/2017</t>
  </si>
  <si>
    <t>LT-074630-17/NY</t>
  </si>
  <si>
    <t>LT-065288-17/NY</t>
  </si>
  <si>
    <t>LT-61058-17NY</t>
  </si>
  <si>
    <t>LT-0787860-NY</t>
  </si>
  <si>
    <t>LT-78597-16/NY</t>
  </si>
  <si>
    <t>LT-058825-18/NY</t>
  </si>
  <si>
    <t>LT-000361-19/NY</t>
  </si>
  <si>
    <t>LT-250604-18?NY</t>
  </si>
  <si>
    <t>LT-061380-19/NY</t>
  </si>
  <si>
    <t>FU410110S</t>
  </si>
  <si>
    <t>LT-69606-17/NY</t>
  </si>
  <si>
    <t>LT-006070-17/NY</t>
  </si>
  <si>
    <t>17N006073</t>
  </si>
  <si>
    <t>LT-73759-17/NY</t>
  </si>
  <si>
    <t>LT-252407-16/NY</t>
  </si>
  <si>
    <t>HP-200119-17/NY</t>
  </si>
  <si>
    <t>L&amp;T-060651-18/NY</t>
  </si>
  <si>
    <t>LT-251528-18/NY</t>
  </si>
  <si>
    <t>LT-56831-17/NY</t>
  </si>
  <si>
    <t>LT-060102-18/NY</t>
  </si>
  <si>
    <t>no case</t>
  </si>
  <si>
    <t>L&amp;T-053917-17</t>
  </si>
  <si>
    <t>LT-058359-18/NY</t>
  </si>
  <si>
    <t>LT-067831-17/NY</t>
  </si>
  <si>
    <t>LT-054692-19/NY</t>
  </si>
  <si>
    <t>LT-08914-15/NY</t>
  </si>
  <si>
    <t>LT-060253-14/NY</t>
  </si>
  <si>
    <t>LT-05582-17/NY</t>
  </si>
  <si>
    <t>LT-071564-18/NY</t>
  </si>
  <si>
    <t>LT-54557/19-NY</t>
  </si>
  <si>
    <t>LT-84856/15NY</t>
  </si>
  <si>
    <t>LT-059882-18/NY</t>
  </si>
  <si>
    <t>LT-074981-17/NY</t>
  </si>
  <si>
    <t>70426/18</t>
  </si>
  <si>
    <t>LT-066046-18/NY</t>
  </si>
  <si>
    <t>LT-054826-19/NY</t>
  </si>
  <si>
    <t>LT-067339-18/NY</t>
  </si>
  <si>
    <t>LT-251483-16/NY</t>
  </si>
  <si>
    <t>LT-058565-19/NY</t>
  </si>
  <si>
    <t>LT-066176-18/NY</t>
  </si>
  <si>
    <t>LT-252378-18/NY</t>
  </si>
  <si>
    <t>LT-058934-17/NY</t>
  </si>
  <si>
    <t>LT-61626-18/NY</t>
  </si>
  <si>
    <t>LT-61015-17/NY</t>
  </si>
  <si>
    <t>LT-051991-18/NY</t>
  </si>
  <si>
    <t>LT-251686-18/NY</t>
  </si>
  <si>
    <t>LT-250102-17/NY</t>
  </si>
  <si>
    <t>6016/17</t>
  </si>
  <si>
    <t>GQ 430054 RT</t>
  </si>
  <si>
    <t>GP 410046 B</t>
  </si>
  <si>
    <t>LT-251014-17/NY</t>
  </si>
  <si>
    <t>LT-56430-16/NY</t>
  </si>
  <si>
    <t>LT-250336-17/NY</t>
  </si>
  <si>
    <t>LT-51014-18/NY</t>
  </si>
  <si>
    <t>LT-052899-18/NY</t>
  </si>
  <si>
    <t>LT-057467-19/NY</t>
  </si>
  <si>
    <t>LT-59885-19/NY</t>
  </si>
  <si>
    <t>LT-252619-17/NY</t>
  </si>
  <si>
    <t>LT-08129-17/NY</t>
  </si>
  <si>
    <t>LT-075503-17/NY</t>
  </si>
  <si>
    <t>LT-081453-17/NY</t>
  </si>
  <si>
    <t>HP-006070-17/NY</t>
  </si>
  <si>
    <t>LT-652641-16/NY</t>
  </si>
  <si>
    <t>LT-252246-17/HA</t>
  </si>
  <si>
    <t>LT-075217-17/NY</t>
  </si>
  <si>
    <t>LT-062876-17/NY</t>
  </si>
  <si>
    <t>LT-051048-19/NY</t>
  </si>
  <si>
    <t>LT-58022-18/NY</t>
  </si>
  <si>
    <t>LT-677157-16/NY</t>
  </si>
  <si>
    <t>LT-87898-15/NY</t>
  </si>
  <si>
    <t>LT-061308-19/NY</t>
  </si>
  <si>
    <t>LT-087966-15/NY</t>
  </si>
  <si>
    <t>LT-071252-17/NY</t>
  </si>
  <si>
    <t>LT-060265-18/NY</t>
  </si>
  <si>
    <t>LT-062124-18/NY</t>
  </si>
  <si>
    <t>LT-082465-17/NY</t>
  </si>
  <si>
    <t>LT-057641-17/NY</t>
  </si>
  <si>
    <t>LT-N056068-17/NY</t>
  </si>
  <si>
    <t>LT-83874-16/NY</t>
  </si>
  <si>
    <t>LT-66185-18/NY</t>
  </si>
  <si>
    <t>LT-060570-19/NY</t>
  </si>
  <si>
    <t>LT-079987-16/NY</t>
  </si>
  <si>
    <t>LT-64154/16-NY</t>
  </si>
  <si>
    <t>LT-056133-18/NY</t>
  </si>
  <si>
    <t>LT-059462-18/NY</t>
  </si>
  <si>
    <t>LT-077927-16/NY</t>
  </si>
  <si>
    <t>LT-71783-17/NY</t>
  </si>
  <si>
    <t>LT-071198-18/NY</t>
  </si>
  <si>
    <t>LT-066798-17/NY</t>
  </si>
  <si>
    <t>LT-074618-18/NY</t>
  </si>
  <si>
    <t>LT-057794-19/NY</t>
  </si>
  <si>
    <t>LT-059107-19/NY</t>
  </si>
  <si>
    <t>LT-83147/17-NY</t>
  </si>
  <si>
    <t>LT-68644-17/NY</t>
  </si>
  <si>
    <t>LT-052011-18/NY</t>
  </si>
  <si>
    <t>LT-26889-18/NY</t>
  </si>
  <si>
    <t>LT-070340-17/NY</t>
  </si>
  <si>
    <t>LT-069169-18/NY</t>
  </si>
  <si>
    <t>LT-52798/18-NY</t>
  </si>
  <si>
    <t>LT-079118-19/NY</t>
  </si>
  <si>
    <t>LT-61761-18/NY</t>
  </si>
  <si>
    <t>HP-17N006070-17/NY</t>
  </si>
  <si>
    <t>LT-71859-17/NY</t>
  </si>
  <si>
    <t>LT-057460-17/NY</t>
  </si>
  <si>
    <t>LT-060157-19/NY</t>
  </si>
  <si>
    <t>LT-054967-19/NY</t>
  </si>
  <si>
    <t>FQ430002RO</t>
  </si>
  <si>
    <t>57887/2019</t>
  </si>
  <si>
    <t>Small Claims 30184/18</t>
  </si>
  <si>
    <t>LT-055149-19/NY</t>
  </si>
  <si>
    <t>LT-006124-17/NY</t>
  </si>
  <si>
    <t>LT-062635-18/NY</t>
  </si>
  <si>
    <t>LT-250739-17/NY</t>
  </si>
  <si>
    <t>LT-071595-17/NY</t>
  </si>
  <si>
    <t>LT-063115-18/NY</t>
  </si>
  <si>
    <t>LT-051879-18/NY</t>
  </si>
  <si>
    <t>LT-061985-18/NY</t>
  </si>
  <si>
    <t>LT-080461-18/NY</t>
  </si>
  <si>
    <t>LT-067819-18/NY</t>
  </si>
  <si>
    <t>LT-252314-17/HA</t>
  </si>
  <si>
    <t>LT-087675-14/NY</t>
  </si>
  <si>
    <t>LT-062646-18/NY</t>
  </si>
  <si>
    <t>LT-060914-18/NY</t>
  </si>
  <si>
    <t>LT-052566-18/NY</t>
  </si>
  <si>
    <t>LT-251890-16/NY</t>
  </si>
  <si>
    <t>LT-058478-18/NY</t>
  </si>
  <si>
    <t>LT-050279-18/NY</t>
  </si>
  <si>
    <t>LT-6016-17/NY</t>
  </si>
  <si>
    <t>LT-010675-17/NY</t>
  </si>
  <si>
    <t>LT-066238-18/NY</t>
  </si>
  <si>
    <t>LT-071218-18/NY</t>
  </si>
  <si>
    <t>LT-065695-18/NY</t>
  </si>
  <si>
    <t>CV-450609-NY/19</t>
  </si>
  <si>
    <t>LT-71137-17/NY</t>
  </si>
  <si>
    <t>LT-070369-17/NY</t>
  </si>
  <si>
    <t>LT-67414-18/NY</t>
  </si>
  <si>
    <t>LT-050596-17/NY</t>
  </si>
  <si>
    <t>LT-058237-19/NY</t>
  </si>
  <si>
    <t>1717/16</t>
  </si>
  <si>
    <t>LT-251379-17/NY</t>
  </si>
  <si>
    <t>dont have it now</t>
  </si>
  <si>
    <t>LT-059152-19/NY</t>
  </si>
  <si>
    <t>LT-081514-17/NY</t>
  </si>
  <si>
    <t>LT-060296-19/NY</t>
  </si>
  <si>
    <t>LT-067179-17/NY</t>
  </si>
  <si>
    <t>HP 6074/17-NY</t>
  </si>
  <si>
    <t>LT-252061-17/NY</t>
  </si>
  <si>
    <t>LT-006082-17/NY</t>
  </si>
  <si>
    <t>LT-061363-17/NY</t>
  </si>
  <si>
    <t>LT-056691-19/NY</t>
  </si>
  <si>
    <t>LT-67408-18/NY</t>
  </si>
  <si>
    <t>LT-066661-17/NY</t>
  </si>
  <si>
    <t>LT-073378-17/NY</t>
  </si>
  <si>
    <t>LT-82445-17/NY</t>
  </si>
  <si>
    <t>FU410107S</t>
  </si>
  <si>
    <t>LT-067409-18/NY</t>
  </si>
  <si>
    <t>LT-064564-18/NY</t>
  </si>
  <si>
    <t>LT-079791-17/NY</t>
  </si>
  <si>
    <t>LT-50204-17/NY</t>
  </si>
  <si>
    <t>LT-250024-19/NY</t>
  </si>
  <si>
    <t>LT-074654-17/NY</t>
  </si>
  <si>
    <t>LT-050802-18/NY</t>
  </si>
  <si>
    <t>LT-067286-18/NY</t>
  </si>
  <si>
    <t>LT-70254-18/NY</t>
  </si>
  <si>
    <t>LT-070224-17/NY</t>
  </si>
  <si>
    <t>LT-452534-17/NY</t>
  </si>
  <si>
    <t>LT-52490-17/NY</t>
  </si>
  <si>
    <t>LT-081759-17/NY</t>
  </si>
  <si>
    <t>LT-063325-18/NY</t>
  </si>
  <si>
    <t>LT-160581-18/NY</t>
  </si>
  <si>
    <t>LT-251772-14/NY</t>
  </si>
  <si>
    <t>HP-001218-18/NY</t>
  </si>
  <si>
    <t>LT-63325/18-NY</t>
  </si>
  <si>
    <t>LT-061414-17/NY</t>
  </si>
  <si>
    <t>FU410113S</t>
  </si>
  <si>
    <t>LT-59744-17/NY</t>
  </si>
  <si>
    <t>LT-54931-18/NY</t>
  </si>
  <si>
    <t>LT-078345-18/NY</t>
  </si>
  <si>
    <t>LT-050072-16/NY</t>
  </si>
  <si>
    <t>LT-076172-17/NY</t>
  </si>
  <si>
    <t>LT-05758/19-NY</t>
  </si>
  <si>
    <t>LT-056575-18/NY</t>
  </si>
  <si>
    <t>HP 6073/17-NY</t>
  </si>
  <si>
    <t>LT-251519-17/NY</t>
  </si>
  <si>
    <t>LT-63902-17/NY</t>
  </si>
  <si>
    <t>LT-080515-17/NY</t>
  </si>
  <si>
    <t>LT-021605-18/NY</t>
  </si>
  <si>
    <t>LT-63768-17/NY</t>
  </si>
  <si>
    <t>LT-50277-18/NY</t>
  </si>
  <si>
    <t>LT-52654-18/NY</t>
  </si>
  <si>
    <t>LT-081171-17/NY</t>
  </si>
  <si>
    <t>LT-073178-17/NY</t>
  </si>
  <si>
    <t>LT-066105-18/NY</t>
  </si>
  <si>
    <t>LT-64406-18/NY</t>
  </si>
  <si>
    <t>LT-080596-16/NY</t>
  </si>
  <si>
    <t>LT-59614-19/NY</t>
  </si>
  <si>
    <t>LT-74771-17/NY</t>
  </si>
  <si>
    <t>LT-079013-18/NY</t>
  </si>
  <si>
    <t>LT-738286-19/NY</t>
  </si>
  <si>
    <t>LT-074388-17/NY</t>
  </si>
  <si>
    <t>LT-052774-19/NY</t>
  </si>
  <si>
    <t>LT-014518-17 NY</t>
  </si>
  <si>
    <t>LT-073598-18/NY</t>
  </si>
  <si>
    <t>LT-071662-18/NY</t>
  </si>
  <si>
    <t>LT-000467-19/NY</t>
  </si>
  <si>
    <t>LT-064419-16/NY</t>
  </si>
  <si>
    <t>LT-001339-18/NY</t>
  </si>
  <si>
    <t>HP-000812-17/NY</t>
  </si>
  <si>
    <t>HP-502-18/NY</t>
  </si>
  <si>
    <t>LT-079500-17/NY</t>
  </si>
  <si>
    <t>LT-073798-17/NY</t>
  </si>
  <si>
    <t>LT-091375-18/NY</t>
  </si>
  <si>
    <t>HP-000963-18/NY</t>
  </si>
  <si>
    <t>LT-067407-18/NY</t>
  </si>
  <si>
    <t>LT-070826-18/NY</t>
  </si>
  <si>
    <t>LT-251456-18/NY</t>
  </si>
  <si>
    <t>LT-64813-17/NY</t>
  </si>
  <si>
    <t>LT-252106-16/NY</t>
  </si>
  <si>
    <t>LT-079249-18/NY</t>
  </si>
  <si>
    <t>LT-075703-18/NY</t>
  </si>
  <si>
    <t>LT-251184-13/NY</t>
  </si>
  <si>
    <t>LT-079704-12/NY</t>
  </si>
  <si>
    <t>LT-58939/17NY</t>
  </si>
  <si>
    <t>LT-251414-17/NY</t>
  </si>
  <si>
    <t>LT-67529/17-NY</t>
  </si>
  <si>
    <t>LT-6074-17/NY</t>
  </si>
  <si>
    <t>LT-000812-17/NY</t>
  </si>
  <si>
    <t>LT-250722-19/NY</t>
  </si>
  <si>
    <t>FN410009B</t>
  </si>
  <si>
    <t>HP-6066/17</t>
  </si>
  <si>
    <t>LT-250598-16/NY</t>
  </si>
  <si>
    <t>LT-059728-17/NY</t>
  </si>
  <si>
    <t>Non-payment</t>
  </si>
  <si>
    <t>Holdover</t>
  </si>
  <si>
    <t>No Case</t>
  </si>
  <si>
    <t>PA Issue: Other</t>
  </si>
  <si>
    <t>HP Action</t>
  </si>
  <si>
    <t>Illegal Lockout</t>
  </si>
  <si>
    <t>PA Issue: City FEPS/SEPS</t>
  </si>
  <si>
    <t>PA Issue: FEPS</t>
  </si>
  <si>
    <t>SCRIE/DRIE</t>
  </si>
  <si>
    <t>DHCR Administrative Action</t>
  </si>
  <si>
    <t>Tenant Rights</t>
  </si>
  <si>
    <t>DHCR Proceeding</t>
  </si>
  <si>
    <t>Non-Litigation Advocacy</t>
  </si>
  <si>
    <t>Appeal-Appellate Term</t>
  </si>
  <si>
    <t>Appeal Supreme</t>
  </si>
  <si>
    <t>Mitchell-Lama RFM</t>
  </si>
  <si>
    <t>Affirmative Litigation Supreme</t>
  </si>
  <si>
    <t>NYCHA Housing Grievance</t>
  </si>
  <si>
    <t>Sec. 8 Termination</t>
  </si>
  <si>
    <t>Other</t>
  </si>
  <si>
    <t>Ejectment Action</t>
  </si>
  <si>
    <t>Human Rights Complaint</t>
  </si>
  <si>
    <t>Section 8 other</t>
  </si>
  <si>
    <t>Mitchell-Lama Termination</t>
  </si>
  <si>
    <t>HRA Fair Hearing</t>
  </si>
  <si>
    <t>NYCHA Housing Termination</t>
  </si>
  <si>
    <t>Other Administrative Proceeding</t>
  </si>
  <si>
    <t>Certificate of No Harassment Case</t>
  </si>
  <si>
    <t>PA Issue: RAU</t>
  </si>
  <si>
    <t>7A Proceeding</t>
  </si>
  <si>
    <t>Article 78</t>
  </si>
  <si>
    <t>Other Civil Court</t>
  </si>
  <si>
    <t>Representation - State Court</t>
  </si>
  <si>
    <t>Advice</t>
  </si>
  <si>
    <t>Representation - Admin. Agency</t>
  </si>
  <si>
    <t>Out-of-Court Advocacy</t>
  </si>
  <si>
    <t>Brief Service</t>
  </si>
  <si>
    <t>Hold For Review</t>
  </si>
  <si>
    <t>Representation - Federal Court</t>
  </si>
  <si>
    <t>G - Negotiated Settlement with Litigation</t>
  </si>
  <si>
    <t>B - Limited Action (Brief Service)</t>
  </si>
  <si>
    <t>A - Counsel and Advice</t>
  </si>
  <si>
    <t>F - Negotiated Settlement w/out Litigation</t>
  </si>
  <si>
    <t>H - Administrative Agency Decision</t>
  </si>
  <si>
    <t>IB - Contested Court Decision</t>
  </si>
  <si>
    <t>L - Extensive Service (not resulting in Settlement of Court or Administrative Action)</t>
  </si>
  <si>
    <t>IA - Uncontested Court Decision</t>
  </si>
  <si>
    <t>IC - Appeals</t>
  </si>
  <si>
    <t>3011 TRC FJC Initiative</t>
  </si>
  <si>
    <t>3018 Tenant Rights Coalition (TRC)</t>
  </si>
  <si>
    <t>3308 Anti-Eviction and SRO Legal Services (formerly known as “HPD” Contracts)</t>
  </si>
  <si>
    <t>5510 CB9 Manhattanville-West Harlem Tenant Advocacy Project</t>
  </si>
  <si>
    <t>3308 Anti-Eviction and SRO Legal Services (formerly known as “HPD” Contracts), 5227 RH VJP (Veterans Justice Project)</t>
  </si>
  <si>
    <t>3115 HPLP-Homelessness Prevention Law Project, 3308 Anti-Eviction and SRO Legal Services (formerly known as “HPD” Contracts)</t>
  </si>
  <si>
    <t>3018 Tenant Rights Coalition (TRC), 5227 RH VJP (Veterans Justice Project)</t>
  </si>
  <si>
    <t>5227 RH VJP (Veterans Justice Project)</t>
  </si>
  <si>
    <t>2157 OCA-City-wide Civil Legal Services Grant</t>
  </si>
  <si>
    <t>5221 SSUSA-Single Stop USA</t>
  </si>
  <si>
    <t>02 Collect/Repo/Def/Garnsh</t>
  </si>
  <si>
    <t>63 Private Landlord/Tenant</t>
  </si>
  <si>
    <t>69 Other Housing</t>
  </si>
  <si>
    <t>79 Other Income Maintenence</t>
  </si>
  <si>
    <t>61 Federally Subsidized Housing</t>
  </si>
  <si>
    <t>71 TANF</t>
  </si>
  <si>
    <t>64 Public Housing</t>
  </si>
  <si>
    <t>No Stipulation; No Judgment</t>
  </si>
  <si>
    <t>Post-Stipulation, No Judgment</t>
  </si>
  <si>
    <t>Post-Judgment, Tenant Out of Possession</t>
  </si>
  <si>
    <t>Post-Judgment, Tenant in Possession-Judgment Due to Other</t>
  </si>
  <si>
    <t>Post-Judgment, Tenant in Possession-Judgment Due to Default</t>
  </si>
  <si>
    <t>On for Trial</t>
  </si>
  <si>
    <t>No Stipulation; No Judgment, On for Trial</t>
  </si>
  <si>
    <t>04/16/2018</t>
  </si>
  <si>
    <t>06/01/2017</t>
  </si>
  <si>
    <t>07/01/2017</t>
  </si>
  <si>
    <t>01/04/2018</t>
  </si>
  <si>
    <t>10/20/2018</t>
  </si>
  <si>
    <t>12/01/2018</t>
  </si>
  <si>
    <t>11/23/2016</t>
  </si>
  <si>
    <t>04/11/2016</t>
  </si>
  <si>
    <t>07/19/2018</t>
  </si>
  <si>
    <t>02/07/2019</t>
  </si>
  <si>
    <t>09/19/2016</t>
  </si>
  <si>
    <t>07/07/2016</t>
  </si>
  <si>
    <t>10/04/2018</t>
  </si>
  <si>
    <t>01/28/2017</t>
  </si>
  <si>
    <t>09/20/2016</t>
  </si>
  <si>
    <t>05/08/2019</t>
  </si>
  <si>
    <t>07/01/2018</t>
  </si>
  <si>
    <t>08/17/2015</t>
  </si>
  <si>
    <t>04/01/2018</t>
  </si>
  <si>
    <t>01/14/2017</t>
  </si>
  <si>
    <t>01/04/2017</t>
  </si>
  <si>
    <t>04/19/2019</t>
  </si>
  <si>
    <t>07/13/2016</t>
  </si>
  <si>
    <t>05/15/2017</t>
  </si>
  <si>
    <t>09/14/2015</t>
  </si>
  <si>
    <t>08/31/2018</t>
  </si>
  <si>
    <t>08/30/2016</t>
  </si>
  <si>
    <t>12/06/2016</t>
  </si>
  <si>
    <t>07/10/2018</t>
  </si>
  <si>
    <t>09/21/2016</t>
  </si>
  <si>
    <t>02/28/2017</t>
  </si>
  <si>
    <t>04/04/2017</t>
  </si>
  <si>
    <t>07/19/2016</t>
  </si>
  <si>
    <t>06/02/2018</t>
  </si>
  <si>
    <t>10/01/2017</t>
  </si>
  <si>
    <t>03/08/2016</t>
  </si>
  <si>
    <t>07/06/2016</t>
  </si>
  <si>
    <t>02/28/2019</t>
  </si>
  <si>
    <t>09/27/2016</t>
  </si>
  <si>
    <t>09/01/2018</t>
  </si>
  <si>
    <t>03/02/2017</t>
  </si>
  <si>
    <t>09/13/2017</t>
  </si>
  <si>
    <t>09/07/2017</t>
  </si>
  <si>
    <t>01/07/2016</t>
  </si>
  <si>
    <t>11/12/2015</t>
  </si>
  <si>
    <t>10/05/2016</t>
  </si>
  <si>
    <t>04/07/2016</t>
  </si>
  <si>
    <t>11/20/2015</t>
  </si>
  <si>
    <t>08/21/2017</t>
  </si>
  <si>
    <t>06/03/2018</t>
  </si>
  <si>
    <t>02/24/2018</t>
  </si>
  <si>
    <t>10/07/2015</t>
  </si>
  <si>
    <t>11/08/2016</t>
  </si>
  <si>
    <t>05/05/2018</t>
  </si>
  <si>
    <t>10/28/2018</t>
  </si>
  <si>
    <t>04/27/2017</t>
  </si>
  <si>
    <t>07/20/2016</t>
  </si>
  <si>
    <t>04/30/2017</t>
  </si>
  <si>
    <t>12/18/2017</t>
  </si>
  <si>
    <t>08/09/2017</t>
  </si>
  <si>
    <t>06/07/2017</t>
  </si>
  <si>
    <t>11/04/2017</t>
  </si>
  <si>
    <t>05/01/2017</t>
  </si>
  <si>
    <t>03/20/2019</t>
  </si>
  <si>
    <t>07/26/2018</t>
  </si>
  <si>
    <t>02/17/2017</t>
  </si>
  <si>
    <t>01/01/2019</t>
  </si>
  <si>
    <t>12/02/2016</t>
  </si>
  <si>
    <t>05/05/2016</t>
  </si>
  <si>
    <t>02/23/2019</t>
  </si>
  <si>
    <t>Manhattan Legal Services</t>
  </si>
  <si>
    <t>Outreach</t>
  </si>
  <si>
    <t>HRA</t>
  </si>
  <si>
    <t>Self-referred</t>
  </si>
  <si>
    <t>FJC Housing Intake</t>
  </si>
  <si>
    <t>In-House</t>
  </si>
  <si>
    <t>Returning Client</t>
  </si>
  <si>
    <t>Word of mouth</t>
  </si>
  <si>
    <t>Elected Official</t>
  </si>
  <si>
    <t>ADP Hotline</t>
  </si>
  <si>
    <t>Other City Agency</t>
  </si>
  <si>
    <t>HRA ELS (Assigned Counsel)</t>
  </si>
  <si>
    <t>3-1-1</t>
  </si>
  <si>
    <t>Community Organization</t>
  </si>
  <si>
    <t>Tenant Support Unit</t>
  </si>
  <si>
    <t>Court Referral-NON HRA</t>
  </si>
  <si>
    <t>Court</t>
  </si>
  <si>
    <t>Legal Services</t>
  </si>
  <si>
    <t>Home base</t>
  </si>
  <si>
    <t>School</t>
  </si>
  <si>
    <t>Friends/Family</t>
  </si>
  <si>
    <t>1002-Stopped or reduced debt collection Activity</t>
  </si>
  <si>
    <t>6014-Obtained advice and counsel on a Housing matter</t>
  </si>
  <si>
    <t>6002-Prevented eviction from private housing</t>
  </si>
  <si>
    <t>6003-Delayed eviction providing time to seek alternative housing</t>
  </si>
  <si>
    <t>7001-Obtained, preserved or increased public assistance, TANF or other welfare benefit/right</t>
  </si>
  <si>
    <t>6015-Obtained non-litgation advocacy services on a Housing  matter</t>
  </si>
  <si>
    <t>6007-Avoided, or obtained redress for charges by landlord</t>
  </si>
  <si>
    <t>6009-Obtained repairs, Improved housing conditions or otherwise enforced rights to decent, habitable housing</t>
  </si>
  <si>
    <t>6012-Overcame, or obtained redress for, discrimination of affordable housing</t>
  </si>
  <si>
    <t>7012-Obtained advice and counsel  on an Income Maintenance matter</t>
  </si>
  <si>
    <t>1013-Obtained advice and counsel  on Consumer matter</t>
  </si>
  <si>
    <t>1001-Obtained federal bankruptcy protection</t>
  </si>
  <si>
    <t>6017-Obtained other benefit on a Housing matter</t>
  </si>
  <si>
    <t>6008-Overcame denial of tenants rights under lease</t>
  </si>
  <si>
    <t>6018-Prevented eviction from subsidized housing</t>
  </si>
  <si>
    <t>6021-Provided full representation in a Housing matter, but no legal benefit achieved for the client</t>
  </si>
  <si>
    <t>6001-Prevented eviction from public housing</t>
  </si>
  <si>
    <t>ZZ-Client Withdrew—For ZZ Adm Closed Reason Closed Cases Only</t>
  </si>
  <si>
    <t>6006-Prevented denial of public housing tenant's rights</t>
  </si>
  <si>
    <t>7015-Obtained other benefit on an Income Maintenance matter</t>
  </si>
  <si>
    <t>7013-Obtained non-llitigation advocacy services on an Income Maintenance matter</t>
  </si>
  <si>
    <t>1016–Obtained other benefit on a Consumer matter</t>
  </si>
  <si>
    <t>6016-Obtained referral on a Housing matter</t>
  </si>
  <si>
    <t>6013-Obtained assistance in development/renovation of affordable housing</t>
  </si>
  <si>
    <t>1014-Obtained non-litgation advocacy services on a Consumer matter</t>
  </si>
  <si>
    <t>7002-Overcame denial of emergency assistance</t>
  </si>
  <si>
    <t>6004-Obtained access to housing</t>
  </si>
  <si>
    <t>04/03/1983</t>
  </si>
  <si>
    <t>11/15/1970</t>
  </si>
  <si>
    <t>07/07/1991</t>
  </si>
  <si>
    <t>04/17/1984</t>
  </si>
  <si>
    <t>04/02/1985</t>
  </si>
  <si>
    <t>08/12/1973</t>
  </si>
  <si>
    <t>06/02/1984</t>
  </si>
  <si>
    <t>08/12/1978</t>
  </si>
  <si>
    <t>04/02/1993</t>
  </si>
  <si>
    <t>02/18/1971</t>
  </si>
  <si>
    <t>06/05/1992</t>
  </si>
  <si>
    <t>06/05/1994</t>
  </si>
  <si>
    <t>12/15/1974</t>
  </si>
  <si>
    <t>09/16/1986</t>
  </si>
  <si>
    <t>11/27/1972</t>
  </si>
  <si>
    <t>09/07/1981</t>
  </si>
  <si>
    <t>05/02/1952</t>
  </si>
  <si>
    <t>11/28/1971</t>
  </si>
  <si>
    <t>05/28/1981</t>
  </si>
  <si>
    <t>06/25/1988</t>
  </si>
  <si>
    <t>03/04/1988</t>
  </si>
  <si>
    <t>04/02/1989</t>
  </si>
  <si>
    <t>01/02/1968</t>
  </si>
  <si>
    <t>05/26/1972</t>
  </si>
  <si>
    <t>10/30/1962</t>
  </si>
  <si>
    <t>01/19/1955</t>
  </si>
  <si>
    <t>12/19/2011</t>
  </si>
  <si>
    <t>03/13/1930</t>
  </si>
  <si>
    <t>04/06/1981</t>
  </si>
  <si>
    <t>05/21/1979</t>
  </si>
  <si>
    <t>05/03/1983</t>
  </si>
  <si>
    <t>09/06/1955</t>
  </si>
  <si>
    <t>10/21/1972</t>
  </si>
  <si>
    <t>01/28/1986</t>
  </si>
  <si>
    <t>03/02/1982</t>
  </si>
  <si>
    <t>10/24/1932</t>
  </si>
  <si>
    <t>10/25/1956</t>
  </si>
  <si>
    <t>11/26/1966</t>
  </si>
  <si>
    <t>02/08/1959</t>
  </si>
  <si>
    <t>02/25/1975</t>
  </si>
  <si>
    <t>02/12/1978</t>
  </si>
  <si>
    <t>03/29/1978</t>
  </si>
  <si>
    <t>02/09/1958</t>
  </si>
  <si>
    <t>03/31/1968</t>
  </si>
  <si>
    <t>03/23/1966</t>
  </si>
  <si>
    <t>01/07/1955</t>
  </si>
  <si>
    <t>12/29/1979</t>
  </si>
  <si>
    <t>08/03/1987</t>
  </si>
  <si>
    <t>01/02/1975</t>
  </si>
  <si>
    <t>07/19/1953</t>
  </si>
  <si>
    <t>08/04/1982</t>
  </si>
  <si>
    <t>07/29/1977</t>
  </si>
  <si>
    <t>02/10/1963</t>
  </si>
  <si>
    <t>10/08/1962</t>
  </si>
  <si>
    <t>03/11/1954</t>
  </si>
  <si>
    <t>04/10/1979</t>
  </si>
  <si>
    <t>07/07/1968</t>
  </si>
  <si>
    <t>11/09/1984</t>
  </si>
  <si>
    <t>03/06/1975</t>
  </si>
  <si>
    <t>04/11/1976</t>
  </si>
  <si>
    <t>01/04/1963</t>
  </si>
  <si>
    <t>09/12/1983</t>
  </si>
  <si>
    <t>04/12/1985</t>
  </si>
  <si>
    <t>04/13/1966</t>
  </si>
  <si>
    <t>08/16/1985</t>
  </si>
  <si>
    <t>05/27/1987</t>
  </si>
  <si>
    <t>05/25/1964</t>
  </si>
  <si>
    <t>11/24/1936</t>
  </si>
  <si>
    <t>08/29/1959</t>
  </si>
  <si>
    <t>11/19/1960</t>
  </si>
  <si>
    <t>06/06/1968</t>
  </si>
  <si>
    <t>10/01/1976</t>
  </si>
  <si>
    <t>06/19/1991</t>
  </si>
  <si>
    <t>12/22/2011</t>
  </si>
  <si>
    <t>01/19/1962</t>
  </si>
  <si>
    <t>03/18/1976</t>
  </si>
  <si>
    <t>04/13/1980</t>
  </si>
  <si>
    <t>01/01/1988</t>
  </si>
  <si>
    <t>02/15/1982</t>
  </si>
  <si>
    <t>12/10/1939</t>
  </si>
  <si>
    <t>07/10/1978</t>
  </si>
  <si>
    <t>12/01/1987</t>
  </si>
  <si>
    <t>08/26/1976</t>
  </si>
  <si>
    <t>08/15/1970</t>
  </si>
  <si>
    <t>05/12/1983</t>
  </si>
  <si>
    <t>03/19/1956</t>
  </si>
  <si>
    <t>04/15/1995</t>
  </si>
  <si>
    <t>04/22/1969</t>
  </si>
  <si>
    <t>07/04/1988</t>
  </si>
  <si>
    <t>10/14/1955</t>
  </si>
  <si>
    <t>09/04/1956</t>
  </si>
  <si>
    <t>09/22/1973</t>
  </si>
  <si>
    <t>09/08/1970</t>
  </si>
  <si>
    <t>08/22/1963</t>
  </si>
  <si>
    <t>10/07/1951</t>
  </si>
  <si>
    <t>12/12/1972</t>
  </si>
  <si>
    <t>06/24/1958</t>
  </si>
  <si>
    <t>06/12/1989</t>
  </si>
  <si>
    <t>07/17/1980</t>
  </si>
  <si>
    <t>08/25/1976</t>
  </si>
  <si>
    <t>06/26/1972</t>
  </si>
  <si>
    <t>05/28/1983</t>
  </si>
  <si>
    <t>07/04/1955</t>
  </si>
  <si>
    <t>05/18/1976</t>
  </si>
  <si>
    <t>07/10/1959</t>
  </si>
  <si>
    <t>12/19/1968</t>
  </si>
  <si>
    <t>10/13/1963</t>
  </si>
  <si>
    <t>06/18/1968</t>
  </si>
  <si>
    <t>04/01/1952</t>
  </si>
  <si>
    <t>12/09/1955</t>
  </si>
  <si>
    <t>01/01/1973</t>
  </si>
  <si>
    <t>05/27/1974</t>
  </si>
  <si>
    <t>12/17/1960</t>
  </si>
  <si>
    <t>07/18/1953</t>
  </si>
  <si>
    <t>08/17/1968</t>
  </si>
  <si>
    <t>08/27/1964</t>
  </si>
  <si>
    <t>03/23/1943</t>
  </si>
  <si>
    <t>11/13/1961</t>
  </si>
  <si>
    <t>01/27/1962</t>
  </si>
  <si>
    <t>05/15/1961</t>
  </si>
  <si>
    <t>10/19/1977</t>
  </si>
  <si>
    <t>12/13/1962</t>
  </si>
  <si>
    <t>04/10/1972</t>
  </si>
  <si>
    <t>09/12/1917</t>
  </si>
  <si>
    <t>03/07/1958</t>
  </si>
  <si>
    <t>07/25/1970</t>
  </si>
  <si>
    <t>02/08/1968</t>
  </si>
  <si>
    <t>01/26/1968</t>
  </si>
  <si>
    <t>10/16/1964</t>
  </si>
  <si>
    <t>01/11/1964</t>
  </si>
  <si>
    <t>07/10/1991</t>
  </si>
  <si>
    <t>02/27/1961</t>
  </si>
  <si>
    <t>03/04/1982</t>
  </si>
  <si>
    <t>11/20/1952</t>
  </si>
  <si>
    <t>11/08/1978</t>
  </si>
  <si>
    <t>01/27/1940</t>
  </si>
  <si>
    <t>03/01/1975</t>
  </si>
  <si>
    <t>11/26/1986</t>
  </si>
  <si>
    <t>06/14/1975</t>
  </si>
  <si>
    <t>02/12/1981</t>
  </si>
  <si>
    <t>09/02/1971</t>
  </si>
  <si>
    <t>11/23/1985</t>
  </si>
  <si>
    <t>02/03/1989</t>
  </si>
  <si>
    <t>04/15/1939</t>
  </si>
  <si>
    <t>09/04/1991</t>
  </si>
  <si>
    <t>08/16/1967</t>
  </si>
  <si>
    <t>08/12/1980</t>
  </si>
  <si>
    <t>04/07/1974</t>
  </si>
  <si>
    <t>03/08/1950</t>
  </si>
  <si>
    <t>09/03/1954</t>
  </si>
  <si>
    <t>03/26/1952</t>
  </si>
  <si>
    <t>10/31/1975</t>
  </si>
  <si>
    <t>12/23/1959</t>
  </si>
  <si>
    <t>11/15/1967</t>
  </si>
  <si>
    <t>04/28/1953</t>
  </si>
  <si>
    <t>03/22/1963</t>
  </si>
  <si>
    <t>06/19/1967</t>
  </si>
  <si>
    <t>07/19/1981</t>
  </si>
  <si>
    <t>10/13/1962</t>
  </si>
  <si>
    <t>07/27/1972</t>
  </si>
  <si>
    <t>12/16/1961</t>
  </si>
  <si>
    <t>03/31/1948</t>
  </si>
  <si>
    <t>06/25/1950</t>
  </si>
  <si>
    <t>06/24/1974</t>
  </si>
  <si>
    <t>12/04/1962</t>
  </si>
  <si>
    <t>12/02/1976</t>
  </si>
  <si>
    <t>05/26/1967</t>
  </si>
  <si>
    <t>10/13/1957</t>
  </si>
  <si>
    <t>02/26/1986</t>
  </si>
  <si>
    <t>03/02/1957</t>
  </si>
  <si>
    <t>05/03/1973</t>
  </si>
  <si>
    <t>10/30/1955</t>
  </si>
  <si>
    <t>09/27/1973</t>
  </si>
  <si>
    <t>11/30/1985</t>
  </si>
  <si>
    <t>08/10/1973</t>
  </si>
  <si>
    <t>01/24/1948</t>
  </si>
  <si>
    <t>08/11/1964</t>
  </si>
  <si>
    <t>02/07/1959</t>
  </si>
  <si>
    <t>06/11/1933</t>
  </si>
  <si>
    <t>06/18/1959</t>
  </si>
  <si>
    <t>10/22/1956</t>
  </si>
  <si>
    <t>03/13/1958</t>
  </si>
  <si>
    <t>11/09/1966</t>
  </si>
  <si>
    <t>03/26/1962</t>
  </si>
  <si>
    <t>04/24/1966</t>
  </si>
  <si>
    <t>05/12/1951</t>
  </si>
  <si>
    <t>03/27/1963</t>
  </si>
  <si>
    <t>07/07/1961</t>
  </si>
  <si>
    <t>02/15/1964</t>
  </si>
  <si>
    <t>03/26/1964</t>
  </si>
  <si>
    <t>05/26/1957</t>
  </si>
  <si>
    <t>10/13/1941</t>
  </si>
  <si>
    <t>11/08/1960</t>
  </si>
  <si>
    <t>05/18/1956</t>
  </si>
  <si>
    <t>04/03/1962</t>
  </si>
  <si>
    <t>02/19/1977</t>
  </si>
  <si>
    <t>10/18/1956</t>
  </si>
  <si>
    <t>03/17/1956</t>
  </si>
  <si>
    <t>03/15/1953</t>
  </si>
  <si>
    <t>08/15/1977</t>
  </si>
  <si>
    <t>04/30/1952</t>
  </si>
  <si>
    <t>09/23/1957</t>
  </si>
  <si>
    <t>04/02/1959</t>
  </si>
  <si>
    <t>11/19/1977</t>
  </si>
  <si>
    <t>05/01/1967</t>
  </si>
  <si>
    <t>09/21/1978</t>
  </si>
  <si>
    <t>12/23/1969</t>
  </si>
  <si>
    <t>01/08/1969</t>
  </si>
  <si>
    <t>11/07/1976</t>
  </si>
  <si>
    <t>05/05/1986</t>
  </si>
  <si>
    <t>06/07/1951</t>
  </si>
  <si>
    <t>04/21/1966</t>
  </si>
  <si>
    <t>11/21/1944</t>
  </si>
  <si>
    <t>01/28/1966</t>
  </si>
  <si>
    <t>04/14/1956</t>
  </si>
  <si>
    <t>12/19/1966</t>
  </si>
  <si>
    <t>02/25/1931</t>
  </si>
  <si>
    <t>07/05/1964</t>
  </si>
  <si>
    <t>07/26/1935</t>
  </si>
  <si>
    <t>06/02/1967</t>
  </si>
  <si>
    <t>05/11/1983</t>
  </si>
  <si>
    <t>02/09/1933</t>
  </si>
  <si>
    <t>04/30/1958</t>
  </si>
  <si>
    <t>07/08/1952</t>
  </si>
  <si>
    <t>03/15/1959</t>
  </si>
  <si>
    <t>05/05/1950</t>
  </si>
  <si>
    <t>10/12/1943</t>
  </si>
  <si>
    <t>01/14/1980</t>
  </si>
  <si>
    <t>01/17/1982</t>
  </si>
  <si>
    <t>10/18/1950</t>
  </si>
  <si>
    <t>02/20/1950</t>
  </si>
  <si>
    <t>12/19/1946</t>
  </si>
  <si>
    <t>01/30/1938</t>
  </si>
  <si>
    <t>02/06/1946</t>
  </si>
  <si>
    <t>12/20/1940</t>
  </si>
  <si>
    <t>10/04/1957</t>
  </si>
  <si>
    <t>06/27/1963</t>
  </si>
  <si>
    <t>10/17/1968</t>
  </si>
  <si>
    <t>09/17/1950</t>
  </si>
  <si>
    <t>11/07/1953</t>
  </si>
  <si>
    <t>04/12/1984</t>
  </si>
  <si>
    <t>11/27/1950</t>
  </si>
  <si>
    <t>09/20/1952</t>
  </si>
  <si>
    <t>10/14/1951</t>
  </si>
  <si>
    <t>08/15/1956</t>
  </si>
  <si>
    <t>01/12/1947</t>
  </si>
  <si>
    <t>02/15/1965</t>
  </si>
  <si>
    <t>03/25/1955</t>
  </si>
  <si>
    <t>03/06/1950</t>
  </si>
  <si>
    <t>03/24/1969</t>
  </si>
  <si>
    <t>09/20/1935</t>
  </si>
  <si>
    <t>10/05/1965</t>
  </si>
  <si>
    <t>06/11/1936</t>
  </si>
  <si>
    <t>02/22/1947</t>
  </si>
  <si>
    <t>06/04/1964</t>
  </si>
  <si>
    <t>01/04/1938</t>
  </si>
  <si>
    <t>09/13/1963</t>
  </si>
  <si>
    <t>08/26/1945</t>
  </si>
  <si>
    <t>12/21/1977</t>
  </si>
  <si>
    <t>01/25/1943</t>
  </si>
  <si>
    <t>04/07/1956</t>
  </si>
  <si>
    <t>06/19/1978</t>
  </si>
  <si>
    <t>09/05/1976</t>
  </si>
  <si>
    <t>05/16/1979</t>
  </si>
  <si>
    <t>11/18/1951</t>
  </si>
  <si>
    <t>12/02/1964</t>
  </si>
  <si>
    <t>08/08/1973</t>
  </si>
  <si>
    <t>07/21/1953</t>
  </si>
  <si>
    <t>01/02/1954</t>
  </si>
  <si>
    <t>11/10/1981</t>
  </si>
  <si>
    <t>05/14/1967</t>
  </si>
  <si>
    <t>04/30/1982</t>
  </si>
  <si>
    <t>05/05/1941</t>
  </si>
  <si>
    <t>07/09/1993</t>
  </si>
  <si>
    <t>02/05/1955</t>
  </si>
  <si>
    <t>10/15/1962</t>
  </si>
  <si>
    <t>12/01/1959</t>
  </si>
  <si>
    <t>04/02/1981</t>
  </si>
  <si>
    <t>03/14/1935</t>
  </si>
  <si>
    <t>06/20/1964</t>
  </si>
  <si>
    <t>08/04/1968</t>
  </si>
  <si>
    <t>06/26/1957</t>
  </si>
  <si>
    <t>09/24/1946</t>
  </si>
  <si>
    <t>03/12/1936</t>
  </si>
  <si>
    <t>06/24/1995</t>
  </si>
  <si>
    <t>08/15/1983</t>
  </si>
  <si>
    <t>03/15/1950</t>
  </si>
  <si>
    <t>06/09/1956</t>
  </si>
  <si>
    <t>04/18/1981</t>
  </si>
  <si>
    <t>02/06/1965</t>
  </si>
  <si>
    <t>06/15/1946</t>
  </si>
  <si>
    <t>03/18/1929</t>
  </si>
  <si>
    <t>03/25/1973</t>
  </si>
  <si>
    <t>10/09/1950</t>
  </si>
  <si>
    <t>10/12/1962</t>
  </si>
  <si>
    <t>01/05/1977</t>
  </si>
  <si>
    <t>11/15/1981</t>
  </si>
  <si>
    <t>08/04/1950</t>
  </si>
  <si>
    <t>12/04/1958</t>
  </si>
  <si>
    <t>11/15/1959</t>
  </si>
  <si>
    <t>05/07/1978</t>
  </si>
  <si>
    <t>12/05/1978</t>
  </si>
  <si>
    <t>09/17/1935</t>
  </si>
  <si>
    <t>09/14/1947</t>
  </si>
  <si>
    <t>08/15/1948</t>
  </si>
  <si>
    <t>04/08/1957</t>
  </si>
  <si>
    <t>07/08/1968</t>
  </si>
  <si>
    <t>10/02/1956</t>
  </si>
  <si>
    <t>03/05/1957</t>
  </si>
  <si>
    <t>08/24/1958</t>
  </si>
  <si>
    <t>03/06/1963</t>
  </si>
  <si>
    <t>05/17/1930</t>
  </si>
  <si>
    <t>01/06/1944</t>
  </si>
  <si>
    <t>06/22/1939</t>
  </si>
  <si>
    <t>07/07/1955</t>
  </si>
  <si>
    <t>10/27/1970</t>
  </si>
  <si>
    <t>04/19/1977</t>
  </si>
  <si>
    <t>09/12/1985</t>
  </si>
  <si>
    <t>02/09/1954</t>
  </si>
  <si>
    <t>03/05/1931</t>
  </si>
  <si>
    <t>11/17/1962</t>
  </si>
  <si>
    <t>05/30/1951</t>
  </si>
  <si>
    <t>05/25/1972</t>
  </si>
  <si>
    <t>09/05/1947</t>
  </si>
  <si>
    <t>01/27/1958</t>
  </si>
  <si>
    <t>07/23/1976</t>
  </si>
  <si>
    <t>03/14/1964</t>
  </si>
  <si>
    <t>07/03/1956</t>
  </si>
  <si>
    <t>03/17/1960</t>
  </si>
  <si>
    <t>02/07/1985</t>
  </si>
  <si>
    <t>09/01/1966</t>
  </si>
  <si>
    <t>10/23/1942</t>
  </si>
  <si>
    <t>08/08/1976</t>
  </si>
  <si>
    <t>03/31/1952</t>
  </si>
  <si>
    <t>06/13/1963</t>
  </si>
  <si>
    <t>04/10/1976</t>
  </si>
  <si>
    <t>01/26/1950</t>
  </si>
  <si>
    <t>09/02/1949</t>
  </si>
  <si>
    <t>11/10/1936</t>
  </si>
  <si>
    <t>12/28/1946</t>
  </si>
  <si>
    <t>12/25/1942</t>
  </si>
  <si>
    <t>02/05/1956</t>
  </si>
  <si>
    <t>09/17/1971</t>
  </si>
  <si>
    <t>04/15/1974</t>
  </si>
  <si>
    <t>03/15/1956</t>
  </si>
  <si>
    <t>10/04/1944</t>
  </si>
  <si>
    <t>07/17/1943</t>
  </si>
  <si>
    <t>04/27/1959</t>
  </si>
  <si>
    <t>08/05/1965</t>
  </si>
  <si>
    <t>09/21/1949</t>
  </si>
  <si>
    <t>05/26/1946</t>
  </si>
  <si>
    <t>12/31/1990</t>
  </si>
  <si>
    <t>10/18/1954</t>
  </si>
  <si>
    <t>12/21/1956</t>
  </si>
  <si>
    <t>05/19/1945</t>
  </si>
  <si>
    <t>01/27/1952</t>
  </si>
  <si>
    <t>09/06/1956</t>
  </si>
  <si>
    <t>07/09/1964</t>
  </si>
  <si>
    <t>01/10/1950</t>
  </si>
  <si>
    <t>10/23/1950</t>
  </si>
  <si>
    <t>08/27/1967</t>
  </si>
  <si>
    <t>04/28/1949</t>
  </si>
  <si>
    <t>09/15/1942</t>
  </si>
  <si>
    <t>02/01/1945</t>
  </si>
  <si>
    <t>08/11/1935</t>
  </si>
  <si>
    <t>02/03/1956</t>
  </si>
  <si>
    <t>03/03/1930</t>
  </si>
  <si>
    <t>08/12/1974</t>
  </si>
  <si>
    <t>07/15/1957</t>
  </si>
  <si>
    <t>09/08/1941</t>
  </si>
  <si>
    <t>03/18/1988</t>
  </si>
  <si>
    <t>06/19/1956</t>
  </si>
  <si>
    <t>10/19/1944</t>
  </si>
  <si>
    <t>08/28/1942</t>
  </si>
  <si>
    <t>06/11/1975</t>
  </si>
  <si>
    <t>03/22/1965</t>
  </si>
  <si>
    <t>09/04/1944</t>
  </si>
  <si>
    <t>06/20/1954</t>
  </si>
  <si>
    <t>01/30/1958</t>
  </si>
  <si>
    <t>03/23/1963</t>
  </si>
  <si>
    <t>12/23/1951</t>
  </si>
  <si>
    <t>07/05/1957</t>
  </si>
  <si>
    <t>09/22/1964</t>
  </si>
  <si>
    <t>11/17/1975</t>
  </si>
  <si>
    <t>03/22/1962</t>
  </si>
  <si>
    <t>11/09/1953</t>
  </si>
  <si>
    <t>10/14/1927</t>
  </si>
  <si>
    <t>07/30/1987</t>
  </si>
  <si>
    <t>07/12/1949</t>
  </si>
  <si>
    <t>03/25/1975</t>
  </si>
  <si>
    <t>11/13/1994</t>
  </si>
  <si>
    <t>12/24/1964</t>
  </si>
  <si>
    <t>04/15/1950</t>
  </si>
  <si>
    <t>06/04/1971</t>
  </si>
  <si>
    <t>05/19/1957</t>
  </si>
  <si>
    <t>02/05/1967</t>
  </si>
  <si>
    <t>07/17/1955</t>
  </si>
  <si>
    <t>05/23/1957</t>
  </si>
  <si>
    <t>01/22/1976</t>
  </si>
  <si>
    <t>02/28/1961</t>
  </si>
  <si>
    <t>09/24/1974</t>
  </si>
  <si>
    <t>11/21/1981</t>
  </si>
  <si>
    <t>08/11/1942</t>
  </si>
  <si>
    <t>12/04/1952</t>
  </si>
  <si>
    <t>05/05/1953</t>
  </si>
  <si>
    <t>09/29/1967</t>
  </si>
  <si>
    <t>10/28/1957</t>
  </si>
  <si>
    <t>05/14/1934</t>
  </si>
  <si>
    <t>01/29/1945</t>
  </si>
  <si>
    <t>12/06/1980</t>
  </si>
  <si>
    <t>12/13/1971</t>
  </si>
  <si>
    <t>08/03/1968</t>
  </si>
  <si>
    <t>03/06/1954</t>
  </si>
  <si>
    <t>03/20/1947</t>
  </si>
  <si>
    <t>05/28/1953</t>
  </si>
  <si>
    <t>03/23/1978</t>
  </si>
  <si>
    <t>11/04/1948</t>
  </si>
  <si>
    <t>05/23/1954</t>
  </si>
  <si>
    <t>10/07/1952</t>
  </si>
  <si>
    <t>04/21/1956</t>
  </si>
  <si>
    <t>06/10/1962</t>
  </si>
  <si>
    <t>12/26/1958</t>
  </si>
  <si>
    <t>12/09/1931</t>
  </si>
  <si>
    <t>09/14/1964</t>
  </si>
  <si>
    <t>12/11/1956</t>
  </si>
  <si>
    <t>03/27/1960</t>
  </si>
  <si>
    <t>01/26/1926</t>
  </si>
  <si>
    <t>10/09/1942</t>
  </si>
  <si>
    <t>07/06/1949</t>
  </si>
  <si>
    <t>05/30/1955</t>
  </si>
  <si>
    <t>09/02/1947</t>
  </si>
  <si>
    <t>08/26/1950</t>
  </si>
  <si>
    <t>03/10/1953</t>
  </si>
  <si>
    <t>11/28/1961</t>
  </si>
  <si>
    <t>03/13/1962</t>
  </si>
  <si>
    <t>07/16/1938</t>
  </si>
  <si>
    <t>11/24/1937</t>
  </si>
  <si>
    <t>02/02/1972</t>
  </si>
  <si>
    <t>03/19/1945</t>
  </si>
  <si>
    <t>03/29/1946</t>
  </si>
  <si>
    <t>12/11/1932</t>
  </si>
  <si>
    <t>05/01/1947</t>
  </si>
  <si>
    <t>08/12/1928</t>
  </si>
  <si>
    <t>01/27/1957</t>
  </si>
  <si>
    <t>07/11/1953</t>
  </si>
  <si>
    <t>03/26/1944</t>
  </si>
  <si>
    <t>06/16/1979</t>
  </si>
  <si>
    <t>08/26/1957</t>
  </si>
  <si>
    <t>03/05/1946</t>
  </si>
  <si>
    <t>03/10/1955</t>
  </si>
  <si>
    <t>02/15/1953</t>
  </si>
  <si>
    <t>12/18/1936</t>
  </si>
  <si>
    <t>12/03/1962</t>
  </si>
  <si>
    <t>02/18/1964</t>
  </si>
  <si>
    <t>10/08/1977</t>
  </si>
  <si>
    <t>06/16/1983</t>
  </si>
  <si>
    <t>02/10/1962</t>
  </si>
  <si>
    <t>08/07/1955</t>
  </si>
  <si>
    <t>11/05/1945</t>
  </si>
  <si>
    <t>01/10/1953</t>
  </si>
  <si>
    <t>07/25/1931</t>
  </si>
  <si>
    <t>10/12/1938</t>
  </si>
  <si>
    <t>07/03/1951</t>
  </si>
  <si>
    <t>08/04/1943</t>
  </si>
  <si>
    <t>12/17/1975</t>
  </si>
  <si>
    <t>12/08/1936</t>
  </si>
  <si>
    <t>04/04/1965</t>
  </si>
  <si>
    <t>07/27/1961</t>
  </si>
  <si>
    <t>07/30/1949</t>
  </si>
  <si>
    <t>12/29/1947</t>
  </si>
  <si>
    <t>02/28/1977</t>
  </si>
  <si>
    <t>12/07/1956</t>
  </si>
  <si>
    <t>09/19/1973</t>
  </si>
  <si>
    <t>08/02/1934</t>
  </si>
  <si>
    <t>09/07/1992</t>
  </si>
  <si>
    <t>04/11/1942</t>
  </si>
  <si>
    <t>11/22/1966</t>
  </si>
  <si>
    <t>06/13/1938</t>
  </si>
  <si>
    <t>12/25/1965</t>
  </si>
  <si>
    <t>07/01/1955</t>
  </si>
  <si>
    <t>06/16/1960</t>
  </si>
  <si>
    <t>06/14/1957</t>
  </si>
  <si>
    <t>01/01/1952</t>
  </si>
  <si>
    <t>01/05/1969</t>
  </si>
  <si>
    <t>05/08/1959</t>
  </si>
  <si>
    <t>08/19/1939</t>
  </si>
  <si>
    <t>07/15/1953</t>
  </si>
  <si>
    <t>12/28/1951</t>
  </si>
  <si>
    <t>10/01/1957</t>
  </si>
  <si>
    <t>05/24/1954</t>
  </si>
  <si>
    <t>09/20/1957</t>
  </si>
  <si>
    <t>02/27/1964</t>
  </si>
  <si>
    <t>07/02/1964</t>
  </si>
  <si>
    <t>12/29/1920</t>
  </si>
  <si>
    <t>07/17/1965</t>
  </si>
  <si>
    <t>10/04/1993</t>
  </si>
  <si>
    <t>05/09/1969</t>
  </si>
  <si>
    <t>06/03/1956</t>
  </si>
  <si>
    <t>06/15/1957</t>
  </si>
  <si>
    <t>01/02/1944</t>
  </si>
  <si>
    <t>05/21/1964</t>
  </si>
  <si>
    <t>01/02/1958</t>
  </si>
  <si>
    <t>07/06/1963</t>
  </si>
  <si>
    <t>05/09/1958</t>
  </si>
  <si>
    <t>03/29/1937</t>
  </si>
  <si>
    <t>03/23/1924</t>
  </si>
  <si>
    <t>10/12/1956</t>
  </si>
  <si>
    <t>07/23/1947</t>
  </si>
  <si>
    <t>09/23/1945</t>
  </si>
  <si>
    <t>05/19/1947</t>
  </si>
  <si>
    <t>07/10/1952</t>
  </si>
  <si>
    <t>08/20/1947</t>
  </si>
  <si>
    <t>02/13/1954</t>
  </si>
  <si>
    <t>07/21/1941</t>
  </si>
  <si>
    <t>01/26/1949</t>
  </si>
  <si>
    <t>01/16/1939</t>
  </si>
  <si>
    <t>08/02/1957</t>
  </si>
  <si>
    <t>12/14/1956</t>
  </si>
  <si>
    <t>11/17/1953</t>
  </si>
  <si>
    <t>08/06/1945</t>
  </si>
  <si>
    <t>03/24/1957</t>
  </si>
  <si>
    <t>12/17/1956</t>
  </si>
  <si>
    <t>07/23/1943</t>
  </si>
  <si>
    <t>07/13/1963</t>
  </si>
  <si>
    <t>10/07/1958</t>
  </si>
  <si>
    <t>03/17/1969</t>
  </si>
  <si>
    <t>05/01/1964</t>
  </si>
  <si>
    <t>02/16/1987</t>
  </si>
  <si>
    <t>02/25/1946</t>
  </si>
  <si>
    <t>09/07/1975</t>
  </si>
  <si>
    <t>08/18/1978</t>
  </si>
  <si>
    <t>07/17/1951</t>
  </si>
  <si>
    <t>12/18/1980</t>
  </si>
  <si>
    <t>09/09/1959</t>
  </si>
  <si>
    <t>01/14/1954</t>
  </si>
  <si>
    <t>09/16/1958</t>
  </si>
  <si>
    <t>06/15/1975</t>
  </si>
  <si>
    <t>03/17/1962</t>
  </si>
  <si>
    <t>11/02/1944</t>
  </si>
  <si>
    <t>10/16/1954</t>
  </si>
  <si>
    <t>04/29/1974</t>
  </si>
  <si>
    <t>03/11/1933</t>
  </si>
  <si>
    <t>09/14/1952</t>
  </si>
  <si>
    <t>01/01/1950</t>
  </si>
  <si>
    <t>05/26/1952</t>
  </si>
  <si>
    <t>12/01/1958</t>
  </si>
  <si>
    <t>10/11/1958</t>
  </si>
  <si>
    <t>05/16/1969</t>
  </si>
  <si>
    <t>02/08/1971</t>
  </si>
  <si>
    <t>03/06/1956</t>
  </si>
  <si>
    <t>11/21/1923</t>
  </si>
  <si>
    <t>11/22/1946</t>
  </si>
  <si>
    <t>10/14/1980</t>
  </si>
  <si>
    <t>08/27/1963</t>
  </si>
  <si>
    <t>04/05/1959</t>
  </si>
  <si>
    <t>05/24/1951</t>
  </si>
  <si>
    <t>08/14/1959</t>
  </si>
  <si>
    <t>06/01/1951</t>
  </si>
  <si>
    <t>02/11/1962</t>
  </si>
  <si>
    <t>07/31/1976</t>
  </si>
  <si>
    <t>01/21/1984</t>
  </si>
  <si>
    <t>01/01/1955</t>
  </si>
  <si>
    <t>02/12/1953</t>
  </si>
  <si>
    <t>12/14/1948</t>
  </si>
  <si>
    <t>01/01/1934</t>
  </si>
  <si>
    <t>08/09/1959</t>
  </si>
  <si>
    <t>09/09/1940</t>
  </si>
  <si>
    <t>05/22/1976</t>
  </si>
  <si>
    <t>06/13/1957</t>
  </si>
  <si>
    <t>03/24/1995</t>
  </si>
  <si>
    <t>12/14/1963</t>
  </si>
  <si>
    <t>12/22/1959</t>
  </si>
  <si>
    <t>11/18/1958</t>
  </si>
  <si>
    <t>05/01/1958</t>
  </si>
  <si>
    <t>01/03/1945</t>
  </si>
  <si>
    <t>01/17/1966</t>
  </si>
  <si>
    <t>05/29/1988</t>
  </si>
  <si>
    <t>12/20/1960</t>
  </si>
  <si>
    <t>06/10/1954</t>
  </si>
  <si>
    <t>03/21/1965</t>
  </si>
  <si>
    <t>05/24/1959</t>
  </si>
  <si>
    <t>07/13/1982</t>
  </si>
  <si>
    <t>09/15/1979</t>
  </si>
  <si>
    <t>08/10/1957</t>
  </si>
  <si>
    <t>10/10/1944</t>
  </si>
  <si>
    <t>02/22/1970</t>
  </si>
  <si>
    <t>01/20/1956</t>
  </si>
  <si>
    <t>08/18/1945</t>
  </si>
  <si>
    <t>10/22/1930</t>
  </si>
  <si>
    <t>06/08/1952</t>
  </si>
  <si>
    <t>08/01/1959</t>
  </si>
  <si>
    <t>07/12/1948</t>
  </si>
  <si>
    <t>04/17/1955</t>
  </si>
  <si>
    <t>02/18/1936</t>
  </si>
  <si>
    <t>07/09/1960</t>
  </si>
  <si>
    <t>06/25/1943</t>
  </si>
  <si>
    <t>08/28/1960</t>
  </si>
  <si>
    <t>12/31/1970</t>
  </si>
  <si>
    <t>11/02/1959</t>
  </si>
  <si>
    <t>12/19/1953</t>
  </si>
  <si>
    <t>01/01/1958</t>
  </si>
  <si>
    <t>11/15/1969</t>
  </si>
  <si>
    <t>07/02/1954</t>
  </si>
  <si>
    <t>09/27/1957</t>
  </si>
  <si>
    <t>02/10/1948</t>
  </si>
  <si>
    <t>01/03/1952</t>
  </si>
  <si>
    <t>06/30/1957</t>
  </si>
  <si>
    <t>08/07/1978</t>
  </si>
  <si>
    <t>03/24/1985</t>
  </si>
  <si>
    <t>03/04/1961</t>
  </si>
  <si>
    <t>03/27/1952</t>
  </si>
  <si>
    <t>12/23/1986</t>
  </si>
  <si>
    <t>01/06/1986</t>
  </si>
  <si>
    <t>10/26/1990</t>
  </si>
  <si>
    <t>05/03/1965</t>
  </si>
  <si>
    <t>03/23/1960</t>
  </si>
  <si>
    <t>12/30/1960</t>
  </si>
  <si>
    <t>11/29/1965</t>
  </si>
  <si>
    <t>03/25/1947</t>
  </si>
  <si>
    <t>08/20/1950</t>
  </si>
  <si>
    <t>09/19/1958</t>
  </si>
  <si>
    <t>01/29/1964</t>
  </si>
  <si>
    <t>04/06/1943</t>
  </si>
  <si>
    <t>12/09/1960</t>
  </si>
  <si>
    <t>05/02/1936</t>
  </si>
  <si>
    <t>12/31/1951</t>
  </si>
  <si>
    <t>01/30/1949</t>
  </si>
  <si>
    <t>08/21/1946</t>
  </si>
  <si>
    <t>07/17/1967</t>
  </si>
  <si>
    <t>09/07/1954</t>
  </si>
  <si>
    <t>06/14/1947</t>
  </si>
  <si>
    <t>11/10/1929</t>
  </si>
  <si>
    <t>10/02/1947</t>
  </si>
  <si>
    <t>06/11/1961</t>
  </si>
  <si>
    <t>12/15/1964</t>
  </si>
  <si>
    <t>04/03/1951</t>
  </si>
  <si>
    <t>12/25/1944</t>
  </si>
  <si>
    <t>03/08/1973</t>
  </si>
  <si>
    <t>01/05/1951</t>
  </si>
  <si>
    <t>11/12/1944</t>
  </si>
  <si>
    <t>10/16/1930</t>
  </si>
  <si>
    <t>09/24/1980</t>
  </si>
  <si>
    <t>12/17/1991</t>
  </si>
  <si>
    <t>01/03/1967</t>
  </si>
  <si>
    <t>12/06/1949</t>
  </si>
  <si>
    <t>03/18/1944</t>
  </si>
  <si>
    <t>05/26/1965</t>
  </si>
  <si>
    <t>01/03/1948</t>
  </si>
  <si>
    <t>08/10/1968</t>
  </si>
  <si>
    <t>08/18/1948</t>
  </si>
  <si>
    <t>11/05/1936</t>
  </si>
  <si>
    <t>12/11/1951</t>
  </si>
  <si>
    <t>05/16/1952</t>
  </si>
  <si>
    <t>06/23/1944</t>
  </si>
  <si>
    <t>09/16/1955</t>
  </si>
  <si>
    <t>09/21/1953</t>
  </si>
  <si>
    <t>05/22/1929</t>
  </si>
  <si>
    <t>05/14/1976</t>
  </si>
  <si>
    <t>09/25/1955</t>
  </si>
  <si>
    <t>10/20/1970</t>
  </si>
  <si>
    <t>05/27/1980</t>
  </si>
  <si>
    <t>10/28/1973</t>
  </si>
  <si>
    <t>09/26/1972</t>
  </si>
  <si>
    <t>11/18/1977</t>
  </si>
  <si>
    <t>09/22/1937</t>
  </si>
  <si>
    <t>04/19/1943</t>
  </si>
  <si>
    <t>01/08/1949</t>
  </si>
  <si>
    <t>04/23/1959</t>
  </si>
  <si>
    <t>05/13/1950</t>
  </si>
  <si>
    <t>06/02/1947</t>
  </si>
  <si>
    <t>07/07/1979</t>
  </si>
  <si>
    <t>10/23/1974</t>
  </si>
  <si>
    <t>07/03/1935</t>
  </si>
  <si>
    <t>05/17/1952</t>
  </si>
  <si>
    <t>06/23/1974</t>
  </si>
  <si>
    <t>09/18/1978</t>
  </si>
  <si>
    <t>10/17/1957</t>
  </si>
  <si>
    <t>02/02/1962</t>
  </si>
  <si>
    <t>06/20/1951</t>
  </si>
  <si>
    <t>07/01/1974</t>
  </si>
  <si>
    <t>08/18/1980</t>
  </si>
  <si>
    <t>12/11/1969</t>
  </si>
  <si>
    <t>05/20/1953</t>
  </si>
  <si>
    <t>01/25/1940</t>
  </si>
  <si>
    <t>05/06/1953</t>
  </si>
  <si>
    <t>09/16/1953</t>
  </si>
  <si>
    <t>06/13/1973</t>
  </si>
  <si>
    <t>12/26/1951</t>
  </si>
  <si>
    <t>11/18/1943</t>
  </si>
  <si>
    <t>04/11/1959</t>
  </si>
  <si>
    <t>08/11/1975</t>
  </si>
  <si>
    <t>02/22/1990</t>
  </si>
  <si>
    <t>05/10/1971</t>
  </si>
  <si>
    <t>03/08/1944</t>
  </si>
  <si>
    <t>01/20/1984</t>
  </si>
  <si>
    <t>04/19/1960</t>
  </si>
  <si>
    <t>03/24/1974</t>
  </si>
  <si>
    <t>07/24/1965</t>
  </si>
  <si>
    <t>07/16/1963</t>
  </si>
  <si>
    <t>08/12/1955</t>
  </si>
  <si>
    <t>04/07/1986</t>
  </si>
  <si>
    <t>12/15/1978</t>
  </si>
  <si>
    <t>06/13/1968</t>
  </si>
  <si>
    <t>11/07/1949</t>
  </si>
  <si>
    <t>11/22/1978</t>
  </si>
  <si>
    <t>04/06/1976</t>
  </si>
  <si>
    <t>09/24/1938</t>
  </si>
  <si>
    <t>06/28/1965</t>
  </si>
  <si>
    <t>11/03/1983</t>
  </si>
  <si>
    <t>03/11/1958</t>
  </si>
  <si>
    <t>12/04/1986</t>
  </si>
  <si>
    <t>02/23/1986</t>
  </si>
  <si>
    <t>04/12/1937</t>
  </si>
  <si>
    <t>12/31/1952</t>
  </si>
  <si>
    <t>05/16/1983</t>
  </si>
  <si>
    <t>01/17/1963</t>
  </si>
  <si>
    <t>09/21/1958</t>
  </si>
  <si>
    <t>12/18/1961</t>
  </si>
  <si>
    <t>12/10/1957</t>
  </si>
  <si>
    <t>08/04/1953</t>
  </si>
  <si>
    <t>02/07/1949</t>
  </si>
  <si>
    <t>08/27/1949</t>
  </si>
  <si>
    <t>12/20/1946</t>
  </si>
  <si>
    <t>12/27/1946</t>
  </si>
  <si>
    <t>03/09/1988</t>
  </si>
  <si>
    <t>12/09/1970</t>
  </si>
  <si>
    <t>05/22/1978</t>
  </si>
  <si>
    <t>12/05/1967</t>
  </si>
  <si>
    <t>09/24/1977</t>
  </si>
  <si>
    <t>08/29/1945</t>
  </si>
  <si>
    <t>05/17/1947</t>
  </si>
  <si>
    <t>05/07/1965</t>
  </si>
  <si>
    <t>05/04/1970</t>
  </si>
  <si>
    <t>11/30/1938</t>
  </si>
  <si>
    <t>02/02/1979</t>
  </si>
  <si>
    <t>02/22/1948</t>
  </si>
  <si>
    <t>03/14/1954</t>
  </si>
  <si>
    <t>06/12/1979</t>
  </si>
  <si>
    <t>09/12/1961</t>
  </si>
  <si>
    <t>08/11/1952</t>
  </si>
  <si>
    <t>12/15/1969</t>
  </si>
  <si>
    <t>11/26/1971</t>
  </si>
  <si>
    <t>01/19/1952</t>
  </si>
  <si>
    <t>01/18/1942</t>
  </si>
  <si>
    <t>08/28/1957</t>
  </si>
  <si>
    <t>01/23/1959</t>
  </si>
  <si>
    <t>11/17/1968</t>
  </si>
  <si>
    <t>11/05/1976</t>
  </si>
  <si>
    <t>12/22/1966</t>
  </si>
  <si>
    <t>10/24/1964</t>
  </si>
  <si>
    <t>03/11/1950</t>
  </si>
  <si>
    <t>06/03/1963</t>
  </si>
  <si>
    <t>03/02/1946</t>
  </si>
  <si>
    <t>10/30/1972</t>
  </si>
  <si>
    <t>12/04/1979</t>
  </si>
  <si>
    <t>03/08/1955</t>
  </si>
  <si>
    <t>06/22/1952</t>
  </si>
  <si>
    <t>09/09/1962</t>
  </si>
  <si>
    <t>06/27/1970</t>
  </si>
  <si>
    <t>04/14/1975</t>
  </si>
  <si>
    <t>05/04/1963</t>
  </si>
  <si>
    <t>06/14/1935</t>
  </si>
  <si>
    <t>09/17/1951</t>
  </si>
  <si>
    <t>06/04/1988</t>
  </si>
  <si>
    <t>08/21/1954</t>
  </si>
  <si>
    <t>09/05/1967</t>
  </si>
  <si>
    <t>06/01/1969</t>
  </si>
  <si>
    <t>01/23/1964</t>
  </si>
  <si>
    <t>08/16/1973</t>
  </si>
  <si>
    <t>04/20/1944</t>
  </si>
  <si>
    <t>09/25/1934</t>
  </si>
  <si>
    <t>10/17/1984</t>
  </si>
  <si>
    <t>09/23/1975</t>
  </si>
  <si>
    <t>06/09/1960</t>
  </si>
  <si>
    <t>07/19/1966</t>
  </si>
  <si>
    <t>12/12/1988</t>
  </si>
  <si>
    <t>08/22/1991</t>
  </si>
  <si>
    <t>05/24/1980</t>
  </si>
  <si>
    <t>04/02/1965</t>
  </si>
  <si>
    <t>12/29/1985</t>
  </si>
  <si>
    <t>02/22/1985</t>
  </si>
  <si>
    <t>05/25/1970</t>
  </si>
  <si>
    <t>07/04/1981</t>
  </si>
  <si>
    <t>05/02/1960</t>
  </si>
  <si>
    <t>08/08/1955</t>
  </si>
  <si>
    <t>12/18/1962</t>
  </si>
  <si>
    <t>08/02/1973</t>
  </si>
  <si>
    <t>07/22/1931</t>
  </si>
  <si>
    <t>02/06/1971</t>
  </si>
  <si>
    <t>06/16/1951</t>
  </si>
  <si>
    <t>04/23/1956</t>
  </si>
  <si>
    <t>03/19/1936</t>
  </si>
  <si>
    <t>01/29/1971</t>
  </si>
  <si>
    <t>09/26/1961</t>
  </si>
  <si>
    <t>12/11/1983</t>
  </si>
  <si>
    <t>11/13/1965</t>
  </si>
  <si>
    <t>03/20/1965</t>
  </si>
  <si>
    <t>10/28/1987</t>
  </si>
  <si>
    <t>12/04/1964</t>
  </si>
  <si>
    <t>03/02/1968</t>
  </si>
  <si>
    <t>06/17/1977</t>
  </si>
  <si>
    <t>05/10/1938</t>
  </si>
  <si>
    <t>01/11/1959</t>
  </si>
  <si>
    <t>04/30/1979</t>
  </si>
  <si>
    <t>01/11/1976</t>
  </si>
  <si>
    <t>01/14/1961</t>
  </si>
  <si>
    <t>04/26/1967</t>
  </si>
  <si>
    <t>06/06/1977</t>
  </si>
  <si>
    <t>06/10/1952</t>
  </si>
  <si>
    <t>03/14/1945</t>
  </si>
  <si>
    <t>02/18/1982</t>
  </si>
  <si>
    <t>06/10/1981</t>
  </si>
  <si>
    <t>10/30/1963</t>
  </si>
  <si>
    <t>11/16/1939</t>
  </si>
  <si>
    <t>09/03/1943</t>
  </si>
  <si>
    <t>12/27/1965</t>
  </si>
  <si>
    <t>09/04/1965</t>
  </si>
  <si>
    <t>06/16/1954</t>
  </si>
  <si>
    <t>07/03/1974</t>
  </si>
  <si>
    <t>02/07/1964</t>
  </si>
  <si>
    <t>05/10/1957</t>
  </si>
  <si>
    <t>04/03/1929</t>
  </si>
  <si>
    <t>09/01/1956</t>
  </si>
  <si>
    <t>11/18/1967</t>
  </si>
  <si>
    <t>09/23/1976</t>
  </si>
  <si>
    <t>05/05/1960</t>
  </si>
  <si>
    <t>01/01/1951</t>
  </si>
  <si>
    <t>12/24/1966</t>
  </si>
  <si>
    <t>02/01/1946</t>
  </si>
  <si>
    <t>10/04/1947</t>
  </si>
  <si>
    <t>08/11/1925</t>
  </si>
  <si>
    <t>10/10/1971</t>
  </si>
  <si>
    <t>07/04/1959</t>
  </si>
  <si>
    <t>06/14/1949</t>
  </si>
  <si>
    <t>02/11/1960</t>
  </si>
  <si>
    <t>09/03/1984</t>
  </si>
  <si>
    <t>06/16/1976</t>
  </si>
  <si>
    <t>04/28/1970</t>
  </si>
  <si>
    <t>02/11/1966</t>
  </si>
  <si>
    <t>08/07/1975</t>
  </si>
  <si>
    <t>09/25/2014</t>
  </si>
  <si>
    <t>06/07/1954</t>
  </si>
  <si>
    <t>11/01/1959</t>
  </si>
  <si>
    <t>01/10/1947</t>
  </si>
  <si>
    <t>11/07/1965</t>
  </si>
  <si>
    <t>08/24/1954</t>
  </si>
  <si>
    <t>09/16/1964</t>
  </si>
  <si>
    <t>07/30/1981</t>
  </si>
  <si>
    <t>01/08/1943</t>
  </si>
  <si>
    <t>08/28/1949</t>
  </si>
  <si>
    <t>11/05/1969</t>
  </si>
  <si>
    <t>07/06/1974</t>
  </si>
  <si>
    <t>07/20/1964</t>
  </si>
  <si>
    <t>09/26/1943</t>
  </si>
  <si>
    <t>12/15/1942</t>
  </si>
  <si>
    <t>05/25/1958</t>
  </si>
  <si>
    <t>02/11/1973</t>
  </si>
  <si>
    <t>06/17/1961</t>
  </si>
  <si>
    <t>01/15/1976</t>
  </si>
  <si>
    <t>07/15/1961</t>
  </si>
  <si>
    <t>06/10/1946</t>
  </si>
  <si>
    <t>01/13/1969</t>
  </si>
  <si>
    <t>01/01/1959</t>
  </si>
  <si>
    <t>09/22/1954</t>
  </si>
  <si>
    <t>05/10/1931</t>
  </si>
  <si>
    <t>12/05/1961</t>
  </si>
  <si>
    <t>11/21/1962</t>
  </si>
  <si>
    <t>11/14/1989</t>
  </si>
  <si>
    <t>05/30/1963</t>
  </si>
  <si>
    <t>12/13/1982</t>
  </si>
  <si>
    <t>12/20/1967</t>
  </si>
  <si>
    <t>03/21/1980</t>
  </si>
  <si>
    <t>04/11/1971</t>
  </si>
  <si>
    <t>08/23/1958</t>
  </si>
  <si>
    <t>03/03/1961</t>
  </si>
  <si>
    <t>01/06/1967</t>
  </si>
  <si>
    <t>06/29/1979</t>
  </si>
  <si>
    <t>03/22/1969</t>
  </si>
  <si>
    <t>10/31/1977</t>
  </si>
  <si>
    <t>11/20/1941</t>
  </si>
  <si>
    <t>01/05/1954</t>
  </si>
  <si>
    <t>06/05/1986</t>
  </si>
  <si>
    <t>10/01/1963</t>
  </si>
  <si>
    <t>07/03/1955</t>
  </si>
  <si>
    <t>11/03/1963</t>
  </si>
  <si>
    <t>12/12/1969</t>
  </si>
  <si>
    <t>08/05/1991</t>
  </si>
  <si>
    <t>04/21/1957</t>
  </si>
  <si>
    <t>09/22/1968</t>
  </si>
  <si>
    <t>07/22/1953</t>
  </si>
  <si>
    <t>10/11/1951</t>
  </si>
  <si>
    <t>01/10/1973</t>
  </si>
  <si>
    <t>11/07/1932</t>
  </si>
  <si>
    <t>10/30/1968</t>
  </si>
  <si>
    <t>02/03/1947</t>
  </si>
  <si>
    <t>07/24/1939</t>
  </si>
  <si>
    <t>08/13/1957</t>
  </si>
  <si>
    <t>09/17/1975</t>
  </si>
  <si>
    <t>08/05/1968</t>
  </si>
  <si>
    <t>02/24/1965</t>
  </si>
  <si>
    <t>04/23/1971</t>
  </si>
  <si>
    <t>11/01/1957</t>
  </si>
  <si>
    <t>06/05/1966</t>
  </si>
  <si>
    <t>02/25/1960</t>
  </si>
  <si>
    <t>08/23/1964</t>
  </si>
  <si>
    <t>03/13/1989</t>
  </si>
  <si>
    <t>01/29/1948</t>
  </si>
  <si>
    <t>12/13/1946</t>
  </si>
  <si>
    <t>01/24/1995</t>
  </si>
  <si>
    <t>10/16/1973</t>
  </si>
  <si>
    <t>09/14/1946</t>
  </si>
  <si>
    <t>02/27/1957</t>
  </si>
  <si>
    <t>04/18/1964</t>
  </si>
  <si>
    <t>03/15/1947</t>
  </si>
  <si>
    <t>04/21/1961</t>
  </si>
  <si>
    <t>05/04/1990</t>
  </si>
  <si>
    <t>12/10/1988</t>
  </si>
  <si>
    <t>04/20/1984</t>
  </si>
  <si>
    <t>02/13/1971</t>
  </si>
  <si>
    <t>11/11/1989</t>
  </si>
  <si>
    <t>10/21/1975</t>
  </si>
  <si>
    <t>01/25/1945</t>
  </si>
  <si>
    <t>05/15/1978</t>
  </si>
  <si>
    <t>03/21/1955</t>
  </si>
  <si>
    <t>11/25/1940</t>
  </si>
  <si>
    <t>11/29/1942</t>
  </si>
  <si>
    <t>09/24/1937</t>
  </si>
  <si>
    <t>01/19/1995</t>
  </si>
  <si>
    <t>06/15/1966</t>
  </si>
  <si>
    <t>11/29/1958</t>
  </si>
  <si>
    <t>07/01/1978</t>
  </si>
  <si>
    <t>09/04/1960</t>
  </si>
  <si>
    <t>08/30/1967</t>
  </si>
  <si>
    <t>06/03/1964</t>
  </si>
  <si>
    <t>07/20/1960</t>
  </si>
  <si>
    <t>10/15/1954</t>
  </si>
  <si>
    <t>02/05/1997</t>
  </si>
  <si>
    <t>05/04/1978</t>
  </si>
  <si>
    <t>11/23/1964</t>
  </si>
  <si>
    <t>07/03/1952</t>
  </si>
  <si>
    <t>03/21/1974</t>
  </si>
  <si>
    <t>11/30/1970</t>
  </si>
  <si>
    <t>02/27/1950</t>
  </si>
  <si>
    <t>12/03/1954</t>
  </si>
  <si>
    <t>01/09/1955</t>
  </si>
  <si>
    <t>07/11/1982</t>
  </si>
  <si>
    <t>09/22/1970</t>
  </si>
  <si>
    <t>08/03/1963</t>
  </si>
  <si>
    <t>06/12/1987</t>
  </si>
  <si>
    <t>01/27/1966</t>
  </si>
  <si>
    <t>09/09/1948</t>
  </si>
  <si>
    <t>07/01/1976</t>
  </si>
  <si>
    <t>01/19/1953</t>
  </si>
  <si>
    <t>10/17/1974</t>
  </si>
  <si>
    <t>03/21/1956</t>
  </si>
  <si>
    <t>07/19/1968</t>
  </si>
  <si>
    <t>02/01/1979</t>
  </si>
  <si>
    <t>01/11/1984</t>
  </si>
  <si>
    <t>04/03/1948</t>
  </si>
  <si>
    <t>01/24/1974</t>
  </si>
  <si>
    <t>01/31/1968</t>
  </si>
  <si>
    <t>08/01/1978</t>
  </si>
  <si>
    <t>12/01/1977</t>
  </si>
  <si>
    <t>04/06/1984</t>
  </si>
  <si>
    <t>09/28/1984</t>
  </si>
  <si>
    <t>07/04/1968</t>
  </si>
  <si>
    <t>12/10/1968</t>
  </si>
  <si>
    <t>10/16/1957</t>
  </si>
  <si>
    <t>12/16/1970</t>
  </si>
  <si>
    <t>11/22/1959</t>
  </si>
  <si>
    <t>11/01/1968</t>
  </si>
  <si>
    <t>08/04/1960</t>
  </si>
  <si>
    <t>03/19/1938</t>
  </si>
  <si>
    <t>09/02/1956</t>
  </si>
  <si>
    <t>08/05/1951</t>
  </si>
  <si>
    <t>05/14/1963</t>
  </si>
  <si>
    <t>09/30/1968</t>
  </si>
  <si>
    <t>11/07/1952</t>
  </si>
  <si>
    <t>04/23/1964</t>
  </si>
  <si>
    <t>01/22/1965</t>
  </si>
  <si>
    <t>04/24/1950</t>
  </si>
  <si>
    <t>09/08/1935</t>
  </si>
  <si>
    <t>10/10/1958</t>
  </si>
  <si>
    <t>04/06/1952</t>
  </si>
  <si>
    <t>10/08/1957</t>
  </si>
  <si>
    <t>11/05/1947</t>
  </si>
  <si>
    <t>12/15/1973</t>
  </si>
  <si>
    <t>05/22/1962</t>
  </si>
  <si>
    <t>03/27/1969</t>
  </si>
  <si>
    <t>02/02/1970</t>
  </si>
  <si>
    <t>11/21/1939</t>
  </si>
  <si>
    <t>08/19/1950</t>
  </si>
  <si>
    <t>10/17/1973</t>
  </si>
  <si>
    <t>06/07/1957</t>
  </si>
  <si>
    <t>11/05/1977</t>
  </si>
  <si>
    <t>11/26/1975</t>
  </si>
  <si>
    <t>01/01/1962</t>
  </si>
  <si>
    <t>05/02/1972</t>
  </si>
  <si>
    <t>06/16/1971</t>
  </si>
  <si>
    <t>03/08/1974</t>
  </si>
  <si>
    <t>01/10/1968</t>
  </si>
  <si>
    <t>08/20/1944</t>
  </si>
  <si>
    <t>10/11/1955</t>
  </si>
  <si>
    <t>01/01/1966</t>
  </si>
  <si>
    <t>09/03/1951</t>
  </si>
  <si>
    <t>07/06/1947</t>
  </si>
  <si>
    <t>06/23/1947</t>
  </si>
  <si>
    <t>07/26/1961</t>
  </si>
  <si>
    <t>02/24/1982</t>
  </si>
  <si>
    <t>09/25/1952</t>
  </si>
  <si>
    <t>10/09/1978</t>
  </si>
  <si>
    <t>07/12/1973</t>
  </si>
  <si>
    <t>03/16/1931</t>
  </si>
  <si>
    <t>02/10/1954</t>
  </si>
  <si>
    <t>10/02/1980</t>
  </si>
  <si>
    <t>07/10/1960</t>
  </si>
  <si>
    <t>03/01/1959</t>
  </si>
  <si>
    <t>06/02/1957</t>
  </si>
  <si>
    <t>11/13/1969</t>
  </si>
  <si>
    <t>04/26/1987</t>
  </si>
  <si>
    <t>02/15/1967</t>
  </si>
  <si>
    <t>08/27/1968</t>
  </si>
  <si>
    <t>08/31/1973</t>
  </si>
  <si>
    <t>03/31/1964</t>
  </si>
  <si>
    <t>07/17/1970</t>
  </si>
  <si>
    <t>02/21/1977</t>
  </si>
  <si>
    <t>03/09/1964</t>
  </si>
  <si>
    <t>12/21/1943</t>
  </si>
  <si>
    <t>07/31/1961</t>
  </si>
  <si>
    <t>09/27/1949</t>
  </si>
  <si>
    <t>01/10/1966</t>
  </si>
  <si>
    <t>03/09/1971</t>
  </si>
  <si>
    <t>09/29/1960</t>
  </si>
  <si>
    <t>01/10/1985</t>
  </si>
  <si>
    <t>04/06/1979</t>
  </si>
  <si>
    <t>01/02/1949</t>
  </si>
  <si>
    <t>06/01/1994</t>
  </si>
  <si>
    <t>05/11/1992</t>
  </si>
  <si>
    <t>06/02/1987</t>
  </si>
  <si>
    <t>07/20/1953</t>
  </si>
  <si>
    <t>07/18/1962</t>
  </si>
  <si>
    <t>03/02/1928</t>
  </si>
  <si>
    <t>09/11/1956</t>
  </si>
  <si>
    <t>04/26/1951</t>
  </si>
  <si>
    <t>04/09/1960</t>
  </si>
  <si>
    <t>04/25/1984</t>
  </si>
  <si>
    <t>12/11/1971</t>
  </si>
  <si>
    <t>08/10/1982</t>
  </si>
  <si>
    <t>11/25/1944</t>
  </si>
  <si>
    <t>12/24/1958</t>
  </si>
  <si>
    <t>07/23/1956</t>
  </si>
  <si>
    <t>01/03/1953</t>
  </si>
  <si>
    <t>02/08/1991</t>
  </si>
  <si>
    <t>02/12/1962</t>
  </si>
  <si>
    <t>01/17/1973</t>
  </si>
  <si>
    <t>02/16/1965</t>
  </si>
  <si>
    <t>03/12/1982</t>
  </si>
  <si>
    <t>05/12/1967</t>
  </si>
  <si>
    <t>01/03/1944</t>
  </si>
  <si>
    <t>08/11/1972</t>
  </si>
  <si>
    <t>06/26/1966</t>
  </si>
  <si>
    <t>08/02/1961</t>
  </si>
  <si>
    <t>09/25/1961</t>
  </si>
  <si>
    <t>05/18/1953</t>
  </si>
  <si>
    <t>07/06/1979</t>
  </si>
  <si>
    <t>12/01/1995</t>
  </si>
  <si>
    <t>10/18/1978</t>
  </si>
  <si>
    <t>04/05/1981</t>
  </si>
  <si>
    <t>03/01/1971</t>
  </si>
  <si>
    <t>06/14/1976</t>
  </si>
  <si>
    <t>08/07/1969</t>
  </si>
  <si>
    <t>01/27/1975</t>
  </si>
  <si>
    <t>06/20/1990</t>
  </si>
  <si>
    <t>10/22/1941</t>
  </si>
  <si>
    <t>03/03/1984</t>
  </si>
  <si>
    <t>03/01/1967</t>
  </si>
  <si>
    <t>01/31/1961</t>
  </si>
  <si>
    <t>10/04/1959</t>
  </si>
  <si>
    <t>03/02/1974</t>
  </si>
  <si>
    <t>10/16/1980</t>
  </si>
  <si>
    <t>09/10/1985</t>
  </si>
  <si>
    <t>10/10/1990</t>
  </si>
  <si>
    <t>08/11/1968</t>
  </si>
  <si>
    <t>08/16/1951</t>
  </si>
  <si>
    <t>01/28/1980</t>
  </si>
  <si>
    <t>09/16/1969</t>
  </si>
  <si>
    <t>01/18/1958</t>
  </si>
  <si>
    <t>10/15/1950</t>
  </si>
  <si>
    <t>04/21/1958</t>
  </si>
  <si>
    <t>04/25/1951</t>
  </si>
  <si>
    <t>01/01/1944</t>
  </si>
  <si>
    <t>11/08/1959</t>
  </si>
  <si>
    <t>10/08/1959</t>
  </si>
  <si>
    <t>10/05/1988</t>
  </si>
  <si>
    <t>09/13/1964</t>
  </si>
  <si>
    <t>03/18/1960</t>
  </si>
  <si>
    <t>03/18/1954</t>
  </si>
  <si>
    <t>02/05/1995</t>
  </si>
  <si>
    <t>08/16/1986</t>
  </si>
  <si>
    <t>07/18/1989</t>
  </si>
  <si>
    <t>10/27/1968</t>
  </si>
  <si>
    <t>04/29/1941</t>
  </si>
  <si>
    <t>02/08/1960</t>
  </si>
  <si>
    <t>10/21/1934</t>
  </si>
  <si>
    <t>10/26/1980</t>
  </si>
  <si>
    <t>11/21/1975</t>
  </si>
  <si>
    <t>10/25/1929</t>
  </si>
  <si>
    <t>06/02/1976</t>
  </si>
  <si>
    <t>08/25/1969</t>
  </si>
  <si>
    <t>11/27/1956</t>
  </si>
  <si>
    <t>08/07/1961</t>
  </si>
  <si>
    <t>03/28/1980</t>
  </si>
  <si>
    <t>10/02/1987</t>
  </si>
  <si>
    <t>05/12/1991</t>
  </si>
  <si>
    <t>07/13/1954</t>
  </si>
  <si>
    <t>09/03/1976</t>
  </si>
  <si>
    <t>03/05/1958</t>
  </si>
  <si>
    <t>11/09/1961</t>
  </si>
  <si>
    <t>06/27/1957</t>
  </si>
  <si>
    <t>08/26/1979</t>
  </si>
  <si>
    <t>12/27/1963</t>
  </si>
  <si>
    <t>06/26/1952</t>
  </si>
  <si>
    <t>02/02/1974</t>
  </si>
  <si>
    <t>06/01/1967</t>
  </si>
  <si>
    <t>02/21/1954</t>
  </si>
  <si>
    <t>02/02/1959</t>
  </si>
  <si>
    <t>01/17/1962</t>
  </si>
  <si>
    <t>08/31/1978</t>
  </si>
  <si>
    <t>06/27/1953</t>
  </si>
  <si>
    <t>09/10/1987</t>
  </si>
  <si>
    <t>12/07/1959</t>
  </si>
  <si>
    <t>01/25/1965</t>
  </si>
  <si>
    <t>12/05/1982</t>
  </si>
  <si>
    <t>08/15/1989</t>
  </si>
  <si>
    <t>08/28/1972</t>
  </si>
  <si>
    <t>02/15/1979</t>
  </si>
  <si>
    <t>04/14/1982</t>
  </si>
  <si>
    <t>01/25/1959</t>
  </si>
  <si>
    <t>10/19/1972</t>
  </si>
  <si>
    <t>06/04/1985</t>
  </si>
  <si>
    <t>12/24/1979</t>
  </si>
  <si>
    <t>10/26/1940</t>
  </si>
  <si>
    <t>11/30/1941</t>
  </si>
  <si>
    <t>04/13/1965</t>
  </si>
  <si>
    <t>08/12/1981</t>
  </si>
  <si>
    <t>07/02/1975</t>
  </si>
  <si>
    <t>12/13/1952</t>
  </si>
  <si>
    <t>10/26/1945</t>
  </si>
  <si>
    <t>07/04/1965</t>
  </si>
  <si>
    <t>08/11/1956</t>
  </si>
  <si>
    <t>01/25/1978</t>
  </si>
  <si>
    <t>06/01/1981</t>
  </si>
  <si>
    <t>06/26/1969</t>
  </si>
  <si>
    <t>05/11/1973</t>
  </si>
  <si>
    <t>01/13/1940</t>
  </si>
  <si>
    <t>03/10/1984</t>
  </si>
  <si>
    <t>07/26/1955</t>
  </si>
  <si>
    <t>12/05/1949</t>
  </si>
  <si>
    <t>04/27/1956</t>
  </si>
  <si>
    <t>12/11/1985</t>
  </si>
  <si>
    <t>07/15/1955</t>
  </si>
  <si>
    <t>12/11/1978</t>
  </si>
  <si>
    <t>08/16/1958</t>
  </si>
  <si>
    <t>06/22/1966</t>
  </si>
  <si>
    <t>12/30/1977</t>
  </si>
  <si>
    <t>07/18/1984</t>
  </si>
  <si>
    <t>02/29/1944</t>
  </si>
  <si>
    <t>08/18/1950</t>
  </si>
  <si>
    <t>11/19/1964</t>
  </si>
  <si>
    <t>07/14/1958</t>
  </si>
  <si>
    <t>03/11/1980</t>
  </si>
  <si>
    <t>02/10/1960</t>
  </si>
  <si>
    <t>01/20/1941</t>
  </si>
  <si>
    <t>11/09/1941</t>
  </si>
  <si>
    <t>02/22/1973</t>
  </si>
  <si>
    <t>09/12/1973</t>
  </si>
  <si>
    <t>05/31/1959</t>
  </si>
  <si>
    <t>04/26/1971</t>
  </si>
  <si>
    <t>12/06/1940</t>
  </si>
  <si>
    <t>03/28/1970</t>
  </si>
  <si>
    <t>04/12/1995</t>
  </si>
  <si>
    <t>09/16/1970</t>
  </si>
  <si>
    <t>09/08/1993</t>
  </si>
  <si>
    <t>05/22/1972</t>
  </si>
  <si>
    <t>05/02/1971</t>
  </si>
  <si>
    <t>04/19/1957</t>
  </si>
  <si>
    <t>02/28/1957</t>
  </si>
  <si>
    <t>08/07/1950</t>
  </si>
  <si>
    <t>08/23/1965</t>
  </si>
  <si>
    <t>06/18/1958</t>
  </si>
  <si>
    <t>09/17/1979</t>
  </si>
  <si>
    <t>02/08/1976</t>
  </si>
  <si>
    <t>01/23/1962</t>
  </si>
  <si>
    <t>09/19/1950</t>
  </si>
  <si>
    <t>08/31/1952</t>
  </si>
  <si>
    <t>01/11/1974</t>
  </si>
  <si>
    <t>05/13/1973</t>
  </si>
  <si>
    <t>06/15/1958</t>
  </si>
  <si>
    <t>05/25/1971</t>
  </si>
  <si>
    <t>12/24/1930</t>
  </si>
  <si>
    <t>10/07/1963</t>
  </si>
  <si>
    <t>08/12/1993</t>
  </si>
  <si>
    <t>03/21/1962</t>
  </si>
  <si>
    <t>09/08/1989</t>
  </si>
  <si>
    <t>08/10/1977</t>
  </si>
  <si>
    <t>05/15/1947</t>
  </si>
  <si>
    <t>12/24/1965</t>
  </si>
  <si>
    <t>05/11/1931</t>
  </si>
  <si>
    <t>11/12/1986</t>
  </si>
  <si>
    <t>10/15/1956</t>
  </si>
  <si>
    <t>09/21/1962</t>
  </si>
  <si>
    <t>10/23/1944</t>
  </si>
  <si>
    <t>04/15/1956</t>
  </si>
  <si>
    <t>08/12/1934</t>
  </si>
  <si>
    <t>11/27/1981</t>
  </si>
  <si>
    <t>07/29/1966</t>
  </si>
  <si>
    <t>09/03/1969</t>
  </si>
  <si>
    <t>10/09/1984</t>
  </si>
  <si>
    <t>11/28/1964</t>
  </si>
  <si>
    <t>05/08/1961</t>
  </si>
  <si>
    <t>10/09/1939</t>
  </si>
  <si>
    <t>08/09/1964</t>
  </si>
  <si>
    <t>10/10/1973</t>
  </si>
  <si>
    <t>11/08/1976</t>
  </si>
  <si>
    <t>07/08/1981</t>
  </si>
  <si>
    <t>09/14/1977</t>
  </si>
  <si>
    <t>12/04/1941</t>
  </si>
  <si>
    <t>01/06/1968</t>
  </si>
  <si>
    <t>07/30/1966</t>
  </si>
  <si>
    <t>01/19/1950</t>
  </si>
  <si>
    <t>03/30/1952</t>
  </si>
  <si>
    <t>04/14/1990</t>
  </si>
  <si>
    <t>05/01/1996</t>
  </si>
  <si>
    <t>03/09/1970</t>
  </si>
  <si>
    <t>02/02/1971</t>
  </si>
  <si>
    <t>10/26/1987</t>
  </si>
  <si>
    <t>09/02/1967</t>
  </si>
  <si>
    <t>06/29/1974</t>
  </si>
  <si>
    <t>09/23/1992</t>
  </si>
  <si>
    <t>10/26/1982</t>
  </si>
  <si>
    <t>10/23/1953</t>
  </si>
  <si>
    <t>03/30/1961</t>
  </si>
  <si>
    <t>02/17/1928</t>
  </si>
  <si>
    <t>03/20/1959</t>
  </si>
  <si>
    <t>01/31/1971</t>
  </si>
  <si>
    <t>07/19/1962</t>
  </si>
  <si>
    <t>12/11/1949</t>
  </si>
  <si>
    <t>08/13/1965</t>
  </si>
  <si>
    <t>01/28/1962</t>
  </si>
  <si>
    <t>02/11/1985</t>
  </si>
  <si>
    <t>03/05/1993</t>
  </si>
  <si>
    <t>08/04/1985</t>
  </si>
  <si>
    <t>02/03/1970</t>
  </si>
  <si>
    <t>05/30/1953</t>
  </si>
  <si>
    <t>12/17/1962</t>
  </si>
  <si>
    <t>04/04/1922</t>
  </si>
  <si>
    <t>08/14/1982</t>
  </si>
  <si>
    <t>08/30/1947</t>
  </si>
  <si>
    <t>07/15/1951</t>
  </si>
  <si>
    <t>03/12/1974</t>
  </si>
  <si>
    <t>11/24/1984</t>
  </si>
  <si>
    <t>12/01/1981</t>
  </si>
  <si>
    <t>05/01/1935</t>
  </si>
  <si>
    <t>06/08/1961</t>
  </si>
  <si>
    <t>01/01/1987</t>
  </si>
  <si>
    <t>07/05/1965</t>
  </si>
  <si>
    <t>07/18/1972</t>
  </si>
  <si>
    <t>02/12/1969</t>
  </si>
  <si>
    <t>03/24/1970</t>
  </si>
  <si>
    <t>02/10/1973</t>
  </si>
  <si>
    <t>01/08/1987</t>
  </si>
  <si>
    <t>01/05/1995</t>
  </si>
  <si>
    <t>10/30/1943</t>
  </si>
  <si>
    <t>09/29/1923</t>
  </si>
  <si>
    <t>08/14/1964</t>
  </si>
  <si>
    <t>09/13/1981</t>
  </si>
  <si>
    <t>06/02/1977</t>
  </si>
  <si>
    <t>09/05/1969</t>
  </si>
  <si>
    <t>08/21/1947</t>
  </si>
  <si>
    <t>08/30/1959</t>
  </si>
  <si>
    <t>12/31/1941</t>
  </si>
  <si>
    <t>01/16/1978</t>
  </si>
  <si>
    <t>05/20/1962</t>
  </si>
  <si>
    <t>12/24/1961</t>
  </si>
  <si>
    <t>03/05/1994</t>
  </si>
  <si>
    <t>07/20/1989</t>
  </si>
  <si>
    <t>09/19/1956</t>
  </si>
  <si>
    <t>02/08/1974</t>
  </si>
  <si>
    <t>12/15/1949</t>
  </si>
  <si>
    <t>07/05/1947</t>
  </si>
  <si>
    <t>09/20/1990</t>
  </si>
  <si>
    <t>01/18/1956</t>
  </si>
  <si>
    <t>10/13/1991</t>
  </si>
  <si>
    <t>06/23/1980</t>
  </si>
  <si>
    <t>11/20/1954</t>
  </si>
  <si>
    <t>08/15/1963</t>
  </si>
  <si>
    <t>03/28/1992</t>
  </si>
  <si>
    <t>11/01/1952</t>
  </si>
  <si>
    <t>06/06/1940</t>
  </si>
  <si>
    <t>10/26/1974</t>
  </si>
  <si>
    <t>12/15/1924</t>
  </si>
  <si>
    <t>10/23/1958</t>
  </si>
  <si>
    <t>05/04/1980</t>
  </si>
  <si>
    <t>06/26/1949</t>
  </si>
  <si>
    <t>02/05/1992</t>
  </si>
  <si>
    <t>10/10/1956</t>
  </si>
  <si>
    <t>07/28/1951</t>
  </si>
  <si>
    <t>04/09/1984</t>
  </si>
  <si>
    <t>01/03/1958</t>
  </si>
  <si>
    <t>02/24/1991</t>
  </si>
  <si>
    <t>09/17/1977</t>
  </si>
  <si>
    <t>04/14/1955</t>
  </si>
  <si>
    <t>12/30/1951</t>
  </si>
  <si>
    <t>10/20/1993</t>
  </si>
  <si>
    <t>05/24/1977</t>
  </si>
  <si>
    <t>08/01/1972</t>
  </si>
  <si>
    <t>09/02/1954</t>
  </si>
  <si>
    <t>07/06/1992</t>
  </si>
  <si>
    <t>03/18/1994</t>
  </si>
  <si>
    <t>08/13/1993</t>
  </si>
  <si>
    <t>05/19/1977</t>
  </si>
  <si>
    <t>05/04/1955</t>
  </si>
  <si>
    <t>07/04/1971</t>
  </si>
  <si>
    <t>12/29/1964</t>
  </si>
  <si>
    <t>02/25/1991</t>
  </si>
  <si>
    <t>05/02/1941</t>
  </si>
  <si>
    <t>03/11/1961</t>
  </si>
  <si>
    <t>04/04/1963</t>
  </si>
  <si>
    <t>11/05/1975</t>
  </si>
  <si>
    <t>03/15/1962</t>
  </si>
  <si>
    <t>10/29/1980</t>
  </si>
  <si>
    <t>09/08/1991</t>
  </si>
  <si>
    <t>07/25/1990</t>
  </si>
  <si>
    <t>03/09/1968</t>
  </si>
  <si>
    <t>09/15/1964</t>
  </si>
  <si>
    <t>08/16/1983</t>
  </si>
  <si>
    <t>11/18/1984</t>
  </si>
  <si>
    <t>01/24/1956</t>
  </si>
  <si>
    <t>06/29/1960</t>
  </si>
  <si>
    <t>08/15/1988</t>
  </si>
  <si>
    <t>08/26/1969</t>
  </si>
  <si>
    <t>01/17/1972</t>
  </si>
  <si>
    <t>10/06/1968</t>
  </si>
  <si>
    <t>09/10/1969</t>
  </si>
  <si>
    <t>10/10/1975</t>
  </si>
  <si>
    <t>08/02/1949</t>
  </si>
  <si>
    <t>12/29/1991</t>
  </si>
  <si>
    <t>05/17/1957</t>
  </si>
  <si>
    <t>07/19/1955</t>
  </si>
  <si>
    <t>06/08/1982</t>
  </si>
  <si>
    <t>05/31/1988</t>
  </si>
  <si>
    <t>12/30/1958</t>
  </si>
  <si>
    <t>07/20/1990</t>
  </si>
  <si>
    <t>01/01/1990</t>
  </si>
  <si>
    <t>04/16/1985</t>
  </si>
  <si>
    <t>06/08/1958</t>
  </si>
  <si>
    <t>02/05/1957</t>
  </si>
  <si>
    <t>06/16/1958</t>
  </si>
  <si>
    <t>04/26/1973</t>
  </si>
  <si>
    <t>08/10/1978</t>
  </si>
  <si>
    <t>06/19/1979</t>
  </si>
  <si>
    <t>01/18/1982</t>
  </si>
  <si>
    <t>08/16/1966</t>
  </si>
  <si>
    <t>03/30/1984</t>
  </si>
  <si>
    <t>04/10/1988</t>
  </si>
  <si>
    <t>03/31/1955</t>
  </si>
  <si>
    <t>03/20/1966</t>
  </si>
  <si>
    <t>09/11/1977</t>
  </si>
  <si>
    <t>01/30/1986</t>
  </si>
  <si>
    <t>02/20/1990</t>
  </si>
  <si>
    <t>04/03/1952</t>
  </si>
  <si>
    <t>07/05/1971</t>
  </si>
  <si>
    <t>12/01/1956</t>
  </si>
  <si>
    <t>01/01/1985</t>
  </si>
  <si>
    <t>02/09/1982</t>
  </si>
  <si>
    <t>05/29/1983</t>
  </si>
  <si>
    <t>02/15/1983</t>
  </si>
  <si>
    <t>12/25/1956</t>
  </si>
  <si>
    <t>08/06/1969</t>
  </si>
  <si>
    <t>12/20/1983</t>
  </si>
  <si>
    <t>12/08/1950</t>
  </si>
  <si>
    <t>02/24/1981</t>
  </si>
  <si>
    <t>037464983I</t>
  </si>
  <si>
    <t>37137544F</t>
  </si>
  <si>
    <t>037071729A</t>
  </si>
  <si>
    <t>037287821F</t>
  </si>
  <si>
    <t>37034794A</t>
  </si>
  <si>
    <t>015282490A</t>
  </si>
  <si>
    <t>37242996J</t>
  </si>
  <si>
    <t>35326768F</t>
  </si>
  <si>
    <t>000996653C</t>
  </si>
  <si>
    <t>00037100008E</t>
  </si>
  <si>
    <t>QB30946Z</t>
  </si>
  <si>
    <t>00037041768F</t>
  </si>
  <si>
    <t>00037246468F</t>
  </si>
  <si>
    <t>003521710I</t>
  </si>
  <si>
    <t>391390C</t>
  </si>
  <si>
    <t>RX32372B</t>
  </si>
  <si>
    <t>7139339B</t>
  </si>
  <si>
    <t>6838243I</t>
  </si>
  <si>
    <t>002861132F</t>
  </si>
  <si>
    <t>UT31044Q</t>
  </si>
  <si>
    <t>00017981176F</t>
  </si>
  <si>
    <t>0033454731F</t>
  </si>
  <si>
    <t>014134163G</t>
  </si>
  <si>
    <t>00001888408A</t>
  </si>
  <si>
    <t>6692067J</t>
  </si>
  <si>
    <t>ZK58926R</t>
  </si>
  <si>
    <t>00018398695J</t>
  </si>
  <si>
    <t>ZZ90421R</t>
  </si>
  <si>
    <t>008840239B</t>
  </si>
  <si>
    <t>013659646H</t>
  </si>
  <si>
    <t>00011307912D</t>
  </si>
  <si>
    <t>8830571J</t>
  </si>
  <si>
    <t>837516E</t>
  </si>
  <si>
    <t>0837516E</t>
  </si>
  <si>
    <t>030938153B</t>
  </si>
  <si>
    <t>011455347C</t>
  </si>
  <si>
    <t>006692067J</t>
  </si>
  <si>
    <t>009322488J</t>
  </si>
  <si>
    <t>011341416D</t>
  </si>
  <si>
    <t>037240487B</t>
  </si>
  <si>
    <t>014843291H</t>
  </si>
  <si>
    <t>033975458C</t>
  </si>
  <si>
    <t>006976981I</t>
  </si>
  <si>
    <t>ZM03312E</t>
  </si>
  <si>
    <t>35151222-1</t>
  </si>
  <si>
    <t>00640368F</t>
  </si>
  <si>
    <t>00037502203F</t>
  </si>
  <si>
    <t>000024739457H</t>
  </si>
  <si>
    <t>037528108G</t>
  </si>
  <si>
    <t>013399575D</t>
  </si>
  <si>
    <t>004125573I</t>
  </si>
  <si>
    <t>4236372-1</t>
  </si>
  <si>
    <t>9382275H</t>
  </si>
  <si>
    <t>003123169J</t>
  </si>
  <si>
    <t>018376371D</t>
  </si>
  <si>
    <t>010456123I</t>
  </si>
  <si>
    <t>00022969266A</t>
  </si>
  <si>
    <t>YM82644G</t>
  </si>
  <si>
    <t>TP1473ZX</t>
  </si>
  <si>
    <t>00009754550D</t>
  </si>
  <si>
    <t>016860203F</t>
  </si>
  <si>
    <t>029959045F</t>
  </si>
  <si>
    <t>017947952C</t>
  </si>
  <si>
    <t>017846329F</t>
  </si>
  <si>
    <t>008310949G</t>
  </si>
  <si>
    <t>MK14402R</t>
  </si>
  <si>
    <t>030590978A</t>
  </si>
  <si>
    <t>36917062G</t>
  </si>
  <si>
    <t>606-26-3390</t>
  </si>
  <si>
    <t>115-78-2997</t>
  </si>
  <si>
    <t>624-88-3234</t>
  </si>
  <si>
    <t>078-70-1831</t>
  </si>
  <si>
    <t>157-80-3601</t>
  </si>
  <si>
    <t>151-92-3244</t>
  </si>
  <si>
    <t>109-80-8799</t>
  </si>
  <si>
    <t>057-82-7996</t>
  </si>
  <si>
    <t>583-93-2584</t>
  </si>
  <si>
    <t>072-84-0060</t>
  </si>
  <si>
    <t>729-10-3832</t>
  </si>
  <si>
    <t>134-94-4776</t>
  </si>
  <si>
    <t>154-96-0555</t>
  </si>
  <si>
    <t>108-48-7632</t>
  </si>
  <si>
    <t>052-02-4827</t>
  </si>
  <si>
    <t>078-72-8653</t>
  </si>
  <si>
    <t>117-94-2357</t>
  </si>
  <si>
    <t>108-76-1353</t>
  </si>
  <si>
    <t>057-02-8667</t>
  </si>
  <si>
    <t>065-58-0005</t>
  </si>
  <si>
    <t>204-25-2738</t>
  </si>
  <si>
    <t>109-70-5752</t>
  </si>
  <si>
    <t>125-64-4584</t>
  </si>
  <si>
    <t>085-98-0540</t>
  </si>
  <si>
    <t>094-54-4331</t>
  </si>
  <si>
    <t>084-80-8534</t>
  </si>
  <si>
    <t>080-84-8792</t>
  </si>
  <si>
    <t>076-98-4741</t>
  </si>
  <si>
    <t>129-58-8961</t>
  </si>
  <si>
    <t>023-64-5826</t>
  </si>
  <si>
    <t>088-52-6336</t>
  </si>
  <si>
    <t>000-00-2264</t>
  </si>
  <si>
    <t>062-62-7671</t>
  </si>
  <si>
    <t>105-38-0070</t>
  </si>
  <si>
    <t>266-93-7500</t>
  </si>
  <si>
    <t>058-64-4017</t>
  </si>
  <si>
    <t>131-94-3359</t>
  </si>
  <si>
    <t>093-72-3914</t>
  </si>
  <si>
    <t>580-06-3447</t>
  </si>
  <si>
    <t>583-46-0471</t>
  </si>
  <si>
    <t>064-82-7990</t>
  </si>
  <si>
    <t>000-00-0634</t>
  </si>
  <si>
    <t>085-56-5177</t>
  </si>
  <si>
    <t>070-58-9030</t>
  </si>
  <si>
    <t>065-62-4845</t>
  </si>
  <si>
    <t>094-68-3784</t>
  </si>
  <si>
    <t>132-70-8181</t>
  </si>
  <si>
    <t>368-88-2550</t>
  </si>
  <si>
    <t>144-60-7862</t>
  </si>
  <si>
    <t>058-72-3293</t>
  </si>
  <si>
    <t>348-02-3965</t>
  </si>
  <si>
    <t>089-52-0422</t>
  </si>
  <si>
    <t>062-02-6135</t>
  </si>
  <si>
    <t>000-00-6208</t>
  </si>
  <si>
    <t>000-00-6615</t>
  </si>
  <si>
    <t>106-38-5476</t>
  </si>
  <si>
    <t>065-54-1338</t>
  </si>
  <si>
    <t>129-68-0090</t>
  </si>
  <si>
    <t>047-98-2023</t>
  </si>
  <si>
    <t>123-78-6569</t>
  </si>
  <si>
    <t>450-43-8941</t>
  </si>
  <si>
    <t>107-58-0710</t>
  </si>
  <si>
    <t>146-76-4244</t>
  </si>
  <si>
    <t>052-96-4422</t>
  </si>
  <si>
    <t>088-62-5754</t>
  </si>
  <si>
    <t>065-88-5382</t>
  </si>
  <si>
    <t>591-67-3324</t>
  </si>
  <si>
    <t>096-70-5859</t>
  </si>
  <si>
    <t>080-84-1418</t>
  </si>
  <si>
    <t>101-74-0225</t>
  </si>
  <si>
    <t>673-04-8806</t>
  </si>
  <si>
    <t>094-66-5297</t>
  </si>
  <si>
    <t>079-60-0683</t>
  </si>
  <si>
    <t>055-46-0017</t>
  </si>
  <si>
    <t>433-51-6186</t>
  </si>
  <si>
    <t>122-70-4412</t>
  </si>
  <si>
    <t>122-58-9419</t>
  </si>
  <si>
    <t>106-76-3294</t>
  </si>
  <si>
    <t>111-68-7912</t>
  </si>
  <si>
    <t>106-60-8320</t>
  </si>
  <si>
    <t>101-58-9580</t>
  </si>
  <si>
    <t>110-68-7738</t>
  </si>
  <si>
    <t>133-48-4104</t>
  </si>
  <si>
    <t>114-50-2357</t>
  </si>
  <si>
    <t>070-76-8488</t>
  </si>
  <si>
    <t>128-58-2095</t>
  </si>
  <si>
    <t>063-62-4270</t>
  </si>
  <si>
    <t>128-46-9210</t>
  </si>
  <si>
    <t>140-52-1247</t>
  </si>
  <si>
    <t>000-00-5938</t>
  </si>
  <si>
    <t>114-60-0074</t>
  </si>
  <si>
    <t>074-68-0699</t>
  </si>
  <si>
    <t>554-63-9553</t>
  </si>
  <si>
    <t>056-56-2842</t>
  </si>
  <si>
    <t>117-34-8872</t>
  </si>
  <si>
    <t>082-54-4127</t>
  </si>
  <si>
    <t>098-58-0308</t>
  </si>
  <si>
    <t>117-56-9577</t>
  </si>
  <si>
    <t>075-88-0209</t>
  </si>
  <si>
    <t>095-48-2005</t>
  </si>
  <si>
    <t>062-86-9822</t>
  </si>
  <si>
    <t>273-26-3291</t>
  </si>
  <si>
    <t>154-50-2613</t>
  </si>
  <si>
    <t>104-68-8791</t>
  </si>
  <si>
    <t>094-54-1025</t>
  </si>
  <si>
    <t>592-03-5421</t>
  </si>
  <si>
    <t>557-61-4831</t>
  </si>
  <si>
    <t>526-67-9146</t>
  </si>
  <si>
    <t>103-92-3037</t>
  </si>
  <si>
    <t>068-62-6586</t>
  </si>
  <si>
    <t>089-66-4270</t>
  </si>
  <si>
    <t>118-62-1050</t>
  </si>
  <si>
    <t>072-34-5890</t>
  </si>
  <si>
    <t>000-00-3788</t>
  </si>
  <si>
    <t>091-13-4434</t>
  </si>
  <si>
    <t>856-16-0365</t>
  </si>
  <si>
    <t>078-56-8425</t>
  </si>
  <si>
    <t>121-70-2640</t>
  </si>
  <si>
    <t>181-70-3984</t>
  </si>
  <si>
    <t>138-78-2180</t>
  </si>
  <si>
    <t>248-87-4800</t>
  </si>
  <si>
    <t>157-80-1043</t>
  </si>
  <si>
    <t>063-72-4216</t>
  </si>
  <si>
    <t>084-56-6428</t>
  </si>
  <si>
    <t>054-40-5007</t>
  </si>
  <si>
    <t>108-82-9139</t>
  </si>
  <si>
    <t>069-54-8548</t>
  </si>
  <si>
    <t>086-52-9506</t>
  </si>
  <si>
    <t>118-86-1219</t>
  </si>
  <si>
    <t>058-50-5702</t>
  </si>
  <si>
    <t>586-66-7487</t>
  </si>
  <si>
    <t>063-58-1981</t>
  </si>
  <si>
    <t>129-64-6255</t>
  </si>
  <si>
    <t>052-92-2480</t>
  </si>
  <si>
    <t>128-56-8954</t>
  </si>
  <si>
    <t>058-56-2439</t>
  </si>
  <si>
    <t>564-70-9301</t>
  </si>
  <si>
    <t>108-66-9843</t>
  </si>
  <si>
    <t>000-00-0000</t>
  </si>
  <si>
    <t>582-71-7494</t>
  </si>
  <si>
    <t>072-84-9522</t>
  </si>
  <si>
    <t>019-48-7290</t>
  </si>
  <si>
    <t>069-96-0647</t>
  </si>
  <si>
    <t>041-80-2934</t>
  </si>
  <si>
    <t>056-88-6442</t>
  </si>
  <si>
    <t>051-92-4633</t>
  </si>
  <si>
    <t>052-46-0330</t>
  </si>
  <si>
    <t>000-00-6760</t>
  </si>
  <si>
    <t>231-45-1583</t>
  </si>
  <si>
    <t>080-68-7289</t>
  </si>
  <si>
    <t>580-96-5802</t>
  </si>
  <si>
    <t>091-58-9784</t>
  </si>
  <si>
    <t>119-86-5571</t>
  </si>
  <si>
    <t>107-48-6531</t>
  </si>
  <si>
    <t>125-62-5359</t>
  </si>
  <si>
    <t>083-74-6076</t>
  </si>
  <si>
    <t>073-62-6495</t>
  </si>
  <si>
    <t>098-74-4142</t>
  </si>
  <si>
    <t>108-80-7706</t>
  </si>
  <si>
    <t>083-58-6021</t>
  </si>
  <si>
    <t>584-43-2161</t>
  </si>
  <si>
    <t>101-68-3715</t>
  </si>
  <si>
    <t>587-11-1254</t>
  </si>
  <si>
    <t>126-50-9074</t>
  </si>
  <si>
    <t>131-56-7558</t>
  </si>
  <si>
    <t>052-86-8097</t>
  </si>
  <si>
    <t>063-84-4924</t>
  </si>
  <si>
    <t>554-37-1224</t>
  </si>
  <si>
    <t>096-60-4197</t>
  </si>
  <si>
    <t>071-90-0719</t>
  </si>
  <si>
    <t>063-80-4093</t>
  </si>
  <si>
    <t>125-74-4731</t>
  </si>
  <si>
    <t>118-66-6868</t>
  </si>
  <si>
    <t>462-87-0243</t>
  </si>
  <si>
    <t>128-88-4017</t>
  </si>
  <si>
    <t>130-98-8445</t>
  </si>
  <si>
    <t>083-90-9494</t>
  </si>
  <si>
    <t>113-70-0714</t>
  </si>
  <si>
    <t>085-62-3332</t>
  </si>
  <si>
    <t>078-58-6935</t>
  </si>
  <si>
    <t>058-90-1882</t>
  </si>
  <si>
    <t>583-15-2256</t>
  </si>
  <si>
    <t>798-60-9637</t>
  </si>
  <si>
    <t>063-50-5057</t>
  </si>
  <si>
    <t>111-66-7226</t>
  </si>
  <si>
    <t>114-36-9163</t>
  </si>
  <si>
    <t>000-00-1777</t>
  </si>
  <si>
    <t>060-82-3467</t>
  </si>
  <si>
    <t>089-66-8052</t>
  </si>
  <si>
    <t>112-82-7959</t>
  </si>
  <si>
    <t>153-08-9240</t>
  </si>
  <si>
    <t>127-86-7880</t>
  </si>
  <si>
    <t>095-80-7995</t>
  </si>
  <si>
    <t>082-40-4282</t>
  </si>
  <si>
    <t>063-84-7718</t>
  </si>
  <si>
    <t>115-62-1830</t>
  </si>
  <si>
    <t>097-72-4268</t>
  </si>
  <si>
    <t>134-68-4268</t>
  </si>
  <si>
    <t>078-66-2160</t>
  </si>
  <si>
    <t>100-74-6024</t>
  </si>
  <si>
    <t>112-88-1236</t>
  </si>
  <si>
    <t>128-46-8459</t>
  </si>
  <si>
    <t>126-76-8395</t>
  </si>
  <si>
    <t>734-52-8722</t>
  </si>
  <si>
    <t>075-44-6880</t>
  </si>
  <si>
    <t>097-60-6198</t>
  </si>
  <si>
    <t>134-60-6252</t>
  </si>
  <si>
    <t>131-82-1660</t>
  </si>
  <si>
    <t>584-53-6421</t>
  </si>
  <si>
    <t>075-50-0503</t>
  </si>
  <si>
    <t>255-23-5124</t>
  </si>
  <si>
    <t>070-58-6543</t>
  </si>
  <si>
    <t>079-40-7898</t>
  </si>
  <si>
    <t>077-62-9141</t>
  </si>
  <si>
    <t>070-46-5583</t>
  </si>
  <si>
    <t>067-36-7796</t>
  </si>
  <si>
    <t>113-70-9369</t>
  </si>
  <si>
    <t>130-42-9252</t>
  </si>
  <si>
    <t>081-42-5016</t>
  </si>
  <si>
    <t>080-62-7068</t>
  </si>
  <si>
    <t>371-69-0758</t>
  </si>
  <si>
    <t>589-18-1984</t>
  </si>
  <si>
    <t>057-58-3720</t>
  </si>
  <si>
    <t>098-46-2865</t>
  </si>
  <si>
    <t>107-48-9745</t>
  </si>
  <si>
    <t>075-66-7396</t>
  </si>
  <si>
    <t>076-84-4781</t>
  </si>
  <si>
    <t>583-69-9324</t>
  </si>
  <si>
    <t>086-60-6867</t>
  </si>
  <si>
    <t>071-82-1687</t>
  </si>
  <si>
    <t>099-48-4990</t>
  </si>
  <si>
    <t>089-74-8020</t>
  </si>
  <si>
    <t>565-65-4436</t>
  </si>
  <si>
    <t>053-62-5108</t>
  </si>
  <si>
    <t>124-28-5676</t>
  </si>
  <si>
    <t>067-92-9002</t>
  </si>
  <si>
    <t>020-43-0922</t>
  </si>
  <si>
    <t>090-50-8173</t>
  </si>
  <si>
    <t>090-66-5322</t>
  </si>
  <si>
    <t>055-34-5684</t>
  </si>
  <si>
    <t>062-68-1190</t>
  </si>
  <si>
    <t>077-62-0776</t>
  </si>
  <si>
    <t>098-46-8928</t>
  </si>
  <si>
    <t>093-76-7899</t>
  </si>
  <si>
    <t>118-56-1550</t>
  </si>
  <si>
    <t>055-88-3084</t>
  </si>
  <si>
    <t>058-50-4914</t>
  </si>
  <si>
    <t>227-75-5421</t>
  </si>
  <si>
    <t>051-62-7512</t>
  </si>
  <si>
    <t>587-49-6492</t>
  </si>
  <si>
    <t>084-92-6353</t>
  </si>
  <si>
    <t>105-92-6077</t>
  </si>
  <si>
    <t>258-02-2262</t>
  </si>
  <si>
    <t>053-68-0906</t>
  </si>
  <si>
    <t>372-84-5289</t>
  </si>
  <si>
    <t>098-98-9501</t>
  </si>
  <si>
    <t>070-46-4774</t>
  </si>
  <si>
    <t>063-42-0339</t>
  </si>
  <si>
    <t>108-92-5939</t>
  </si>
  <si>
    <t>080-84-5229</t>
  </si>
  <si>
    <t>082-88-7518</t>
  </si>
  <si>
    <t>113-96-6301</t>
  </si>
  <si>
    <t>599-18-6322</t>
  </si>
  <si>
    <t>058-82-5209</t>
  </si>
  <si>
    <t>127-62-7439</t>
  </si>
  <si>
    <t>092-36-4695</t>
  </si>
  <si>
    <t>000-00-5135</t>
  </si>
  <si>
    <t>127-46-6960</t>
  </si>
  <si>
    <t>117-78-2625</t>
  </si>
  <si>
    <t>107-70-2763</t>
  </si>
  <si>
    <t>664-25-4660</t>
  </si>
  <si>
    <t>096-36-8235</t>
  </si>
  <si>
    <t>138-76-3594</t>
  </si>
  <si>
    <t>123-98-2470</t>
  </si>
  <si>
    <t>104-88-4915</t>
  </si>
  <si>
    <t>584-88-4501</t>
  </si>
  <si>
    <t>078-64-5589</t>
  </si>
  <si>
    <t>598-09-9388</t>
  </si>
  <si>
    <t>087-52-8907</t>
  </si>
  <si>
    <t>129-68-4106</t>
  </si>
  <si>
    <t>121-80-1806</t>
  </si>
  <si>
    <t>102-68-4963</t>
  </si>
  <si>
    <t>120-80-0204</t>
  </si>
  <si>
    <t>065-44-9123</t>
  </si>
  <si>
    <t>098-56-3990</t>
  </si>
  <si>
    <t>123-90-0314</t>
  </si>
  <si>
    <t>063-42-3098</t>
  </si>
  <si>
    <t>104-40-3805</t>
  </si>
  <si>
    <t>084-72-7786</t>
  </si>
  <si>
    <t>124-84-8139</t>
  </si>
  <si>
    <t>095-62-0441</t>
  </si>
  <si>
    <t>113-48-2528</t>
  </si>
  <si>
    <t>096-62-7716</t>
  </si>
  <si>
    <t>067-66-4348</t>
  </si>
  <si>
    <t>598-18-6322</t>
  </si>
  <si>
    <t>066-54-7946</t>
  </si>
  <si>
    <t>056-54-0359</t>
  </si>
  <si>
    <t>070-46-6493</t>
  </si>
  <si>
    <t>076-62-1536</t>
  </si>
  <si>
    <t>747-91-0802</t>
  </si>
  <si>
    <t>584-53-0563</t>
  </si>
  <si>
    <t>264-95-8500</t>
  </si>
  <si>
    <t>119-66-8456</t>
  </si>
  <si>
    <t>101-40-5094</t>
  </si>
  <si>
    <t>065-50-4884</t>
  </si>
  <si>
    <t>079-60-1008</t>
  </si>
  <si>
    <t>070-48-0257</t>
  </si>
  <si>
    <t>099-80-8189</t>
  </si>
  <si>
    <t>081-62-7349</t>
  </si>
  <si>
    <t>248-72-2517</t>
  </si>
  <si>
    <t>088-68-8445</t>
  </si>
  <si>
    <t>122-46-9252</t>
  </si>
  <si>
    <t>124-76-3040</t>
  </si>
  <si>
    <t>072-02-2167</t>
  </si>
  <si>
    <t>069-54-1343</t>
  </si>
  <si>
    <t>084-48-5135</t>
  </si>
  <si>
    <t>060-46-5714</t>
  </si>
  <si>
    <t>090-34-6179</t>
  </si>
  <si>
    <t>116-44-7745</t>
  </si>
  <si>
    <t>094-56-9613</t>
  </si>
  <si>
    <t>112-62-8982</t>
  </si>
  <si>
    <t>063-42-5038</t>
  </si>
  <si>
    <t>090-66-0103</t>
  </si>
  <si>
    <t>134-62-5729</t>
  </si>
  <si>
    <t>065-60-2461</t>
  </si>
  <si>
    <t>120-62-1463</t>
  </si>
  <si>
    <t>123-60-4588</t>
  </si>
  <si>
    <t>105-58-4719</t>
  </si>
  <si>
    <t>071-58-6091</t>
  </si>
  <si>
    <t>052-56-2981</t>
  </si>
  <si>
    <t>004-50-3096</t>
  </si>
  <si>
    <t>583-20-3861</t>
  </si>
  <si>
    <t>064-74-0877</t>
  </si>
  <si>
    <t>051-44-1357</t>
  </si>
  <si>
    <t>089-74-3644</t>
  </si>
  <si>
    <t>089-56-8353</t>
  </si>
  <si>
    <t>157-56-6436</t>
  </si>
  <si>
    <t>122-58-8870</t>
  </si>
  <si>
    <t>077-68-1578</t>
  </si>
  <si>
    <t>062-58-3100</t>
  </si>
  <si>
    <t>107-62-4694</t>
  </si>
  <si>
    <t>056-64-1289</t>
  </si>
  <si>
    <t>118-56-3843</t>
  </si>
  <si>
    <t>141-94-5958</t>
  </si>
  <si>
    <t>355-45-7393</t>
  </si>
  <si>
    <t>094-86-1714</t>
  </si>
  <si>
    <t>050-68-9744</t>
  </si>
  <si>
    <t>063-84-0388</t>
  </si>
  <si>
    <t>091-88-9066</t>
  </si>
  <si>
    <t>026-58-8399</t>
  </si>
  <si>
    <t>074-66-6639</t>
  </si>
  <si>
    <t>053-78-9096</t>
  </si>
  <si>
    <t>583-74-2251</t>
  </si>
  <si>
    <t>584-70-1746</t>
  </si>
  <si>
    <t>081-82-8741</t>
  </si>
  <si>
    <t>075-84-5743</t>
  </si>
  <si>
    <t>117-66-0643</t>
  </si>
  <si>
    <t>121-62-9499</t>
  </si>
  <si>
    <t>131-90-7923</t>
  </si>
  <si>
    <t>070-40-1704</t>
  </si>
  <si>
    <t>113-48-2147</t>
  </si>
  <si>
    <t>087-82-9998</t>
  </si>
  <si>
    <t>059-62-3743</t>
  </si>
  <si>
    <t>060-48-3207</t>
  </si>
  <si>
    <t>118-44-8420</t>
  </si>
  <si>
    <t>097-58-3954</t>
  </si>
  <si>
    <t>423-78-2580</t>
  </si>
  <si>
    <t>058-56-6015</t>
  </si>
  <si>
    <t>580-82-4582</t>
  </si>
  <si>
    <t>062-78-4303</t>
  </si>
  <si>
    <t>087-48-0485</t>
  </si>
  <si>
    <t>079-46-4191</t>
  </si>
  <si>
    <t>535-15-1743</t>
  </si>
  <si>
    <t>131-44-1848</t>
  </si>
  <si>
    <t>113-72-8090</t>
  </si>
  <si>
    <t>124-52-8358</t>
  </si>
  <si>
    <t>091-40-5580</t>
  </si>
  <si>
    <t>239-78-3960</t>
  </si>
  <si>
    <t>114-78-4173</t>
  </si>
  <si>
    <t>086-44-7534</t>
  </si>
  <si>
    <t>063-42-0530</t>
  </si>
  <si>
    <t>086-02-8830</t>
  </si>
  <si>
    <t>599-03-3944</t>
  </si>
  <si>
    <t>074-12-4878</t>
  </si>
  <si>
    <t>062-56-4122</t>
  </si>
  <si>
    <t>584-69-6751</t>
  </si>
  <si>
    <t>073-52-5981</t>
  </si>
  <si>
    <t>086-86-4978</t>
  </si>
  <si>
    <t>073-68-5684</t>
  </si>
  <si>
    <t>123-84-0628</t>
  </si>
  <si>
    <t>051-82-3570</t>
  </si>
  <si>
    <t>123-54-6854</t>
  </si>
  <si>
    <t>069-54-9142</t>
  </si>
  <si>
    <t>132-84-8976</t>
  </si>
  <si>
    <t>063-46-8196</t>
  </si>
  <si>
    <t>584-52-3029</t>
  </si>
  <si>
    <t>583-16-6470</t>
  </si>
  <si>
    <t>070-52-7819</t>
  </si>
  <si>
    <t>134-72-8235</t>
  </si>
  <si>
    <t>094-64-2536</t>
  </si>
  <si>
    <t>073-50-5837</t>
  </si>
  <si>
    <t>126-54-6220</t>
  </si>
  <si>
    <t>061-46-9375</t>
  </si>
  <si>
    <t>584-07-4877</t>
  </si>
  <si>
    <t>818-98-1193</t>
  </si>
  <si>
    <t>132-58-5078</t>
  </si>
  <si>
    <t>060-70-1076</t>
  </si>
  <si>
    <t>124-26-0192</t>
  </si>
  <si>
    <t>103-80-3857</t>
  </si>
  <si>
    <t>149-32-3269</t>
  </si>
  <si>
    <t>513-13-7105</t>
  </si>
  <si>
    <t>118-66-9174</t>
  </si>
  <si>
    <t>105-63-7353</t>
  </si>
  <si>
    <t>106-48-4642</t>
  </si>
  <si>
    <t>081-82-2948</t>
  </si>
  <si>
    <t>153-48-2639</t>
  </si>
  <si>
    <t>000-00-2580</t>
  </si>
  <si>
    <t>153-44-1190</t>
  </si>
  <si>
    <t>088-80-3736</t>
  </si>
  <si>
    <t>115-56-1126</t>
  </si>
  <si>
    <t>582-88-7519</t>
  </si>
  <si>
    <t>094-46-8118</t>
  </si>
  <si>
    <t>583-54-9823</t>
  </si>
  <si>
    <t>118-54-2101</t>
  </si>
  <si>
    <t>091-66-0366</t>
  </si>
  <si>
    <t>092-72-7221</t>
  </si>
  <si>
    <t>225-11-9859</t>
  </si>
  <si>
    <t>050-38-3713</t>
  </si>
  <si>
    <t>581-27-3809</t>
  </si>
  <si>
    <t>000-00-2979</t>
  </si>
  <si>
    <t>584-90-0146</t>
  </si>
  <si>
    <t>098-48-0206</t>
  </si>
  <si>
    <t>553-13-3526</t>
  </si>
  <si>
    <t>073-62-0120</t>
  </si>
  <si>
    <t>103-48-9848</t>
  </si>
  <si>
    <t>090-56-8808</t>
  </si>
  <si>
    <t>053-50-5580</t>
  </si>
  <si>
    <t>596-50-8468</t>
  </si>
  <si>
    <t>040-68-3997</t>
  </si>
  <si>
    <t>090-68-9519</t>
  </si>
  <si>
    <t>124-16-3531</t>
  </si>
  <si>
    <t>219-08-7487</t>
  </si>
  <si>
    <t>060-68-2700</t>
  </si>
  <si>
    <t>082-46-0247</t>
  </si>
  <si>
    <t>193-44-4858</t>
  </si>
  <si>
    <t>125-44-5536</t>
  </si>
  <si>
    <t>053-64-0203</t>
  </si>
  <si>
    <t>103-90-9949</t>
  </si>
  <si>
    <t>108-44-2025</t>
  </si>
  <si>
    <t>074-88-9813</t>
  </si>
  <si>
    <t>006-40-9368</t>
  </si>
  <si>
    <t>089-62-5307</t>
  </si>
  <si>
    <t>070-40-3145</t>
  </si>
  <si>
    <t>090-52-6341</t>
  </si>
  <si>
    <t>095-48-1950</t>
  </si>
  <si>
    <t>087-56-8129</t>
  </si>
  <si>
    <t>055-82-0408</t>
  </si>
  <si>
    <t>133-62-8635</t>
  </si>
  <si>
    <t>081-62-3720</t>
  </si>
  <si>
    <t>092-90-7640</t>
  </si>
  <si>
    <t>058-58-5429</t>
  </si>
  <si>
    <t>131-88-3761</t>
  </si>
  <si>
    <t>087-36-8940</t>
  </si>
  <si>
    <t>057-58-6188</t>
  </si>
  <si>
    <t>583-67-1712</t>
  </si>
  <si>
    <t>113-42-4934</t>
  </si>
  <si>
    <t>038-50-3253</t>
  </si>
  <si>
    <t>086-54-7404</t>
  </si>
  <si>
    <t>073-48-3861</t>
  </si>
  <si>
    <t>095-80-0486</t>
  </si>
  <si>
    <t>081-98-7155</t>
  </si>
  <si>
    <t>124-36-4090</t>
  </si>
  <si>
    <t>083-98-0467</t>
  </si>
  <si>
    <t>066-76-6019</t>
  </si>
  <si>
    <t>120-52-4795</t>
  </si>
  <si>
    <t>086-44-7737</t>
  </si>
  <si>
    <t>079-62-2946</t>
  </si>
  <si>
    <t>000-00-5961</t>
  </si>
  <si>
    <t>088-52-8780</t>
  </si>
  <si>
    <t>086-82-3291</t>
  </si>
  <si>
    <t>082-46-0013</t>
  </si>
  <si>
    <t>250-16-6879</t>
  </si>
  <si>
    <t>115-64-0488</t>
  </si>
  <si>
    <t>099-56-9455</t>
  </si>
  <si>
    <t>118-44-5329</t>
  </si>
  <si>
    <t>104-54-0674</t>
  </si>
  <si>
    <t>109-62-4458</t>
  </si>
  <si>
    <t>070-96-5128</t>
  </si>
  <si>
    <t>256-72-1058</t>
  </si>
  <si>
    <t>119-50-8670</t>
  </si>
  <si>
    <t>582-11-8987</t>
  </si>
  <si>
    <t>093-70-0228</t>
  </si>
  <si>
    <t>055-48-2639</t>
  </si>
  <si>
    <t>583-40-6836</t>
  </si>
  <si>
    <t>098-68-8473</t>
  </si>
  <si>
    <t>129-90-3758</t>
  </si>
  <si>
    <t>427-35-1965</t>
  </si>
  <si>
    <t>086-56-6671</t>
  </si>
  <si>
    <t>135-56-3272</t>
  </si>
  <si>
    <t>120-80-9776</t>
  </si>
  <si>
    <t>121-40-9142</t>
  </si>
  <si>
    <t>076-76-0409</t>
  </si>
  <si>
    <t>862-69-8155</t>
  </si>
  <si>
    <t>083-76-7025</t>
  </si>
  <si>
    <t>338-68-9472</t>
  </si>
  <si>
    <t>108-48-9889</t>
  </si>
  <si>
    <t>068-58-5680</t>
  </si>
  <si>
    <t>110-50-6710</t>
  </si>
  <si>
    <t>092-64-7881</t>
  </si>
  <si>
    <t>127-42-5246</t>
  </si>
  <si>
    <t>583-71-4901</t>
  </si>
  <si>
    <t>059-60-1312</t>
  </si>
  <si>
    <t>104-34-4530</t>
  </si>
  <si>
    <t>052-48-9282</t>
  </si>
  <si>
    <t>133-42-1761</t>
  </si>
  <si>
    <t>766-20-5401</t>
  </si>
  <si>
    <t>054-40-3558</t>
  </si>
  <si>
    <t>133-52-9413</t>
  </si>
  <si>
    <t>075-70-5765</t>
  </si>
  <si>
    <t>087-74-2051</t>
  </si>
  <si>
    <t>058-44-6232</t>
  </si>
  <si>
    <t>061-54-4881</t>
  </si>
  <si>
    <t>082-80-2740</t>
  </si>
  <si>
    <t>057-60-1532</t>
  </si>
  <si>
    <t>582-13-3711</t>
  </si>
  <si>
    <t>121-80-6772</t>
  </si>
  <si>
    <t>063-66-0266</t>
  </si>
  <si>
    <t>112-92-4236</t>
  </si>
  <si>
    <t>125-44-3934</t>
  </si>
  <si>
    <t>058-50-5191</t>
  </si>
  <si>
    <t>054-40-5195</t>
  </si>
  <si>
    <t>108-74-2373</t>
  </si>
  <si>
    <t>130-42-6612</t>
  </si>
  <si>
    <t>083-56-3795</t>
  </si>
  <si>
    <t>570-59-2305</t>
  </si>
  <si>
    <t>065-96-2357</t>
  </si>
  <si>
    <t>099-58-7058</t>
  </si>
  <si>
    <t>099-76-1528</t>
  </si>
  <si>
    <t>051-72-9794</t>
  </si>
  <si>
    <t>105-54-1327</t>
  </si>
  <si>
    <t>430-79-3756</t>
  </si>
  <si>
    <t>085-58-1987</t>
  </si>
  <si>
    <t>500-19-3895</t>
  </si>
  <si>
    <t>741-04-8434</t>
  </si>
  <si>
    <t>133-54-0173</t>
  </si>
  <si>
    <t>111-78-6454</t>
  </si>
  <si>
    <t>087-48-8948</t>
  </si>
  <si>
    <t>084-54-6863</t>
  </si>
  <si>
    <t>116-98-9403</t>
  </si>
  <si>
    <t>236-66-5231</t>
  </si>
  <si>
    <t>075-70-2664</t>
  </si>
  <si>
    <t>253-90-6541</t>
  </si>
  <si>
    <t>107-64-2417</t>
  </si>
  <si>
    <t>580-07-7215</t>
  </si>
  <si>
    <t>122-92-7099</t>
  </si>
  <si>
    <t>580-14-2932</t>
  </si>
  <si>
    <t>116-90-9987</t>
  </si>
  <si>
    <t>095-32-6839</t>
  </si>
  <si>
    <t>127-62-8926</t>
  </si>
  <si>
    <t>101-82-8138</t>
  </si>
  <si>
    <t>096-68-6113</t>
  </si>
  <si>
    <t>110-42-7376</t>
  </si>
  <si>
    <t>107-74-1133</t>
  </si>
  <si>
    <t>110-60-2502</t>
  </si>
  <si>
    <t>581-05-8727</t>
  </si>
  <si>
    <t>087-50-5640</t>
  </si>
  <si>
    <t>092-82-5997</t>
  </si>
  <si>
    <t>064-80-7566</t>
  </si>
  <si>
    <t>105-94-1709</t>
  </si>
  <si>
    <t>109-44-6533</t>
  </si>
  <si>
    <t>086-86-1916</t>
  </si>
  <si>
    <t>050-90-4665</t>
  </si>
  <si>
    <t>096-36-8742</t>
  </si>
  <si>
    <t>076-74-4400</t>
  </si>
  <si>
    <t>357-42-5222</t>
  </si>
  <si>
    <t>583-50-8300</t>
  </si>
  <si>
    <t>213-60-4774</t>
  </si>
  <si>
    <t>045-42-2933</t>
  </si>
  <si>
    <t>118-46-5839</t>
  </si>
  <si>
    <t>047-72-3642</t>
  </si>
  <si>
    <t>118-44-2052</t>
  </si>
  <si>
    <t>066-26-0050</t>
  </si>
  <si>
    <t>051-84-7827</t>
  </si>
  <si>
    <t>089-72-7546</t>
  </si>
  <si>
    <t>086-66-3609</t>
  </si>
  <si>
    <t>129-70-9153</t>
  </si>
  <si>
    <t>066-78-6248</t>
  </si>
  <si>
    <t>133-70-1018</t>
  </si>
  <si>
    <t>583-20-9056</t>
  </si>
  <si>
    <t>071-34-7149</t>
  </si>
  <si>
    <t>070-50-4326</t>
  </si>
  <si>
    <t>240-84-2850</t>
  </si>
  <si>
    <t>051-92-8490</t>
  </si>
  <si>
    <t>130-42-6136</t>
  </si>
  <si>
    <t>071-46-3302</t>
  </si>
  <si>
    <t>892-42-4664</t>
  </si>
  <si>
    <t>097-56-0479</t>
  </si>
  <si>
    <t>052-38-9852</t>
  </si>
  <si>
    <t>729-18-7560</t>
  </si>
  <si>
    <t>088-62-3285</t>
  </si>
  <si>
    <t>067-62-8156</t>
  </si>
  <si>
    <t>124-64-2855</t>
  </si>
  <si>
    <t>052-46-1521</t>
  </si>
  <si>
    <t>122-66-5089</t>
  </si>
  <si>
    <t>053-66-4297</t>
  </si>
  <si>
    <t>000-00-8016</t>
  </si>
  <si>
    <t>074-44-7191</t>
  </si>
  <si>
    <t>124-36-3469</t>
  </si>
  <si>
    <t>059-44-6035</t>
  </si>
  <si>
    <t>088-94-5194</t>
  </si>
  <si>
    <t>088-94-5794</t>
  </si>
  <si>
    <t>120-66-3972</t>
  </si>
  <si>
    <t>062-78-5730</t>
  </si>
  <si>
    <t>103-34-6473</t>
  </si>
  <si>
    <t>089-50-6280</t>
  </si>
  <si>
    <t>064-78-3660</t>
  </si>
  <si>
    <t>671-30-7008</t>
  </si>
  <si>
    <t>569-14-1254</t>
  </si>
  <si>
    <t>101-70-9936</t>
  </si>
  <si>
    <t>100-60-0075</t>
  </si>
  <si>
    <t>099-56-1493</t>
  </si>
  <si>
    <t>086-58-7064</t>
  </si>
  <si>
    <t>067-82-8001</t>
  </si>
  <si>
    <t>559-06-8908</t>
  </si>
  <si>
    <t>790-04-8236</t>
  </si>
  <si>
    <t>096-76-2304</t>
  </si>
  <si>
    <t>154-56-4875</t>
  </si>
  <si>
    <t>118-46-5849</t>
  </si>
  <si>
    <t>062-86-0980</t>
  </si>
  <si>
    <t>120-94-3094</t>
  </si>
  <si>
    <t>129-30-7516</t>
  </si>
  <si>
    <t>066-86-3193</t>
  </si>
  <si>
    <t>102-48-7935</t>
  </si>
  <si>
    <t>079-60-5154</t>
  </si>
  <si>
    <t>143-88-0561</t>
  </si>
  <si>
    <t>133-44-1637</t>
  </si>
  <si>
    <t>070-70-4295</t>
  </si>
  <si>
    <t>104-78-4668</t>
  </si>
  <si>
    <t>103-48-4692</t>
  </si>
  <si>
    <t>101-96-4551</t>
  </si>
  <si>
    <t>582-23-4012</t>
  </si>
  <si>
    <t>120-80-0198</t>
  </si>
  <si>
    <t>102-64-5993</t>
  </si>
  <si>
    <t>119-42-7946</t>
  </si>
  <si>
    <t>072-44-2807</t>
  </si>
  <si>
    <t>130-36-5133</t>
  </si>
  <si>
    <t>078-74-6038</t>
  </si>
  <si>
    <t>000-00-0127</t>
  </si>
  <si>
    <t>115-62-3946</t>
  </si>
  <si>
    <t>583-95-5306</t>
  </si>
  <si>
    <t>524-27-9591</t>
  </si>
  <si>
    <t>582-96-6965</t>
  </si>
  <si>
    <t>127-46-4488</t>
  </si>
  <si>
    <t>123-56-2985</t>
  </si>
  <si>
    <t>083-30-0140</t>
  </si>
  <si>
    <t>156-84-5909</t>
  </si>
  <si>
    <t>000-00-6407</t>
  </si>
  <si>
    <t>066-62-5278</t>
  </si>
  <si>
    <t>097-96-8389</t>
  </si>
  <si>
    <t>152-42-5701</t>
  </si>
  <si>
    <t>069-78-6812</t>
  </si>
  <si>
    <t>116-58-6979</t>
  </si>
  <si>
    <t>076-66-9474</t>
  </si>
  <si>
    <t>098-48-3842</t>
  </si>
  <si>
    <t>322-54-5541</t>
  </si>
  <si>
    <t>053-70-0968</t>
  </si>
  <si>
    <t>132-58-3551</t>
  </si>
  <si>
    <t>052-02-4281</t>
  </si>
  <si>
    <t>075-74-9515</t>
  </si>
  <si>
    <t>000-00-4409</t>
  </si>
  <si>
    <t>103-82-0966</t>
  </si>
  <si>
    <t>077-58-2636</t>
  </si>
  <si>
    <t>114-36-7437</t>
  </si>
  <si>
    <t>122-66-4959</t>
  </si>
  <si>
    <t>563-65-6364</t>
  </si>
  <si>
    <t>062-62-6788</t>
  </si>
  <si>
    <t>389-78-7150</t>
  </si>
  <si>
    <t>129-90-2688</t>
  </si>
  <si>
    <t>054-58-3312</t>
  </si>
  <si>
    <t>090-40-9189</t>
  </si>
  <si>
    <t>053-40-1053</t>
  </si>
  <si>
    <t>081-46-5483</t>
  </si>
  <si>
    <t>149-70-9947</t>
  </si>
  <si>
    <t>075-62-1924</t>
  </si>
  <si>
    <t>123-80-1985</t>
  </si>
  <si>
    <t>417-56-7433</t>
  </si>
  <si>
    <t>108-26-4377</t>
  </si>
  <si>
    <t>118-68-4588</t>
  </si>
  <si>
    <t>115-64-1918</t>
  </si>
  <si>
    <t>112-82-7206</t>
  </si>
  <si>
    <t>116-90-4943</t>
  </si>
  <si>
    <t>051-76-8141</t>
  </si>
  <si>
    <t>594-15-9291</t>
  </si>
  <si>
    <t>401-17-2518</t>
  </si>
  <si>
    <t>079-84-9810</t>
  </si>
  <si>
    <t>128-82-5670</t>
  </si>
  <si>
    <t>057-84-7056</t>
  </si>
  <si>
    <t>119-74-3867</t>
  </si>
  <si>
    <t>090-84-1156</t>
  </si>
  <si>
    <t>055-58-4249</t>
  </si>
  <si>
    <t>071-02-6250</t>
  </si>
  <si>
    <t>082-24-7969</t>
  </si>
  <si>
    <t>123-52-0020</t>
  </si>
  <si>
    <t>058-44-2522</t>
  </si>
  <si>
    <t>571-11-8639</t>
  </si>
  <si>
    <t>234-54-5216</t>
  </si>
  <si>
    <t>060-78-3689</t>
  </si>
  <si>
    <t>583-53-1327</t>
  </si>
  <si>
    <t>084-58-4925</t>
  </si>
  <si>
    <t>096-74-0921</t>
  </si>
  <si>
    <t>095-54-4153</t>
  </si>
  <si>
    <t>056-58-6114</t>
  </si>
  <si>
    <t>581-65-8593</t>
  </si>
  <si>
    <t>094-30-0378</t>
  </si>
  <si>
    <t>000-00-9837</t>
  </si>
  <si>
    <t>058-68-5861</t>
  </si>
  <si>
    <t>132-72-3659</t>
  </si>
  <si>
    <t>591-96-7940</t>
  </si>
  <si>
    <t>063-66-6588</t>
  </si>
  <si>
    <t>105-34-4504</t>
  </si>
  <si>
    <t>111-68-8389</t>
  </si>
  <si>
    <t>069-68-6712</t>
  </si>
  <si>
    <t>102-56-0370</t>
  </si>
  <si>
    <t>113-42-6200</t>
  </si>
  <si>
    <t>086-34-3368</t>
  </si>
  <si>
    <t>102-60-2369</t>
  </si>
  <si>
    <t>107-60-9853</t>
  </si>
  <si>
    <t>079-46-7006</t>
  </si>
  <si>
    <t>812-05-4081</t>
  </si>
  <si>
    <t>128-94-8864</t>
  </si>
  <si>
    <t>133-46-0562</t>
  </si>
  <si>
    <t>063-46-2692</t>
  </si>
  <si>
    <t>085-66-5517</t>
  </si>
  <si>
    <t>072-02-1516</t>
  </si>
  <si>
    <t>131-58-0556</t>
  </si>
  <si>
    <t>085-54-3591</t>
  </si>
  <si>
    <t>128-40-0492</t>
  </si>
  <si>
    <t>107-84-0851</t>
  </si>
  <si>
    <t>113-64-6787</t>
  </si>
  <si>
    <t>114-36-9098</t>
  </si>
  <si>
    <t>056-64-6322</t>
  </si>
  <si>
    <t>134-64-1815</t>
  </si>
  <si>
    <t>103-84-7847</t>
  </si>
  <si>
    <t>100-42-4525</t>
  </si>
  <si>
    <t>050-02-6281</t>
  </si>
  <si>
    <t>112-68-1711</t>
  </si>
  <si>
    <t>095-60-0905</t>
  </si>
  <si>
    <t>590-28-0017</t>
  </si>
  <si>
    <t>107-43-9464</t>
  </si>
  <si>
    <t>107-62-1518</t>
  </si>
  <si>
    <t>711-84-9275</t>
  </si>
  <si>
    <t>589-45-0391</t>
  </si>
  <si>
    <t>068-68-3101</t>
  </si>
  <si>
    <t>085-74-3411</t>
  </si>
  <si>
    <t>122-60-7510</t>
  </si>
  <si>
    <t>065-94-9438</t>
  </si>
  <si>
    <t>094-58-1151</t>
  </si>
  <si>
    <t>098-92-3924</t>
  </si>
  <si>
    <t>051-62-8145</t>
  </si>
  <si>
    <t>230-66-6430</t>
  </si>
  <si>
    <t>089-82-7270</t>
  </si>
  <si>
    <t>577-23-0000</t>
  </si>
  <si>
    <t>050-48-7436</t>
  </si>
  <si>
    <t>118-46-2175</t>
  </si>
  <si>
    <t>048-44-4133</t>
  </si>
  <si>
    <t>063-58-0427</t>
  </si>
  <si>
    <t>122-94-1471</t>
  </si>
  <si>
    <t>099-88-1606</t>
  </si>
  <si>
    <t>103-56-7848</t>
  </si>
  <si>
    <t>065-36-0184</t>
  </si>
  <si>
    <t>078-58-3146</t>
  </si>
  <si>
    <t>066-66-3114</t>
  </si>
  <si>
    <t>084-46-8397</t>
  </si>
  <si>
    <t>249-44-7872</t>
  </si>
  <si>
    <t>126-70-7984</t>
  </si>
  <si>
    <t>059-62-5825</t>
  </si>
  <si>
    <t>589-79-5841</t>
  </si>
  <si>
    <t>064-90-4283</t>
  </si>
  <si>
    <t>408-69-3048</t>
  </si>
  <si>
    <t>095-58-0275</t>
  </si>
  <si>
    <t>114-62-8092</t>
  </si>
  <si>
    <t>076-56-6299</t>
  </si>
  <si>
    <t>567-79-2138</t>
  </si>
  <si>
    <t>083-66-4543</t>
  </si>
  <si>
    <t>095-70-2604</t>
  </si>
  <si>
    <t>449-91-5721</t>
  </si>
  <si>
    <t>059-38-5896</t>
  </si>
  <si>
    <t>099-88-9742</t>
  </si>
  <si>
    <t>092-76-8081</t>
  </si>
  <si>
    <t>121-68-7716</t>
  </si>
  <si>
    <t>102-90-3126</t>
  </si>
  <si>
    <t>108-48-9870</t>
  </si>
  <si>
    <t>063-74-6753</t>
  </si>
  <si>
    <t>051-84-2494</t>
  </si>
  <si>
    <t>119-78-5707</t>
  </si>
  <si>
    <t>596-36-2049</t>
  </si>
  <si>
    <t>115-56-1903</t>
  </si>
  <si>
    <t>124-82-0074</t>
  </si>
  <si>
    <t>107-86-5801</t>
  </si>
  <si>
    <t>071-78-0702</t>
  </si>
  <si>
    <t>107-84-6855</t>
  </si>
  <si>
    <t>078-64-2748</t>
  </si>
  <si>
    <t>125-58-2970</t>
  </si>
  <si>
    <t>087-36-5105</t>
  </si>
  <si>
    <t>310-40-7635</t>
  </si>
  <si>
    <t>073-56-4421</t>
  </si>
  <si>
    <t>058-58-6254</t>
  </si>
  <si>
    <t>100-58-9486</t>
  </si>
  <si>
    <t>088-74-7746</t>
  </si>
  <si>
    <t>050-62-1204</t>
  </si>
  <si>
    <t>583-13-9014</t>
  </si>
  <si>
    <t>078-78-8976</t>
  </si>
  <si>
    <t>089-80-9890</t>
  </si>
  <si>
    <t>134-38-8020</t>
  </si>
  <si>
    <t>298-46-7618</t>
  </si>
  <si>
    <t>088-84-0952</t>
  </si>
  <si>
    <t>117-94-1513</t>
  </si>
  <si>
    <t>124-62-4280</t>
  </si>
  <si>
    <t>122-54-8240</t>
  </si>
  <si>
    <t>154-80-2575</t>
  </si>
  <si>
    <t>054-82-1812</t>
  </si>
  <si>
    <t>125-50-5098</t>
  </si>
  <si>
    <t>363-11-2780</t>
  </si>
  <si>
    <t>271-90-2149</t>
  </si>
  <si>
    <t>078-82-0956</t>
  </si>
  <si>
    <t>373-94-2514</t>
  </si>
  <si>
    <t>130-64-2142</t>
  </si>
  <si>
    <t>141-78-4009</t>
  </si>
  <si>
    <t>065-90-5963</t>
  </si>
  <si>
    <t>129-62-9716</t>
  </si>
  <si>
    <t>101-82-7699</t>
  </si>
  <si>
    <t>057-88-6806</t>
  </si>
  <si>
    <t>063-34-8571</t>
  </si>
  <si>
    <t>113-40-8268</t>
  </si>
  <si>
    <t>428-66-0813</t>
  </si>
  <si>
    <t>107-64-9982</t>
  </si>
  <si>
    <t>122-86-7356</t>
  </si>
  <si>
    <t>053-82-0475</t>
  </si>
  <si>
    <t>066-80-6069</t>
  </si>
  <si>
    <t>076-68-4649</t>
  </si>
  <si>
    <t>078-80-9089</t>
  </si>
  <si>
    <t>127-94-8649</t>
  </si>
  <si>
    <t>583-02-0269</t>
  </si>
  <si>
    <t>636-56-7451</t>
  </si>
  <si>
    <t>081-78-1130</t>
  </si>
  <si>
    <t>118-82-4229</t>
  </si>
  <si>
    <t>111-62-8620</t>
  </si>
  <si>
    <t>458-96-8269</t>
  </si>
  <si>
    <t>063-56-5490</t>
  </si>
  <si>
    <t>067-58-8394</t>
  </si>
  <si>
    <t>100-42-0062</t>
  </si>
  <si>
    <t>056-50-4503</t>
  </si>
  <si>
    <t>101-50-5485</t>
  </si>
  <si>
    <t>050-72-3686</t>
  </si>
  <si>
    <t>059-74-5659</t>
  </si>
  <si>
    <t>599-40-8062</t>
  </si>
  <si>
    <t>127-76-3882</t>
  </si>
  <si>
    <t>052-88-8572</t>
  </si>
  <si>
    <t>058-46-8134</t>
  </si>
  <si>
    <t>056-64-0265</t>
  </si>
  <si>
    <t>124-68-9553</t>
  </si>
  <si>
    <t>000-00-0113</t>
  </si>
  <si>
    <t>088-68-0053</t>
  </si>
  <si>
    <t>256-76-5626</t>
  </si>
  <si>
    <t>092-80-0572</t>
  </si>
  <si>
    <t>131-70-9663</t>
  </si>
  <si>
    <t>096-62-2838</t>
  </si>
  <si>
    <t>099-44-7840</t>
  </si>
  <si>
    <t>108-84-0160</t>
  </si>
  <si>
    <t>116-68-4095</t>
  </si>
  <si>
    <t>585-96-5440</t>
  </si>
  <si>
    <t>110-82-6845</t>
  </si>
  <si>
    <t>075-92-6984</t>
  </si>
  <si>
    <t>217-27-9174</t>
  </si>
  <si>
    <t>062-94-6814</t>
  </si>
  <si>
    <t>057-02-6827</t>
  </si>
  <si>
    <t>117-64-2014</t>
  </si>
  <si>
    <t>110-52-7215</t>
  </si>
  <si>
    <t>057-90-3691</t>
  </si>
  <si>
    <t>068-84-7940</t>
  </si>
  <si>
    <t>063-78-4635</t>
  </si>
  <si>
    <t>057-84-7972</t>
  </si>
  <si>
    <t>106-88-3860</t>
  </si>
  <si>
    <t>102-96-8739</t>
  </si>
  <si>
    <t>099-48-2014</t>
  </si>
  <si>
    <t>062-40-6843</t>
  </si>
  <si>
    <t>078-88-1476</t>
  </si>
  <si>
    <t>121-70-3303</t>
  </si>
  <si>
    <t>130-36-7286</t>
  </si>
  <si>
    <t>093-62-0854</t>
  </si>
  <si>
    <t>876-85-4460</t>
  </si>
  <si>
    <t>456-41-1535</t>
  </si>
  <si>
    <t>082-68-1332</t>
  </si>
  <si>
    <t>058-48-9956</t>
  </si>
  <si>
    <t>104-40-3787</t>
  </si>
  <si>
    <t>000-00-7736</t>
  </si>
  <si>
    <t>055-94-2834</t>
  </si>
  <si>
    <t>125-82-8188</t>
  </si>
  <si>
    <t>635-54-7020</t>
  </si>
  <si>
    <t>183-62-5011</t>
  </si>
  <si>
    <t>065-58-8771</t>
  </si>
  <si>
    <t>093-66-6910</t>
  </si>
  <si>
    <t>054-58-8420</t>
  </si>
  <si>
    <t>122-64-8572</t>
  </si>
  <si>
    <t>584-08-0937</t>
  </si>
  <si>
    <t>121-70-1541</t>
  </si>
  <si>
    <t>052-76-2053</t>
  </si>
  <si>
    <t>092-80-9749</t>
  </si>
  <si>
    <t>074-80-2152</t>
  </si>
  <si>
    <t>050-38-5481</t>
  </si>
  <si>
    <t>113-40-7839</t>
  </si>
  <si>
    <t>073-90-7325</t>
  </si>
  <si>
    <t>176-70-4504</t>
  </si>
  <si>
    <t>080-72-5732</t>
  </si>
  <si>
    <t>068-94-1417</t>
  </si>
  <si>
    <t>123-06-3023</t>
  </si>
  <si>
    <t>077-44-3456</t>
  </si>
  <si>
    <t>068-48-5106</t>
  </si>
  <si>
    <t>078-78-2959</t>
  </si>
  <si>
    <t>941-88-0186</t>
  </si>
  <si>
    <t>582-21-6737</t>
  </si>
  <si>
    <t>112-52-5280</t>
  </si>
  <si>
    <t>121-52-0249</t>
  </si>
  <si>
    <t>060-84-5387</t>
  </si>
  <si>
    <t>114-96-7551</t>
  </si>
  <si>
    <t>059-86-4419</t>
  </si>
  <si>
    <t>108-72-5217</t>
  </si>
  <si>
    <t>128-82-2653</t>
  </si>
  <si>
    <t>597-36-3875</t>
  </si>
  <si>
    <t>000-00-0689</t>
  </si>
  <si>
    <t>066-34-0058</t>
  </si>
  <si>
    <t>118-56-7529</t>
  </si>
  <si>
    <t>077-68-9112</t>
  </si>
  <si>
    <t>169-85-9123</t>
  </si>
  <si>
    <t>118-60-6274</t>
  </si>
  <si>
    <t>092-82-5643</t>
  </si>
  <si>
    <t>345-57-9878</t>
  </si>
  <si>
    <t>109-86-8864</t>
  </si>
  <si>
    <t>114-72-1299</t>
  </si>
  <si>
    <t>134-82-4930</t>
  </si>
  <si>
    <t>091-80-8140</t>
  </si>
  <si>
    <t>000-00-4906</t>
  </si>
  <si>
    <t>000-00-0335</t>
  </si>
  <si>
    <t>125-64-7009</t>
  </si>
  <si>
    <t>584-65-9244</t>
  </si>
  <si>
    <t>146-22-0296</t>
  </si>
  <si>
    <t>000-00-7217</t>
  </si>
  <si>
    <t>058-90-5861</t>
  </si>
  <si>
    <t>082-72-7245</t>
  </si>
  <si>
    <t>127-48-3860</t>
  </si>
  <si>
    <t>132-54-6263</t>
  </si>
  <si>
    <t>052-46-3502</t>
  </si>
  <si>
    <t>101-62-0409</t>
  </si>
  <si>
    <t>119-98-8759</t>
  </si>
  <si>
    <t>060-86-7628</t>
  </si>
  <si>
    <t>131-58-5999</t>
  </si>
  <si>
    <t>121-90-2636</t>
  </si>
  <si>
    <t>083-96-6084</t>
  </si>
  <si>
    <t>055-76-8328</t>
  </si>
  <si>
    <t>080-52-1219</t>
  </si>
  <si>
    <t>282-60-1288</t>
  </si>
  <si>
    <t>100-58-9386</t>
  </si>
  <si>
    <t>062-56-8545</t>
  </si>
  <si>
    <t>597-46-8372</t>
  </si>
  <si>
    <t>058-50-2701</t>
  </si>
  <si>
    <t>000-00-2380</t>
  </si>
  <si>
    <t>554-57-1707</t>
  </si>
  <si>
    <t>131-84-1228</t>
  </si>
  <si>
    <t>000-00-0517</t>
  </si>
  <si>
    <t>134-72-4009</t>
  </si>
  <si>
    <t>127-76-5318</t>
  </si>
  <si>
    <t>069-64-1702</t>
  </si>
  <si>
    <t>078-32-4351</t>
  </si>
  <si>
    <t>057-82-0343</t>
  </si>
  <si>
    <t>058-58-7362</t>
  </si>
  <si>
    <t>072-64-3241</t>
  </si>
  <si>
    <t>083-62-4223</t>
  </si>
  <si>
    <t>052-88-0423</t>
  </si>
  <si>
    <t>092-70-1855</t>
  </si>
  <si>
    <t>141-98-1839</t>
  </si>
  <si>
    <t>058-62-8269</t>
  </si>
  <si>
    <t>134-36-7279</t>
  </si>
  <si>
    <t>077-64-1756</t>
  </si>
  <si>
    <t>057-58-5305</t>
  </si>
  <si>
    <t>103-82-4642</t>
  </si>
  <si>
    <t>597-16-7469</t>
  </si>
  <si>
    <t>085-74-0537</t>
  </si>
  <si>
    <t>119-85-5849</t>
  </si>
  <si>
    <t>070-60-6582</t>
  </si>
  <si>
    <t>214-55-6004</t>
  </si>
  <si>
    <t>204-50-7118</t>
  </si>
  <si>
    <t>139-56-3954</t>
  </si>
  <si>
    <t>077-64-3851</t>
  </si>
  <si>
    <t>077-84-3625</t>
  </si>
  <si>
    <t>067-74-6279</t>
  </si>
  <si>
    <t>092-76-6481</t>
  </si>
  <si>
    <t>070-90-8978</t>
  </si>
  <si>
    <t>582-80-4582</t>
  </si>
  <si>
    <t>066-58-5155</t>
  </si>
  <si>
    <t>128-28-3667</t>
  </si>
  <si>
    <t>129-78-7469</t>
  </si>
  <si>
    <t>060-72-9151</t>
  </si>
  <si>
    <t>122-26-4117</t>
  </si>
  <si>
    <t>157-64-5403</t>
  </si>
  <si>
    <t>113-62-4848</t>
  </si>
  <si>
    <t>581-53-2280</t>
  </si>
  <si>
    <t>073-50-8454</t>
  </si>
  <si>
    <t>130-64-0671</t>
  </si>
  <si>
    <t>086-74-6982</t>
  </si>
  <si>
    <t>117-78-5963</t>
  </si>
  <si>
    <t>072-82-5915</t>
  </si>
  <si>
    <t>096-88-6073</t>
  </si>
  <si>
    <t>113-60-7510</t>
  </si>
  <si>
    <t>122-60-1755</t>
  </si>
  <si>
    <t>102-82-1491</t>
  </si>
  <si>
    <t>055-56-6934</t>
  </si>
  <si>
    <t>113-72-4906</t>
  </si>
  <si>
    <t>118-96-8895</t>
  </si>
  <si>
    <t>121-84-8351</t>
  </si>
  <si>
    <t>058-46-6359</t>
  </si>
  <si>
    <t>099-62-8279</t>
  </si>
  <si>
    <t>123-68-9577</t>
  </si>
  <si>
    <t>443-66-9352</t>
  </si>
  <si>
    <t>084-74-4436</t>
  </si>
  <si>
    <t>231-02-6878</t>
  </si>
  <si>
    <t>151-88-8002</t>
  </si>
  <si>
    <t>075-44-2502</t>
  </si>
  <si>
    <t>134-72-8749</t>
  </si>
  <si>
    <t>126-52-5074</t>
  </si>
  <si>
    <t>110-74-3529</t>
  </si>
  <si>
    <t>109-82-8251</t>
  </si>
  <si>
    <t>062-88-4934</t>
  </si>
  <si>
    <t>093-66-0720</t>
  </si>
  <si>
    <t>077-56-9567</t>
  </si>
  <si>
    <t>116-60-1839</t>
  </si>
  <si>
    <t>133-70-7704</t>
  </si>
  <si>
    <t>130-62-5630</t>
  </si>
  <si>
    <t>060-50-7936</t>
  </si>
  <si>
    <t>074-62-1096</t>
  </si>
  <si>
    <t>133-64-1041</t>
  </si>
  <si>
    <t>000-00-1957</t>
  </si>
  <si>
    <t>075-56-0351</t>
  </si>
  <si>
    <t>054-36-0501</t>
  </si>
  <si>
    <t>132-56-5821</t>
  </si>
  <si>
    <t>370-02-4297</t>
  </si>
  <si>
    <t>111-80-3440</t>
  </si>
  <si>
    <t>188-58-9353</t>
  </si>
  <si>
    <t>713-31-4528</t>
  </si>
  <si>
    <t>065-82-8806</t>
  </si>
  <si>
    <t>590-88-6973</t>
  </si>
  <si>
    <t>063-88-5626</t>
  </si>
  <si>
    <t>248-86-3572</t>
  </si>
  <si>
    <t>000-00-9307</t>
  </si>
  <si>
    <t>095-76-6486</t>
  </si>
  <si>
    <t>083-74-1388</t>
  </si>
  <si>
    <t>030-58-4547</t>
  </si>
  <si>
    <t>157-52-9303</t>
  </si>
  <si>
    <t>076-58-3823</t>
  </si>
  <si>
    <t>056-80-1339</t>
  </si>
  <si>
    <t>012-72-5438</t>
  </si>
  <si>
    <t>585-52-6909</t>
  </si>
  <si>
    <t>089-62-3062</t>
  </si>
  <si>
    <t>088-63-6249</t>
  </si>
  <si>
    <t>130-66-2477</t>
  </si>
  <si>
    <t>553-75-7115</t>
  </si>
  <si>
    <t>094-54-2184</t>
  </si>
  <si>
    <t>106-36-5349</t>
  </si>
  <si>
    <t>051-44-8078</t>
  </si>
  <si>
    <t>062-66-2678</t>
  </si>
  <si>
    <t>067-56-9535</t>
  </si>
  <si>
    <t>081-88-5295</t>
  </si>
  <si>
    <t>077-84-1469</t>
  </si>
  <si>
    <t>096-36-5787</t>
  </si>
  <si>
    <t>087-58-5089</t>
  </si>
  <si>
    <t>097-84-4014</t>
  </si>
  <si>
    <t>066-58-0254</t>
  </si>
  <si>
    <t>075-68-6088</t>
  </si>
  <si>
    <t>096-54-0772</t>
  </si>
  <si>
    <t>082-74-6481</t>
  </si>
  <si>
    <t>108-56-0491</t>
  </si>
  <si>
    <t>098-48-1323</t>
  </si>
  <si>
    <t>128-80-5920</t>
  </si>
  <si>
    <t>066-64-0282</t>
  </si>
  <si>
    <t>075-60-9470</t>
  </si>
  <si>
    <t>110-90-6388</t>
  </si>
  <si>
    <t>100-80-4498</t>
  </si>
  <si>
    <t>202-42-6891</t>
  </si>
  <si>
    <t>539-06-9985</t>
  </si>
  <si>
    <t>289-49-7159</t>
  </si>
  <si>
    <t>066-58-0343</t>
  </si>
  <si>
    <t>070-34-1192</t>
  </si>
  <si>
    <t>133-98-8208</t>
  </si>
  <si>
    <t>092-68-6288</t>
  </si>
  <si>
    <t>060-80-7160</t>
  </si>
  <si>
    <t>412-61-1264</t>
  </si>
  <si>
    <t>128-40-3156</t>
  </si>
  <si>
    <t>081-26-4199</t>
  </si>
  <si>
    <t>105-86-3231</t>
  </si>
  <si>
    <t>107-60-0295</t>
  </si>
  <si>
    <t>054-96-0616</t>
  </si>
  <si>
    <t>060-36-0589</t>
  </si>
  <si>
    <t>076-90-0840</t>
  </si>
  <si>
    <t>108-24-6957</t>
  </si>
  <si>
    <t>094-68-2829</t>
  </si>
  <si>
    <t>053-70-0698</t>
  </si>
  <si>
    <t>052-96-3480</t>
  </si>
  <si>
    <t>073-56-2898</t>
  </si>
  <si>
    <t>513-79-4535</t>
  </si>
  <si>
    <t>080-78-7731</t>
  </si>
  <si>
    <t>262-63-6872</t>
  </si>
  <si>
    <t>053-42-3949</t>
  </si>
  <si>
    <t>061-82-9718</t>
  </si>
  <si>
    <t>029-64-8922</t>
  </si>
  <si>
    <t>095-64-6584</t>
  </si>
  <si>
    <t>055-48-9082</t>
  </si>
  <si>
    <t>589-96-3660</t>
  </si>
  <si>
    <t>054-66-7213</t>
  </si>
  <si>
    <t>133-70-2172</t>
  </si>
  <si>
    <t>422-54-6311</t>
  </si>
  <si>
    <t>085-70-3876</t>
  </si>
  <si>
    <t>130-62-1338</t>
  </si>
  <si>
    <t>070-44-8371</t>
  </si>
  <si>
    <t>060-86-2355</t>
  </si>
  <si>
    <t>091-56-0965</t>
  </si>
  <si>
    <t>055-80-1799</t>
  </si>
  <si>
    <t>116-72-0993</t>
  </si>
  <si>
    <t>017-54-8746</t>
  </si>
  <si>
    <t>383-87-9795</t>
  </si>
  <si>
    <t>050-38-4885</t>
  </si>
  <si>
    <t>131-66-4155</t>
  </si>
  <si>
    <t>125-44-0821</t>
  </si>
  <si>
    <t>106-62-5375</t>
  </si>
  <si>
    <t>076-66-4585</t>
  </si>
  <si>
    <t>104-20-7294</t>
  </si>
  <si>
    <t>076-74-6615</t>
  </si>
  <si>
    <t>105-94-0219</t>
  </si>
  <si>
    <t>056-40-1275</t>
  </si>
  <si>
    <t>072-74-4553</t>
  </si>
  <si>
    <t>133-68-0834</t>
  </si>
  <si>
    <t>062-94-0416</t>
  </si>
  <si>
    <t>077-70-7752</t>
  </si>
  <si>
    <t>584-70-7254</t>
  </si>
  <si>
    <t>065-60-8511</t>
  </si>
  <si>
    <t>259-14-8787</t>
  </si>
  <si>
    <t>117-70-7974</t>
  </si>
  <si>
    <t>044-36-8581</t>
  </si>
  <si>
    <t>086-66-2650</t>
  </si>
  <si>
    <t>079-88-3563</t>
  </si>
  <si>
    <t>560-85-9457</t>
  </si>
  <si>
    <t>064-66-6893</t>
  </si>
  <si>
    <t>072-56-2719</t>
  </si>
  <si>
    <t>122-56-8086</t>
  </si>
  <si>
    <t>094-54-4763</t>
  </si>
  <si>
    <t>000-00-9398</t>
  </si>
  <si>
    <t>099-68-1862</t>
  </si>
  <si>
    <t>117-92-3511</t>
  </si>
  <si>
    <t>077-84-0042</t>
  </si>
  <si>
    <t>124-32-5100</t>
  </si>
  <si>
    <t>098-20-6546</t>
  </si>
  <si>
    <t>111-60-9031</t>
  </si>
  <si>
    <t>300-29-0231</t>
  </si>
  <si>
    <t>122-86-2625</t>
  </si>
  <si>
    <t>374-96-6138</t>
  </si>
  <si>
    <t>098-48-3960</t>
  </si>
  <si>
    <t>105-58-9177</t>
  </si>
  <si>
    <t>060-36-3289</t>
  </si>
  <si>
    <t>087-64-4202</t>
  </si>
  <si>
    <t>277-68-8219</t>
  </si>
  <si>
    <t>051-56-8784</t>
  </si>
  <si>
    <t>101-82-8213</t>
  </si>
  <si>
    <t>102-78-1119</t>
  </si>
  <si>
    <t>074-68-3568</t>
  </si>
  <si>
    <t>078-66-7307</t>
  </si>
  <si>
    <t>092-42-4369</t>
  </si>
  <si>
    <t>131-40-4187</t>
  </si>
  <si>
    <t>097-70-8157</t>
  </si>
  <si>
    <t>017-74-5779</t>
  </si>
  <si>
    <t>108-48-9505</t>
  </si>
  <si>
    <t>131-78-0295</t>
  </si>
  <si>
    <t>353-76-3637</t>
  </si>
  <si>
    <t>126-88-2671</t>
  </si>
  <si>
    <t>078-58-3565</t>
  </si>
  <si>
    <t>043-90-5832</t>
  </si>
  <si>
    <t>118-44-9523</t>
  </si>
  <si>
    <t>239-64-3026</t>
  </si>
  <si>
    <t>256-24-9496</t>
  </si>
  <si>
    <t>108-78-8589</t>
  </si>
  <si>
    <t>082-40-5903</t>
  </si>
  <si>
    <t>254-83-0071</t>
  </si>
  <si>
    <t>115-62-9440</t>
  </si>
  <si>
    <t>111-62-0414</t>
  </si>
  <si>
    <t>177-42-0513</t>
  </si>
  <si>
    <t>456-79-2082</t>
  </si>
  <si>
    <t>248-11-9611</t>
  </si>
  <si>
    <t>118-74-4760</t>
  </si>
  <si>
    <t>543-45-6906</t>
  </si>
  <si>
    <t>077-70-2876</t>
  </si>
  <si>
    <t>058-60-5720</t>
  </si>
  <si>
    <t>117-64-9588</t>
  </si>
  <si>
    <t>159-29-5522</t>
  </si>
  <si>
    <t>647-96-2587</t>
  </si>
  <si>
    <t>060-68-6561</t>
  </si>
  <si>
    <t>119-60-6408</t>
  </si>
  <si>
    <t>594-10-3068</t>
  </si>
  <si>
    <t>078-70-1165</t>
  </si>
  <si>
    <t>149-90-5428</t>
  </si>
  <si>
    <t>138-32-3136</t>
  </si>
  <si>
    <t>073-52-6542</t>
  </si>
  <si>
    <t>121-66-7696</t>
  </si>
  <si>
    <t>260-61-1436</t>
  </si>
  <si>
    <t>080-94-3683</t>
  </si>
  <si>
    <t>228-15-2951</t>
  </si>
  <si>
    <t>563-77-9158</t>
  </si>
  <si>
    <t>614-50-5948</t>
  </si>
  <si>
    <t>077-78-6123</t>
  </si>
  <si>
    <t>549-65-2208</t>
  </si>
  <si>
    <t>306-92-3236</t>
  </si>
  <si>
    <t>092-72-5970</t>
  </si>
  <si>
    <t>121-68-0346</t>
  </si>
  <si>
    <t>128-46-2435</t>
  </si>
  <si>
    <t>172-54-7783</t>
  </si>
  <si>
    <t>632-18-9677</t>
  </si>
  <si>
    <t>101-76-1048</t>
  </si>
  <si>
    <t>102-98-6344</t>
  </si>
  <si>
    <t>050-38-2766</t>
  </si>
  <si>
    <t>130-80-4496</t>
  </si>
  <si>
    <t>116-50-0917</t>
  </si>
  <si>
    <t>154-50-2433</t>
  </si>
  <si>
    <t>233-25-0747</t>
  </si>
  <si>
    <t>624-50-1872</t>
  </si>
  <si>
    <t>058-78-8018</t>
  </si>
  <si>
    <t>009-74-0590</t>
  </si>
  <si>
    <t>230-63-1094</t>
  </si>
  <si>
    <t>028-52-0629</t>
  </si>
  <si>
    <t>090-50-2380</t>
  </si>
  <si>
    <t>054-74-3321</t>
  </si>
  <si>
    <t>319-62-8269</t>
  </si>
  <si>
    <t>555-97-1673</t>
  </si>
  <si>
    <t>131-72-5981</t>
  </si>
  <si>
    <t>758-77-6626</t>
  </si>
  <si>
    <t>636-30-9073</t>
  </si>
  <si>
    <t>088-76-9243</t>
  </si>
  <si>
    <t>058-66-8294</t>
  </si>
  <si>
    <t>078-62-4116</t>
  </si>
  <si>
    <t>220-88-5955</t>
  </si>
  <si>
    <t>175-66-9812</t>
  </si>
  <si>
    <t>684-72-6783</t>
  </si>
  <si>
    <t>127-42-8355</t>
  </si>
  <si>
    <t>107-46-5578</t>
  </si>
  <si>
    <t>106-48-4610</t>
  </si>
  <si>
    <t>430-59-6891</t>
  </si>
  <si>
    <t>118-64-4220</t>
  </si>
  <si>
    <t>Rent Stabilized</t>
  </si>
  <si>
    <t>Mitchell-Lama</t>
  </si>
  <si>
    <t>Unregulated</t>
  </si>
  <si>
    <t>Rent Controlled</t>
  </si>
  <si>
    <t>Unknown</t>
  </si>
  <si>
    <t>Project-based Sec. 8</t>
  </si>
  <si>
    <t>Unregulated – Co-Op</t>
  </si>
  <si>
    <t>Public Housing</t>
  </si>
  <si>
    <t>Public Housing/NYCHA</t>
  </si>
  <si>
    <t>Other Subsidized Housing</t>
  </si>
  <si>
    <t>Low Income Tax Credit</t>
  </si>
  <si>
    <t>HDFC</t>
  </si>
  <si>
    <t>Supportive Housing</t>
  </si>
  <si>
    <t>Unregulated – Sublet</t>
  </si>
  <si>
    <t>Tenant-interim-lease</t>
  </si>
  <si>
    <t>Section 8</t>
  </si>
  <si>
    <t>FEPS</t>
  </si>
  <si>
    <t>DRIE/SCRIE</t>
  </si>
  <si>
    <t>SEPS</t>
  </si>
  <si>
    <t>HUD VASH</t>
  </si>
  <si>
    <t>HASA</t>
  </si>
  <si>
    <t>City FEPS</t>
  </si>
  <si>
    <t>Pathways Home</t>
  </si>
  <si>
    <t>03/16/2017</t>
  </si>
  <si>
    <t>02/23/2017</t>
  </si>
  <si>
    <t>09/17/2017</t>
  </si>
  <si>
    <t>01/01/2017</t>
  </si>
  <si>
    <t>08/31/2017</t>
  </si>
  <si>
    <t>03/19/2017</t>
  </si>
  <si>
    <t>07/11/2018</t>
  </si>
  <si>
    <t>01/10/2019</t>
  </si>
  <si>
    <t>04/05/2019</t>
  </si>
  <si>
    <t>FJC Waiver</t>
  </si>
  <si>
    <t>Income Waiver</t>
  </si>
  <si>
    <t>CAT1: HRA Referral</t>
  </si>
  <si>
    <t>Zip Code Waiver</t>
  </si>
  <si>
    <t>CAT3: Cases Involving Rent-Regulated Housing Or Housing Subsidies Vouchers</t>
  </si>
  <si>
    <t>English</t>
  </si>
  <si>
    <t>Spanish</t>
  </si>
  <si>
    <t>Arabic</t>
  </si>
  <si>
    <t>Italian</t>
  </si>
  <si>
    <t>Russian</t>
  </si>
  <si>
    <t>Mandarin</t>
  </si>
  <si>
    <t>Cantonese</t>
  </si>
  <si>
    <t>Samoan</t>
  </si>
  <si>
    <t>Chinese –Simplified (Written)</t>
  </si>
  <si>
    <t>French Creole</t>
  </si>
  <si>
    <t>Chinese/Mandarin</t>
  </si>
  <si>
    <t>French</t>
  </si>
  <si>
    <t>Dutch</t>
  </si>
  <si>
    <t>Amer. Sign Lang.</t>
  </si>
  <si>
    <t>Turkish</t>
  </si>
  <si>
    <t>Creole</t>
  </si>
  <si>
    <t>HRA budget ltr</t>
  </si>
  <si>
    <t>No DHCI- PA number</t>
  </si>
  <si>
    <t>did not provide SS #</t>
  </si>
  <si>
    <t>no retainer signed</t>
  </si>
  <si>
    <t>refused to give SS#</t>
  </si>
  <si>
    <t>advice over phone.</t>
  </si>
  <si>
    <t>no formed signed opended by shang</t>
  </si>
  <si>
    <t>non permanent resident dv victim</t>
  </si>
  <si>
    <t>non-resident. DV victim</t>
  </si>
  <si>
    <t>DV-No SSN</t>
  </si>
  <si>
    <t>Client provided last 4 digits of SS# but declined to provide in its entirety.</t>
  </si>
  <si>
    <t>Client did not provide SS#.</t>
  </si>
  <si>
    <t>NO DHCI form</t>
  </si>
  <si>
    <t>Client provided last 4 digits of SS# but declined to provide in its entirety;  case did not include any housing activity indicators.</t>
  </si>
  <si>
    <t>Needs an Updated DHCI Form</t>
  </si>
  <si>
    <t>Did not provide SS #</t>
  </si>
  <si>
    <t>refused to give ss#</t>
  </si>
  <si>
    <t>SS # not provided</t>
  </si>
  <si>
    <t>no forms signed</t>
  </si>
  <si>
    <t>compliance doc 18-1877190</t>
  </si>
  <si>
    <t>refused to give me SS#</t>
  </si>
  <si>
    <t>no signed retainer</t>
  </si>
  <si>
    <t>Refused to give SS#</t>
  </si>
  <si>
    <t>HPD Termination proceeding, no case number.</t>
  </si>
  <si>
    <t>PVT house</t>
  </si>
  <si>
    <t>client refuses to call me back with missing info</t>
  </si>
  <si>
    <t>did not provide ss #</t>
  </si>
  <si>
    <t>no show for her appt</t>
  </si>
  <si>
    <t>no citizenship signed</t>
  </si>
  <si>
    <t>Pvt house</t>
  </si>
  <si>
    <t>tamella was unable to get  her to come in and sign forms</t>
  </si>
  <si>
    <t>no forms for this client</t>
  </si>
  <si>
    <t>client refused to give social</t>
  </si>
  <si>
    <t>file missing, client withdrew</t>
  </si>
  <si>
    <t>no DHCI-PA number</t>
  </si>
  <si>
    <t>LS HH COm does not match DHCI</t>
  </si>
  <si>
    <t>no forms</t>
  </si>
  <si>
    <t>Did not provide ss #</t>
  </si>
  <si>
    <t>client refused to give SS#</t>
  </si>
  <si>
    <t>LPR</t>
  </si>
  <si>
    <t>no SS # provided</t>
  </si>
  <si>
    <t>did not provide SS#</t>
  </si>
  <si>
    <t>Counsel Assisted in Filing or Refiling of Answer</t>
  </si>
  <si>
    <t>Filed/Argued/Supplemented Dispositive or other Substantive Motion</t>
  </si>
  <si>
    <t>Filed for an Emergency Order to Show Cause</t>
  </si>
  <si>
    <t>Commenced Trial, Counsel Assisted in Filing or Refiling of Answer, Filed/Argued/Supplemented Dispositive or other Substantive Motion</t>
  </si>
  <si>
    <t>Filed/Argued/Supplemented Dispositive or other Substantive Motion, Filed for an Emergency Order to Show Cause</t>
  </si>
  <si>
    <t>Counsel Assisted in Filing or Refiling of Answer, Filed/Argued/Supplemented Dispositive or other Substantive Motion</t>
  </si>
  <si>
    <t>Commenced Trial</t>
  </si>
  <si>
    <t>Commenced Trial, Conducted Evidentiary Hearing, Counsel Assisted in Filing or Refiling of Answer, Filed/Argued/Supplemented Dispositive or other Substantive Motion</t>
  </si>
  <si>
    <t>Conducted Evidentiary Hearing</t>
  </si>
  <si>
    <t>Case Discontinued/Dismissed/Landlord Fails to Prosecute</t>
  </si>
  <si>
    <t>Case Discontinued/Dismissed/Landlord Fails to Prosecute, Case Resolved without Judgment of Eviction Against Client, Secured Order or Agreement for Repairs in Apartment/Building, Secured Rent Abatement, Secured Rent Reduction</t>
  </si>
  <si>
    <t>Case Discontinued/Dismissed/Landlord Fails to Prosecute, Obtained Succession Rights to Residence</t>
  </si>
  <si>
    <t>Secured Order or Agreement for Repairs in Apartment/Building</t>
  </si>
  <si>
    <t>Case Resolved without Judgment of Eviction Against Client, Other, Secured Rent Reduction</t>
  </si>
  <si>
    <t>Case Discontinued/Dismissed/Landlord Fails to Prosecute, Case Resolved without Judgment of Eviction Against Client</t>
  </si>
  <si>
    <t>Case Discontinued/Dismissed/Landlord Fails to Prosecute, Case Resolved without Judgment of Eviction Against Client, Secured Rent Abatement</t>
  </si>
  <si>
    <t>Secured Rent Abatement</t>
  </si>
  <si>
    <t>Case Resolved without Judgment of Eviction Against Client</t>
  </si>
  <si>
    <t>Case Discontinued/Dismissed/Landlord Fails to Prosecute, Case Resolved without Judgment of Eviction Against Client, Obtained Succession Rights to Residence, Secured Order or Agreement for Repairs in Apartment/Building, Secured Rent Reduction</t>
  </si>
  <si>
    <t>Secured 6 Months or Longer in Residence</t>
  </si>
  <si>
    <t>Case Discontinued/Dismissed/Landlord Fails to Prosecute, Obtained Renewal of Lease, Obtained Succession Rights to Residence, Secured Order or Agreement for Repairs in Apartment/Building</t>
  </si>
  <si>
    <t>Case Discontinued/Dismissed/Landlord Fails to Prosecute, Other</t>
  </si>
  <si>
    <t>Obtain Ongoing Rent Subsidy</t>
  </si>
  <si>
    <t>Obtained Succession Rights to Residence</t>
  </si>
  <si>
    <t>Secured Order or Agreement for Repairs in Apartment/Building, Secured Rent Abatement</t>
  </si>
  <si>
    <t>Case Discontinued/Dismissed/Landlord Fails to Prosecute, Case Resolved without Judgment of Eviction Against Client, Secured Order or Agreement for Repairs in Apartment/Building, Secured Rent Abatement</t>
  </si>
  <si>
    <t>Case Discontinued/Dismissed/Landlord Fails to Prosecute, Case Resolved without Judgment of Eviction Against Client, Secured Order or Agreement for Repairs in Apartment/Building</t>
  </si>
  <si>
    <t>Obtained Negotiated Buyout</t>
  </si>
  <si>
    <t>Case Discontinued/Dismissed/Landlord Fails to Prosecute, Case Resolved without Judgment of Eviction Against Client, Other</t>
  </si>
  <si>
    <t>Case Discontinued/Dismissed/Landlord Fails to Prosecute, Returned Unit to Rent Regulation, Secured Rent Abatement, Secured Rent Reduction</t>
  </si>
  <si>
    <t>Obtained Renewal of Lease, Obtained Succession Rights to Residence</t>
  </si>
  <si>
    <t>Case Discontinued/Dismissed/Landlord Fails to Prosecute, Secured Rent Abatement</t>
  </si>
  <si>
    <t>Case Resolved without Judgment of Eviction Against Client, Secured Rent Abatement</t>
  </si>
  <si>
    <t>Case Resolved without Judgment of Eviction Against Client, Secured Order or Agreement for Repairs in Apartment/Building, Secured Rent Abatement</t>
  </si>
  <si>
    <t>Case Discontinued/Dismissed/Landlord Fails to Prosecute, Secured Order or Agreement for Repairs in Apartment/Building, Secured Rent Abatement</t>
  </si>
  <si>
    <t>Client Allowed to Remain in Residence</t>
  </si>
  <si>
    <t>Client Required to be Displaced from Residence</t>
  </si>
  <si>
    <t>Attorney Withdrew</t>
  </si>
  <si>
    <t>2018-03-23</t>
  </si>
  <si>
    <t>2018-12-03</t>
  </si>
  <si>
    <t>2018-07-31</t>
  </si>
  <si>
    <t>2019-02-28</t>
  </si>
  <si>
    <t>2018-01-11</t>
  </si>
  <si>
    <t>2017-06-28</t>
  </si>
  <si>
    <t>2018-09-18</t>
  </si>
  <si>
    <t>2018-01-30</t>
  </si>
  <si>
    <t>2019-06-26</t>
  </si>
  <si>
    <t>2018-10-16</t>
  </si>
  <si>
    <t>2019-03-28</t>
  </si>
  <si>
    <t>2018-11-08</t>
  </si>
  <si>
    <t>2019-04-09</t>
  </si>
  <si>
    <t>2019-04-05</t>
  </si>
  <si>
    <t>2018-11-30</t>
  </si>
  <si>
    <t>2018-02-05</t>
  </si>
  <si>
    <t>2019-06-28</t>
  </si>
  <si>
    <t>2017-11-30</t>
  </si>
  <si>
    <t>2017-11-01</t>
  </si>
  <si>
    <t>2018-10-01</t>
  </si>
  <si>
    <t>2018-11-21</t>
  </si>
  <si>
    <t>2019-01-25</t>
  </si>
  <si>
    <t>2019-04-12</t>
  </si>
  <si>
    <t>2019-05-25</t>
  </si>
  <si>
    <t>2018-05-16</t>
  </si>
  <si>
    <t>2019-05-03</t>
  </si>
  <si>
    <t>2018-04-20</t>
  </si>
  <si>
    <t>2018-01-24</t>
  </si>
  <si>
    <t>2018-12-11</t>
  </si>
  <si>
    <t>2018-08-28</t>
  </si>
  <si>
    <t>2019-01-24</t>
  </si>
  <si>
    <t>2019-06-05</t>
  </si>
  <si>
    <t>2019-07-03</t>
  </si>
  <si>
    <t>2019-05-21</t>
  </si>
  <si>
    <t>2019-03-25</t>
  </si>
  <si>
    <t>2019-06-11</t>
  </si>
  <si>
    <t>2018-06-08</t>
  </si>
  <si>
    <t>2019-06-13</t>
  </si>
  <si>
    <t>2019-04-17</t>
  </si>
  <si>
    <t>2018-04-13</t>
  </si>
  <si>
    <t>2017-04-20</t>
  </si>
  <si>
    <t>2019-01-04</t>
  </si>
  <si>
    <t>2019-04-24</t>
  </si>
  <si>
    <t>2019-01-15</t>
  </si>
  <si>
    <t>2019-04-26</t>
  </si>
  <si>
    <t>2019-04-03</t>
  </si>
  <si>
    <t>2019-07-09</t>
  </si>
  <si>
    <t>2018-12-18</t>
  </si>
  <si>
    <t>2019-04-02</t>
  </si>
  <si>
    <t>2019-06-17</t>
  </si>
  <si>
    <t>11/02/2018</t>
  </si>
  <si>
    <t>07/06/2018</t>
  </si>
  <si>
    <t>05/20/2019</t>
  </si>
  <si>
    <t>04/25/2019</t>
  </si>
  <si>
    <t>03/02/2019</t>
  </si>
  <si>
    <t>02/25/2019</t>
  </si>
  <si>
    <t>06/28/2018</t>
  </si>
  <si>
    <t>01/30/2019</t>
  </si>
  <si>
    <t>08/11/2017</t>
  </si>
  <si>
    <t>07/03/2019</t>
  </si>
  <si>
    <t>11/05/2018</t>
  </si>
  <si>
    <t>01/04/2019</t>
  </si>
  <si>
    <t>02/02/2017</t>
  </si>
  <si>
    <t>06/07/2018</t>
  </si>
  <si>
    <t>01/23/2019</t>
  </si>
  <si>
    <t>04/17/2017</t>
  </si>
  <si>
    <t>04/12/2019</t>
  </si>
  <si>
    <t>12/06/2017</t>
  </si>
  <si>
    <t>10/18/2017</t>
  </si>
  <si>
    <t>10/16/2017</t>
  </si>
  <si>
    <t>07/05/2019</t>
  </si>
  <si>
    <t>03/07/2018</t>
  </si>
  <si>
    <t>07/31/2017</t>
  </si>
  <si>
    <t>01/13/2019</t>
  </si>
  <si>
    <t>08/11/2018</t>
  </si>
  <si>
    <t>10/25/2017</t>
  </si>
  <si>
    <t>05/09/2019</t>
  </si>
  <si>
    <t>11/12/2018</t>
  </si>
  <si>
    <t>11/21/2018</t>
  </si>
  <si>
    <t>09/15/2018</t>
  </si>
  <si>
    <t>09/23/2018</t>
  </si>
  <si>
    <t>08/20/2017</t>
  </si>
  <si>
    <t>04/28/2017</t>
  </si>
  <si>
    <t>01/08/2018</t>
  </si>
  <si>
    <t>04/23/2018</t>
  </si>
  <si>
    <t>01/27/2016</t>
  </si>
  <si>
    <t>03/30/2018</t>
  </si>
  <si>
    <t>10/24/2017</t>
  </si>
  <si>
    <t>11/22/2017</t>
  </si>
  <si>
    <t>03/16/2018</t>
  </si>
  <si>
    <t>06/11/2017</t>
  </si>
  <si>
    <t>09/18/2017</t>
  </si>
  <si>
    <t>11/20/2017</t>
  </si>
  <si>
    <t>07/17/2017</t>
  </si>
  <si>
    <t>06/11/2018</t>
  </si>
  <si>
    <t>08/25/2017</t>
  </si>
  <si>
    <t>04/28/2018</t>
  </si>
  <si>
    <t>12/04/2017</t>
  </si>
  <si>
    <t>06/22/2018</t>
  </si>
  <si>
    <t>11/08/2017</t>
  </si>
  <si>
    <t>11/26/2018</t>
  </si>
  <si>
    <t>02/06/2019</t>
  </si>
  <si>
    <t>03/15/2019</t>
  </si>
  <si>
    <t>05/13/2019</t>
  </si>
  <si>
    <t>08/03/2017</t>
  </si>
  <si>
    <t>09/22/2017</t>
  </si>
  <si>
    <t>Benitez, Vicenta</t>
  </si>
  <si>
    <t>Vergeli, Evelyn</t>
  </si>
  <si>
    <t>Garcia, Keiannis</t>
  </si>
  <si>
    <t>Morales-Robinson, Ana</t>
  </si>
  <si>
    <t>Velasquez, Diana</t>
  </si>
  <si>
    <t>Sanchez, Dennis</t>
  </si>
  <si>
    <t>Dong, Sean</t>
  </si>
  <si>
    <t>Santiago, Denya</t>
  </si>
  <si>
    <t>McDonald, Susan</t>
  </si>
  <si>
    <t>Diaz, Karla</t>
  </si>
  <si>
    <t>Hernandez, Jonathan</t>
  </si>
  <si>
    <t>Amponsah, Oheneba</t>
  </si>
  <si>
    <t>Pierre, Haenley</t>
  </si>
  <si>
    <t>Villanueva, Anthony</t>
  </si>
  <si>
    <t>Deolarte, Stephanie</t>
  </si>
  <si>
    <t>Sanchez, Ingrid</t>
  </si>
  <si>
    <t>Alexis, Jennifer</t>
  </si>
  <si>
    <t>Pujols, Isabel</t>
  </si>
  <si>
    <t>Ortega, Luis</t>
  </si>
  <si>
    <t>Garcia, Alexandra</t>
  </si>
  <si>
    <t>Baldova, Maria</t>
  </si>
  <si>
    <t>Djourab, Atteib</t>
  </si>
  <si>
    <t>Sequeira, Sofia</t>
  </si>
  <si>
    <t>Giller, Kyle</t>
  </si>
  <si>
    <t>Padilla, Andrew</t>
  </si>
  <si>
    <t>Wong, Angela</t>
  </si>
  <si>
    <t>Guzman Velazquez, Leida</t>
  </si>
  <si>
    <t>Allums, Kenneshea</t>
  </si>
  <si>
    <t>Garcia, Delci</t>
  </si>
  <si>
    <t>Yeasmin, Sarzah</t>
  </si>
  <si>
    <t>Zhou, Bohao</t>
  </si>
  <si>
    <t>Liu, Yu Jean</t>
  </si>
  <si>
    <t>Zhang, Yingzhou</t>
  </si>
  <si>
    <t>Agarwala, Shelly</t>
  </si>
  <si>
    <t>Salcedo, Luciris</t>
  </si>
  <si>
    <t>Lee, Soo Hyun</t>
  </si>
  <si>
    <t>Fillingame, David</t>
  </si>
  <si>
    <t>DHCI Form</t>
  </si>
  <si>
    <t>Active CA/SNAP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</si>
</sst>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1774"/>
  <sheetViews>
    <sheetView tabSelected="1" workbookViewId="0"/>
  </sheetViews>
  <sheetFormatPr defaultRowHeight="15"/>
  <cols>
    <col min="1" max="1" width="20.7109375" style="1" customWidth="1"/>
  </cols>
  <sheetData>
    <row r="1" spans="1: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</row>
    <row r="2" spans="1:50">
      <c r="A2" s="1">
        <f>HYPERLINK("https://lsnyc.legalserver.org/matter/dynamic-profile/view/1867714","18-1867714")</f>
        <v>0</v>
      </c>
      <c r="B2" t="s">
        <v>50</v>
      </c>
      <c r="C2" t="s">
        <v>104</v>
      </c>
      <c r="D2" t="s">
        <v>106</v>
      </c>
      <c r="E2" t="s">
        <v>262</v>
      </c>
      <c r="F2" t="s">
        <v>690</v>
      </c>
      <c r="G2" t="s">
        <v>1560</v>
      </c>
      <c r="H2" t="s">
        <v>2459</v>
      </c>
      <c r="I2" t="s">
        <v>3273</v>
      </c>
      <c r="J2" t="s">
        <v>3603</v>
      </c>
      <c r="K2">
        <v>11101</v>
      </c>
      <c r="L2" t="s">
        <v>3609</v>
      </c>
      <c r="M2" t="s">
        <v>3609</v>
      </c>
      <c r="O2" t="s">
        <v>4209</v>
      </c>
      <c r="Q2" t="s">
        <v>4248</v>
      </c>
      <c r="R2" t="s">
        <v>4257</v>
      </c>
      <c r="U2" t="s">
        <v>4267</v>
      </c>
      <c r="X2">
        <v>1100</v>
      </c>
      <c r="Y2" t="s">
        <v>4351</v>
      </c>
      <c r="Z2" t="s">
        <v>4352</v>
      </c>
      <c r="AA2" t="s">
        <v>4372</v>
      </c>
      <c r="AB2" t="s">
        <v>4399</v>
      </c>
      <c r="AE2">
        <v>0</v>
      </c>
      <c r="AH2">
        <v>1</v>
      </c>
      <c r="AI2">
        <v>2</v>
      </c>
      <c r="AJ2">
        <v>1</v>
      </c>
      <c r="AK2">
        <v>0</v>
      </c>
      <c r="AN2" t="s">
        <v>7138</v>
      </c>
      <c r="AO2">
        <v>0</v>
      </c>
      <c r="AU2">
        <v>19.9</v>
      </c>
      <c r="AV2" t="s">
        <v>269</v>
      </c>
      <c r="AW2" t="s">
        <v>7340</v>
      </c>
    </row>
    <row r="3" spans="1:50">
      <c r="A3" s="1">
        <f>HYPERLINK("https://lsnyc.legalserver.org/matter/dynamic-profile/view/0827563","17-0827563")</f>
        <v>0</v>
      </c>
      <c r="B3" t="s">
        <v>51</v>
      </c>
      <c r="C3" t="s">
        <v>104</v>
      </c>
      <c r="D3" t="s">
        <v>107</v>
      </c>
      <c r="E3" t="s">
        <v>653</v>
      </c>
      <c r="F3" t="s">
        <v>691</v>
      </c>
      <c r="G3" t="s">
        <v>1561</v>
      </c>
      <c r="H3" t="s">
        <v>2460</v>
      </c>
      <c r="I3" t="s">
        <v>3274</v>
      </c>
      <c r="J3" t="s">
        <v>3604</v>
      </c>
      <c r="K3">
        <v>10065</v>
      </c>
      <c r="L3" t="s">
        <v>3610</v>
      </c>
      <c r="M3" t="s">
        <v>3610</v>
      </c>
      <c r="N3" t="s">
        <v>3612</v>
      </c>
      <c r="O3" t="s">
        <v>4209</v>
      </c>
      <c r="P3" t="s">
        <v>4241</v>
      </c>
      <c r="Q3" t="s">
        <v>4249</v>
      </c>
      <c r="R3" t="s">
        <v>4258</v>
      </c>
      <c r="S3" t="s">
        <v>3611</v>
      </c>
      <c r="U3" t="s">
        <v>4268</v>
      </c>
      <c r="V3" t="s">
        <v>4274</v>
      </c>
      <c r="W3" t="s">
        <v>107</v>
      </c>
      <c r="X3">
        <v>1950</v>
      </c>
      <c r="Y3" t="s">
        <v>4351</v>
      </c>
      <c r="Z3" t="s">
        <v>4353</v>
      </c>
      <c r="AA3" t="s">
        <v>4373</v>
      </c>
      <c r="AB3" t="s">
        <v>4400</v>
      </c>
      <c r="AD3" t="s">
        <v>5849</v>
      </c>
      <c r="AE3">
        <v>20</v>
      </c>
      <c r="AF3" t="s">
        <v>7101</v>
      </c>
      <c r="AG3" t="s">
        <v>3745</v>
      </c>
      <c r="AH3">
        <v>3</v>
      </c>
      <c r="AI3">
        <v>1</v>
      </c>
      <c r="AJ3">
        <v>0</v>
      </c>
      <c r="AK3">
        <v>0</v>
      </c>
      <c r="AL3" t="s">
        <v>107</v>
      </c>
      <c r="AN3" t="s">
        <v>7138</v>
      </c>
      <c r="AO3">
        <v>0</v>
      </c>
      <c r="AU3">
        <v>7.5</v>
      </c>
      <c r="AV3" t="s">
        <v>440</v>
      </c>
      <c r="AW3" t="s">
        <v>7341</v>
      </c>
    </row>
    <row r="4" spans="1:50">
      <c r="A4" s="1">
        <f>HYPERLINK("https://lsnyc.legalserver.org/matter/dynamic-profile/view/1877489","18-1877489")</f>
        <v>0</v>
      </c>
      <c r="B4" t="s">
        <v>52</v>
      </c>
      <c r="C4" t="s">
        <v>104</v>
      </c>
      <c r="D4" t="s">
        <v>108</v>
      </c>
      <c r="E4" t="s">
        <v>262</v>
      </c>
      <c r="F4" t="s">
        <v>692</v>
      </c>
      <c r="G4" t="s">
        <v>1562</v>
      </c>
      <c r="H4" t="s">
        <v>2461</v>
      </c>
      <c r="I4" t="s">
        <v>3275</v>
      </c>
      <c r="J4" t="s">
        <v>3604</v>
      </c>
      <c r="K4">
        <v>10040</v>
      </c>
      <c r="L4" t="s">
        <v>3610</v>
      </c>
      <c r="M4" t="s">
        <v>3609</v>
      </c>
      <c r="O4" t="s">
        <v>4210</v>
      </c>
      <c r="P4" t="s">
        <v>4242</v>
      </c>
      <c r="Q4" t="s">
        <v>4250</v>
      </c>
      <c r="R4" t="s">
        <v>4258</v>
      </c>
      <c r="S4" t="s">
        <v>3611</v>
      </c>
      <c r="U4" t="s">
        <v>4268</v>
      </c>
      <c r="W4" t="s">
        <v>108</v>
      </c>
      <c r="X4">
        <v>1172</v>
      </c>
      <c r="Y4" t="s">
        <v>4351</v>
      </c>
      <c r="Z4" t="s">
        <v>4354</v>
      </c>
      <c r="AA4" t="s">
        <v>4373</v>
      </c>
      <c r="AB4" t="s">
        <v>4401</v>
      </c>
      <c r="AD4" t="s">
        <v>5850</v>
      </c>
      <c r="AE4">
        <v>134</v>
      </c>
      <c r="AG4" t="s">
        <v>3745</v>
      </c>
      <c r="AH4">
        <v>20</v>
      </c>
      <c r="AI4">
        <v>2</v>
      </c>
      <c r="AJ4">
        <v>0</v>
      </c>
      <c r="AK4">
        <v>0</v>
      </c>
      <c r="AN4" t="s">
        <v>7138</v>
      </c>
      <c r="AO4">
        <v>0</v>
      </c>
      <c r="AU4">
        <v>4.2</v>
      </c>
      <c r="AV4" t="s">
        <v>110</v>
      </c>
      <c r="AW4" t="s">
        <v>7342</v>
      </c>
      <c r="AX4" t="s">
        <v>7377</v>
      </c>
    </row>
    <row r="5" spans="1:50">
      <c r="A5" s="1">
        <f>HYPERLINK("https://lsnyc.legalserver.org/matter/dynamic-profile/view/1841872","17-1841872")</f>
        <v>0</v>
      </c>
      <c r="B5" t="s">
        <v>53</v>
      </c>
      <c r="C5" t="s">
        <v>104</v>
      </c>
      <c r="D5" t="s">
        <v>109</v>
      </c>
      <c r="E5" t="s">
        <v>113</v>
      </c>
      <c r="F5" t="s">
        <v>693</v>
      </c>
      <c r="G5" t="s">
        <v>1563</v>
      </c>
      <c r="H5" t="s">
        <v>2462</v>
      </c>
      <c r="I5" t="s">
        <v>3276</v>
      </c>
      <c r="J5" t="s">
        <v>3604</v>
      </c>
      <c r="K5">
        <v>10040</v>
      </c>
      <c r="L5" t="s">
        <v>3610</v>
      </c>
      <c r="M5" t="s">
        <v>3610</v>
      </c>
      <c r="O5" t="s">
        <v>4211</v>
      </c>
      <c r="P5" t="s">
        <v>4242</v>
      </c>
      <c r="Q5" t="s">
        <v>4250</v>
      </c>
      <c r="R5" t="s">
        <v>4258</v>
      </c>
      <c r="S5" t="s">
        <v>3610</v>
      </c>
      <c r="U5" t="s">
        <v>4268</v>
      </c>
      <c r="V5" t="s">
        <v>4274</v>
      </c>
      <c r="W5" t="s">
        <v>109</v>
      </c>
      <c r="X5">
        <v>1148</v>
      </c>
      <c r="Y5" t="s">
        <v>4351</v>
      </c>
      <c r="Z5" t="s">
        <v>4354</v>
      </c>
      <c r="AA5" t="s">
        <v>4373</v>
      </c>
      <c r="AB5" t="s">
        <v>4402</v>
      </c>
      <c r="AD5" t="s">
        <v>5851</v>
      </c>
      <c r="AE5">
        <v>30</v>
      </c>
      <c r="AF5" t="s">
        <v>7101</v>
      </c>
      <c r="AG5" t="s">
        <v>3745</v>
      </c>
      <c r="AH5">
        <v>9</v>
      </c>
      <c r="AI5">
        <v>1</v>
      </c>
      <c r="AJ5">
        <v>0</v>
      </c>
      <c r="AK5">
        <v>0</v>
      </c>
      <c r="AN5" t="s">
        <v>7138</v>
      </c>
      <c r="AO5">
        <v>0</v>
      </c>
      <c r="AU5">
        <v>0.7</v>
      </c>
      <c r="AV5" t="s">
        <v>113</v>
      </c>
      <c r="AW5" t="s">
        <v>7342</v>
      </c>
    </row>
    <row r="6" spans="1:50">
      <c r="A6" s="1">
        <f>HYPERLINK("https://lsnyc.legalserver.org/matter/dynamic-profile/view/1878318","18-1878318")</f>
        <v>0</v>
      </c>
      <c r="B6" t="s">
        <v>54</v>
      </c>
      <c r="C6" t="s">
        <v>104</v>
      </c>
      <c r="D6" t="s">
        <v>110</v>
      </c>
      <c r="E6" t="s">
        <v>654</v>
      </c>
      <c r="F6" t="s">
        <v>694</v>
      </c>
      <c r="G6" t="s">
        <v>1564</v>
      </c>
      <c r="H6" t="s">
        <v>2463</v>
      </c>
      <c r="I6" t="s">
        <v>3277</v>
      </c>
      <c r="J6" t="s">
        <v>3604</v>
      </c>
      <c r="K6">
        <v>10037</v>
      </c>
      <c r="L6" t="s">
        <v>3610</v>
      </c>
      <c r="M6" t="s">
        <v>3610</v>
      </c>
      <c r="N6" t="s">
        <v>3613</v>
      </c>
      <c r="O6" t="s">
        <v>4209</v>
      </c>
      <c r="P6" t="s">
        <v>4242</v>
      </c>
      <c r="Q6" t="s">
        <v>4250</v>
      </c>
      <c r="R6" t="s">
        <v>4258</v>
      </c>
      <c r="S6" t="s">
        <v>3611</v>
      </c>
      <c r="U6" t="s">
        <v>4268</v>
      </c>
      <c r="V6" t="s">
        <v>4274</v>
      </c>
      <c r="W6" t="s">
        <v>110</v>
      </c>
      <c r="X6">
        <v>1208.75</v>
      </c>
      <c r="Y6" t="s">
        <v>4351</v>
      </c>
      <c r="Z6" t="s">
        <v>4228</v>
      </c>
      <c r="AA6" t="s">
        <v>4373</v>
      </c>
      <c r="AB6" t="s">
        <v>4403</v>
      </c>
      <c r="AD6" t="s">
        <v>5852</v>
      </c>
      <c r="AE6">
        <v>0</v>
      </c>
      <c r="AF6" t="s">
        <v>7102</v>
      </c>
      <c r="AG6" t="s">
        <v>3745</v>
      </c>
      <c r="AH6">
        <v>6</v>
      </c>
      <c r="AI6">
        <v>1</v>
      </c>
      <c r="AJ6">
        <v>0</v>
      </c>
      <c r="AK6">
        <v>0</v>
      </c>
      <c r="AN6" t="s">
        <v>7138</v>
      </c>
      <c r="AO6">
        <v>0</v>
      </c>
      <c r="AU6">
        <v>0.1</v>
      </c>
      <c r="AV6" t="s">
        <v>654</v>
      </c>
      <c r="AW6" t="s">
        <v>7341</v>
      </c>
    </row>
    <row r="7" spans="1:50">
      <c r="A7" s="1">
        <f>HYPERLINK("https://lsnyc.legalserver.org/matter/dynamic-profile/view/1861174","18-1861174")</f>
        <v>0</v>
      </c>
      <c r="B7" t="s">
        <v>55</v>
      </c>
      <c r="C7" t="s">
        <v>104</v>
      </c>
      <c r="D7" t="s">
        <v>111</v>
      </c>
      <c r="E7" t="s">
        <v>303</v>
      </c>
      <c r="F7" t="s">
        <v>695</v>
      </c>
      <c r="G7" t="s">
        <v>1565</v>
      </c>
      <c r="H7" t="s">
        <v>2464</v>
      </c>
      <c r="J7" t="s">
        <v>3604</v>
      </c>
      <c r="K7">
        <v>10035</v>
      </c>
      <c r="L7" t="s">
        <v>3610</v>
      </c>
      <c r="M7" t="s">
        <v>3610</v>
      </c>
      <c r="N7" t="s">
        <v>3614</v>
      </c>
      <c r="O7" t="s">
        <v>4210</v>
      </c>
      <c r="P7" t="s">
        <v>4241</v>
      </c>
      <c r="Q7" t="s">
        <v>4251</v>
      </c>
      <c r="R7" t="s">
        <v>4257</v>
      </c>
      <c r="S7" t="s">
        <v>3611</v>
      </c>
      <c r="U7" t="s">
        <v>4269</v>
      </c>
      <c r="V7" t="s">
        <v>4274</v>
      </c>
      <c r="W7" t="s">
        <v>111</v>
      </c>
      <c r="X7">
        <v>3750</v>
      </c>
      <c r="Y7" t="s">
        <v>4351</v>
      </c>
      <c r="Z7" t="s">
        <v>4355</v>
      </c>
      <c r="AA7" t="s">
        <v>4374</v>
      </c>
      <c r="AB7" t="s">
        <v>4404</v>
      </c>
      <c r="AD7" t="s">
        <v>5853</v>
      </c>
      <c r="AE7">
        <v>0</v>
      </c>
      <c r="AF7" t="s">
        <v>7103</v>
      </c>
      <c r="AH7">
        <v>2</v>
      </c>
      <c r="AI7">
        <v>1</v>
      </c>
      <c r="AJ7">
        <v>1</v>
      </c>
      <c r="AK7">
        <v>0</v>
      </c>
      <c r="AL7" t="s">
        <v>369</v>
      </c>
      <c r="AO7">
        <v>0</v>
      </c>
      <c r="AU7">
        <v>26.3</v>
      </c>
      <c r="AV7" t="s">
        <v>298</v>
      </c>
      <c r="AW7" t="s">
        <v>102</v>
      </c>
    </row>
    <row r="8" spans="1:50">
      <c r="A8" s="1">
        <f>HYPERLINK("https://lsnyc.legalserver.org/matter/dynamic-profile/view/1868797","18-1868797")</f>
        <v>0</v>
      </c>
      <c r="B8" t="s">
        <v>56</v>
      </c>
      <c r="C8" t="s">
        <v>104</v>
      </c>
      <c r="D8" t="s">
        <v>112</v>
      </c>
      <c r="E8" t="s">
        <v>269</v>
      </c>
      <c r="F8" t="s">
        <v>696</v>
      </c>
      <c r="G8" t="s">
        <v>1566</v>
      </c>
      <c r="H8" t="s">
        <v>2465</v>
      </c>
      <c r="I8" t="s">
        <v>3278</v>
      </c>
      <c r="J8" t="s">
        <v>3604</v>
      </c>
      <c r="K8">
        <v>10035</v>
      </c>
      <c r="L8" t="s">
        <v>3610</v>
      </c>
      <c r="M8" t="s">
        <v>3609</v>
      </c>
      <c r="O8" t="s">
        <v>4209</v>
      </c>
      <c r="P8" t="s">
        <v>4241</v>
      </c>
      <c r="Q8" t="s">
        <v>4248</v>
      </c>
      <c r="R8" t="s">
        <v>4258</v>
      </c>
      <c r="S8" t="s">
        <v>3611</v>
      </c>
      <c r="U8" t="s">
        <v>4268</v>
      </c>
      <c r="W8" t="s">
        <v>112</v>
      </c>
      <c r="X8">
        <v>1900</v>
      </c>
      <c r="Y8" t="s">
        <v>4351</v>
      </c>
      <c r="Z8" t="s">
        <v>4355</v>
      </c>
      <c r="AA8" t="s">
        <v>4375</v>
      </c>
      <c r="AB8" t="s">
        <v>4405</v>
      </c>
      <c r="AD8" t="s">
        <v>5854</v>
      </c>
      <c r="AE8">
        <v>9</v>
      </c>
      <c r="AF8" t="s">
        <v>7101</v>
      </c>
      <c r="AG8" t="s">
        <v>3745</v>
      </c>
      <c r="AH8">
        <v>0</v>
      </c>
      <c r="AI8">
        <v>1</v>
      </c>
      <c r="AJ8">
        <v>1</v>
      </c>
      <c r="AK8">
        <v>0</v>
      </c>
      <c r="AN8" t="s">
        <v>7138</v>
      </c>
      <c r="AO8">
        <v>0</v>
      </c>
      <c r="AU8">
        <v>12.55</v>
      </c>
      <c r="AV8" t="s">
        <v>282</v>
      </c>
      <c r="AW8" t="s">
        <v>102</v>
      </c>
    </row>
    <row r="9" spans="1:50">
      <c r="A9" s="1">
        <f>HYPERLINK("https://lsnyc.legalserver.org/matter/dynamic-profile/view/1888604","19-1888604")</f>
        <v>0</v>
      </c>
      <c r="B9" t="s">
        <v>53</v>
      </c>
      <c r="C9" t="s">
        <v>105</v>
      </c>
      <c r="D9" t="s">
        <v>113</v>
      </c>
      <c r="F9" t="s">
        <v>697</v>
      </c>
      <c r="G9" t="s">
        <v>1567</v>
      </c>
      <c r="H9" t="s">
        <v>2466</v>
      </c>
      <c r="I9" t="s">
        <v>3279</v>
      </c>
      <c r="J9" t="s">
        <v>3604</v>
      </c>
      <c r="K9">
        <v>10035</v>
      </c>
      <c r="L9" t="s">
        <v>3610</v>
      </c>
      <c r="M9" t="s">
        <v>3610</v>
      </c>
      <c r="N9" t="s">
        <v>3615</v>
      </c>
      <c r="O9" t="s">
        <v>4209</v>
      </c>
      <c r="P9" t="s">
        <v>4241</v>
      </c>
      <c r="R9" t="s">
        <v>4258</v>
      </c>
      <c r="S9" t="s">
        <v>3611</v>
      </c>
      <c r="U9" t="s">
        <v>4268</v>
      </c>
      <c r="V9" t="s">
        <v>4275</v>
      </c>
      <c r="W9" t="s">
        <v>174</v>
      </c>
      <c r="X9">
        <v>1230</v>
      </c>
      <c r="Y9" t="s">
        <v>4351</v>
      </c>
      <c r="Z9" t="s">
        <v>4352</v>
      </c>
      <c r="AB9" t="s">
        <v>4406</v>
      </c>
      <c r="AD9" t="s">
        <v>5855</v>
      </c>
      <c r="AE9">
        <v>54</v>
      </c>
      <c r="AF9" t="s">
        <v>7101</v>
      </c>
      <c r="AG9" t="s">
        <v>7116</v>
      </c>
      <c r="AH9">
        <v>1</v>
      </c>
      <c r="AI9">
        <v>1</v>
      </c>
      <c r="AJ9">
        <v>1</v>
      </c>
      <c r="AK9">
        <v>0</v>
      </c>
      <c r="AN9" t="s">
        <v>7138</v>
      </c>
      <c r="AO9">
        <v>0</v>
      </c>
      <c r="AU9">
        <v>28.95</v>
      </c>
      <c r="AV9" t="s">
        <v>325</v>
      </c>
      <c r="AW9" t="s">
        <v>7341</v>
      </c>
      <c r="AX9" t="s">
        <v>7377</v>
      </c>
    </row>
    <row r="10" spans="1:50">
      <c r="A10" s="1">
        <f>HYPERLINK("https://lsnyc.legalserver.org/matter/dynamic-profile/view/1848788","17-1848788")</f>
        <v>0</v>
      </c>
      <c r="B10" t="s">
        <v>57</v>
      </c>
      <c r="C10" t="s">
        <v>104</v>
      </c>
      <c r="D10" t="s">
        <v>114</v>
      </c>
      <c r="E10" t="s">
        <v>655</v>
      </c>
      <c r="F10" t="s">
        <v>698</v>
      </c>
      <c r="G10" t="s">
        <v>1568</v>
      </c>
      <c r="H10" t="s">
        <v>2467</v>
      </c>
      <c r="I10" t="s">
        <v>3280</v>
      </c>
      <c r="J10" t="s">
        <v>3604</v>
      </c>
      <c r="K10">
        <v>10035</v>
      </c>
      <c r="L10" t="s">
        <v>3610</v>
      </c>
      <c r="M10" t="s">
        <v>3610</v>
      </c>
      <c r="O10" t="s">
        <v>4212</v>
      </c>
      <c r="P10" t="s">
        <v>4243</v>
      </c>
      <c r="Q10" t="s">
        <v>4252</v>
      </c>
      <c r="R10" t="s">
        <v>4258</v>
      </c>
      <c r="S10" t="s">
        <v>3611</v>
      </c>
      <c r="U10" t="s">
        <v>4270</v>
      </c>
      <c r="W10" t="s">
        <v>114</v>
      </c>
      <c r="X10">
        <v>2225</v>
      </c>
      <c r="Y10" t="s">
        <v>4351</v>
      </c>
      <c r="Z10" t="s">
        <v>4356</v>
      </c>
      <c r="AA10" t="s">
        <v>4376</v>
      </c>
      <c r="AB10" t="s">
        <v>4407</v>
      </c>
      <c r="AD10" t="s">
        <v>5856</v>
      </c>
      <c r="AE10">
        <v>341</v>
      </c>
      <c r="AF10" t="s">
        <v>7101</v>
      </c>
      <c r="AG10" t="s">
        <v>7116</v>
      </c>
      <c r="AH10">
        <v>19</v>
      </c>
      <c r="AI10">
        <v>1</v>
      </c>
      <c r="AJ10">
        <v>0</v>
      </c>
      <c r="AK10">
        <v>0</v>
      </c>
      <c r="AN10" t="s">
        <v>7138</v>
      </c>
      <c r="AO10">
        <v>9276</v>
      </c>
      <c r="AU10">
        <v>14.25</v>
      </c>
      <c r="AV10" t="s">
        <v>468</v>
      </c>
      <c r="AW10" t="s">
        <v>7341</v>
      </c>
    </row>
    <row r="11" spans="1:50">
      <c r="A11" s="1">
        <f>HYPERLINK("https://lsnyc.legalserver.org/matter/dynamic-profile/view/0822938","16-0822938")</f>
        <v>0</v>
      </c>
      <c r="B11" t="s">
        <v>55</v>
      </c>
      <c r="C11" t="s">
        <v>104</v>
      </c>
      <c r="D11" t="s">
        <v>115</v>
      </c>
      <c r="E11" t="s">
        <v>656</v>
      </c>
      <c r="F11" t="s">
        <v>699</v>
      </c>
      <c r="G11" t="s">
        <v>1569</v>
      </c>
      <c r="H11" t="s">
        <v>2468</v>
      </c>
      <c r="I11" t="s">
        <v>3281</v>
      </c>
      <c r="J11" t="s">
        <v>3604</v>
      </c>
      <c r="K11">
        <v>10034</v>
      </c>
      <c r="L11" t="s">
        <v>3610</v>
      </c>
      <c r="M11" t="s">
        <v>3610</v>
      </c>
      <c r="N11" t="s">
        <v>3616</v>
      </c>
      <c r="O11" t="s">
        <v>4210</v>
      </c>
      <c r="P11" t="s">
        <v>4241</v>
      </c>
      <c r="Q11" t="s">
        <v>4248</v>
      </c>
      <c r="R11" t="s">
        <v>4258</v>
      </c>
      <c r="S11" t="s">
        <v>3611</v>
      </c>
      <c r="U11" t="s">
        <v>4268</v>
      </c>
      <c r="V11" t="s">
        <v>4274</v>
      </c>
      <c r="W11" t="s">
        <v>554</v>
      </c>
      <c r="X11">
        <v>1170</v>
      </c>
      <c r="Y11" t="s">
        <v>4351</v>
      </c>
      <c r="Z11" t="s">
        <v>4357</v>
      </c>
      <c r="AA11" t="s">
        <v>4374</v>
      </c>
      <c r="AB11" t="s">
        <v>4408</v>
      </c>
      <c r="AD11" t="s">
        <v>5857</v>
      </c>
      <c r="AE11">
        <v>80</v>
      </c>
      <c r="AF11" t="s">
        <v>7101</v>
      </c>
      <c r="AG11" t="s">
        <v>3745</v>
      </c>
      <c r="AH11">
        <v>31</v>
      </c>
      <c r="AI11">
        <v>5</v>
      </c>
      <c r="AJ11">
        <v>3</v>
      </c>
      <c r="AK11">
        <v>0</v>
      </c>
      <c r="AN11" t="s">
        <v>7138</v>
      </c>
      <c r="AO11">
        <v>7200</v>
      </c>
      <c r="AU11">
        <v>53.25</v>
      </c>
      <c r="AV11" t="s">
        <v>432</v>
      </c>
      <c r="AW11" t="s">
        <v>7341</v>
      </c>
    </row>
    <row r="12" spans="1:50">
      <c r="A12" s="1">
        <f>HYPERLINK("https://lsnyc.legalserver.org/matter/dynamic-profile/view/1859889","18-1859889")</f>
        <v>0</v>
      </c>
      <c r="B12" t="s">
        <v>58</v>
      </c>
      <c r="C12" t="s">
        <v>105</v>
      </c>
      <c r="D12" t="s">
        <v>116</v>
      </c>
      <c r="F12" t="s">
        <v>700</v>
      </c>
      <c r="G12" t="s">
        <v>1570</v>
      </c>
      <c r="H12" t="s">
        <v>2469</v>
      </c>
      <c r="I12" t="s">
        <v>3282</v>
      </c>
      <c r="J12" t="s">
        <v>3604</v>
      </c>
      <c r="K12">
        <v>10034</v>
      </c>
      <c r="L12" t="s">
        <v>3609</v>
      </c>
      <c r="M12" t="s">
        <v>3609</v>
      </c>
      <c r="O12" t="s">
        <v>4210</v>
      </c>
      <c r="R12" t="s">
        <v>4258</v>
      </c>
      <c r="S12" t="s">
        <v>3610</v>
      </c>
      <c r="U12" t="s">
        <v>4271</v>
      </c>
      <c r="X12">
        <v>720</v>
      </c>
      <c r="Y12" t="s">
        <v>4351</v>
      </c>
      <c r="Z12" t="s">
        <v>4358</v>
      </c>
      <c r="AB12" t="s">
        <v>4409</v>
      </c>
      <c r="AD12" t="s">
        <v>5858</v>
      </c>
      <c r="AE12">
        <v>25</v>
      </c>
      <c r="AG12" t="s">
        <v>3745</v>
      </c>
      <c r="AH12">
        <v>20</v>
      </c>
      <c r="AI12">
        <v>1</v>
      </c>
      <c r="AJ12">
        <v>0</v>
      </c>
      <c r="AK12">
        <v>0</v>
      </c>
      <c r="AN12" t="s">
        <v>7138</v>
      </c>
      <c r="AO12">
        <v>0</v>
      </c>
      <c r="AU12">
        <v>0.5</v>
      </c>
      <c r="AV12" t="s">
        <v>116</v>
      </c>
      <c r="AW12" t="s">
        <v>7343</v>
      </c>
    </row>
    <row r="13" spans="1:50">
      <c r="A13" s="1">
        <f>HYPERLINK("https://lsnyc.legalserver.org/matter/dynamic-profile/view/1864729","18-1864729")</f>
        <v>0</v>
      </c>
      <c r="B13" t="s">
        <v>59</v>
      </c>
      <c r="C13" t="s">
        <v>104</v>
      </c>
      <c r="D13" t="s">
        <v>117</v>
      </c>
      <c r="E13" t="s">
        <v>488</v>
      </c>
      <c r="F13" t="s">
        <v>700</v>
      </c>
      <c r="G13" t="s">
        <v>1570</v>
      </c>
      <c r="H13" t="s">
        <v>2470</v>
      </c>
      <c r="I13" t="s">
        <v>3282</v>
      </c>
      <c r="J13" t="s">
        <v>3604</v>
      </c>
      <c r="K13">
        <v>10034</v>
      </c>
      <c r="L13" t="s">
        <v>3611</v>
      </c>
      <c r="M13" t="s">
        <v>3610</v>
      </c>
      <c r="N13" t="s">
        <v>3617</v>
      </c>
      <c r="O13" t="s">
        <v>4210</v>
      </c>
      <c r="P13" t="s">
        <v>4242</v>
      </c>
      <c r="Q13" t="s">
        <v>4250</v>
      </c>
      <c r="R13" t="s">
        <v>4258</v>
      </c>
      <c r="S13" t="s">
        <v>3611</v>
      </c>
      <c r="U13" t="s">
        <v>4268</v>
      </c>
      <c r="W13" t="s">
        <v>4281</v>
      </c>
      <c r="X13">
        <v>730</v>
      </c>
      <c r="Y13" t="s">
        <v>4351</v>
      </c>
      <c r="Z13" t="s">
        <v>4353</v>
      </c>
      <c r="AA13" t="s">
        <v>4373</v>
      </c>
      <c r="AB13" t="s">
        <v>4410</v>
      </c>
      <c r="AD13" t="s">
        <v>5858</v>
      </c>
      <c r="AE13">
        <v>25</v>
      </c>
      <c r="AF13" t="s">
        <v>7101</v>
      </c>
      <c r="AG13" t="s">
        <v>3745</v>
      </c>
      <c r="AH13">
        <v>20</v>
      </c>
      <c r="AI13">
        <v>1</v>
      </c>
      <c r="AJ13">
        <v>0</v>
      </c>
      <c r="AK13">
        <v>0</v>
      </c>
      <c r="AN13" t="s">
        <v>7138</v>
      </c>
      <c r="AO13">
        <v>0</v>
      </c>
      <c r="AU13">
        <v>0.1</v>
      </c>
      <c r="AV13" t="s">
        <v>488</v>
      </c>
      <c r="AW13" t="s">
        <v>7344</v>
      </c>
    </row>
    <row r="14" spans="1:50">
      <c r="A14" s="1">
        <f>HYPERLINK("https://lsnyc.legalserver.org/matter/dynamic-profile/view/1896410","19-1896410")</f>
        <v>0</v>
      </c>
      <c r="B14" t="s">
        <v>60</v>
      </c>
      <c r="C14" t="s">
        <v>105</v>
      </c>
      <c r="D14" t="s">
        <v>118</v>
      </c>
      <c r="F14" t="s">
        <v>701</v>
      </c>
      <c r="G14" t="s">
        <v>1571</v>
      </c>
      <c r="H14" t="s">
        <v>2471</v>
      </c>
      <c r="I14" t="s">
        <v>3283</v>
      </c>
      <c r="J14" t="s">
        <v>3604</v>
      </c>
      <c r="K14">
        <v>10034</v>
      </c>
      <c r="L14" t="s">
        <v>3609</v>
      </c>
      <c r="M14" t="s">
        <v>3609</v>
      </c>
      <c r="N14" t="s">
        <v>3618</v>
      </c>
      <c r="O14" t="s">
        <v>4210</v>
      </c>
      <c r="R14" t="s">
        <v>4257</v>
      </c>
      <c r="U14" t="s">
        <v>4268</v>
      </c>
      <c r="X14">
        <v>0</v>
      </c>
      <c r="Y14" t="s">
        <v>4351</v>
      </c>
      <c r="AB14" t="s">
        <v>4411</v>
      </c>
      <c r="AD14" t="s">
        <v>5859</v>
      </c>
      <c r="AE14">
        <v>0</v>
      </c>
      <c r="AH14">
        <v>4</v>
      </c>
      <c r="AI14">
        <v>2</v>
      </c>
      <c r="AJ14">
        <v>1</v>
      </c>
      <c r="AK14">
        <v>0</v>
      </c>
      <c r="AN14" t="s">
        <v>7139</v>
      </c>
      <c r="AO14">
        <v>0</v>
      </c>
      <c r="AU14">
        <v>1.2</v>
      </c>
      <c r="AV14" t="s">
        <v>4302</v>
      </c>
      <c r="AW14" t="s">
        <v>7340</v>
      </c>
    </row>
    <row r="15" spans="1:50">
      <c r="A15" s="1">
        <f>HYPERLINK("https://lsnyc.legalserver.org/matter/dynamic-profile/view/1871563","18-1871563")</f>
        <v>0</v>
      </c>
      <c r="B15" t="s">
        <v>61</v>
      </c>
      <c r="C15" t="s">
        <v>105</v>
      </c>
      <c r="D15" t="s">
        <v>119</v>
      </c>
      <c r="F15" t="s">
        <v>702</v>
      </c>
      <c r="G15" t="s">
        <v>1572</v>
      </c>
      <c r="H15" t="s">
        <v>2472</v>
      </c>
      <c r="I15" t="s">
        <v>3284</v>
      </c>
      <c r="J15" t="s">
        <v>3604</v>
      </c>
      <c r="K15">
        <v>10034</v>
      </c>
      <c r="L15" t="s">
        <v>3610</v>
      </c>
      <c r="M15" t="s">
        <v>3610</v>
      </c>
      <c r="N15" t="s">
        <v>3619</v>
      </c>
      <c r="O15" t="s">
        <v>4213</v>
      </c>
      <c r="P15" t="s">
        <v>4241</v>
      </c>
      <c r="R15" t="s">
        <v>4258</v>
      </c>
      <c r="S15" t="s">
        <v>3610</v>
      </c>
      <c r="U15" t="s">
        <v>4268</v>
      </c>
      <c r="W15" t="s">
        <v>119</v>
      </c>
      <c r="X15">
        <v>2670</v>
      </c>
      <c r="Y15" t="s">
        <v>4351</v>
      </c>
      <c r="Z15" t="s">
        <v>4354</v>
      </c>
      <c r="AB15" t="s">
        <v>4412</v>
      </c>
      <c r="AE15">
        <v>67</v>
      </c>
      <c r="AF15" t="s">
        <v>7101</v>
      </c>
      <c r="AG15" t="s">
        <v>3745</v>
      </c>
      <c r="AH15">
        <v>8</v>
      </c>
      <c r="AI15">
        <v>1</v>
      </c>
      <c r="AJ15">
        <v>0</v>
      </c>
      <c r="AK15">
        <v>0</v>
      </c>
      <c r="AN15" t="s">
        <v>7138</v>
      </c>
      <c r="AO15">
        <v>0</v>
      </c>
      <c r="AU15">
        <v>3.3</v>
      </c>
      <c r="AV15" t="s">
        <v>253</v>
      </c>
      <c r="AW15" t="s">
        <v>7342</v>
      </c>
      <c r="AX15" t="s">
        <v>7377</v>
      </c>
    </row>
    <row r="16" spans="1:50">
      <c r="A16" s="1">
        <f>HYPERLINK("https://lsnyc.legalserver.org/matter/dynamic-profile/view/1841172","17-1841172")</f>
        <v>0</v>
      </c>
      <c r="B16" t="s">
        <v>53</v>
      </c>
      <c r="C16" t="s">
        <v>104</v>
      </c>
      <c r="D16" t="s">
        <v>120</v>
      </c>
      <c r="E16" t="s">
        <v>657</v>
      </c>
      <c r="F16" t="s">
        <v>703</v>
      </c>
      <c r="G16" t="s">
        <v>1573</v>
      </c>
      <c r="H16" t="s">
        <v>2473</v>
      </c>
      <c r="I16" t="s">
        <v>3285</v>
      </c>
      <c r="J16" t="s">
        <v>3604</v>
      </c>
      <c r="K16">
        <v>10034</v>
      </c>
      <c r="L16" t="s">
        <v>3610</v>
      </c>
      <c r="M16" t="s">
        <v>3609</v>
      </c>
      <c r="N16" t="s">
        <v>3620</v>
      </c>
      <c r="O16" t="s">
        <v>4214</v>
      </c>
      <c r="P16" t="s">
        <v>4241</v>
      </c>
      <c r="Q16" t="s">
        <v>4253</v>
      </c>
      <c r="R16" t="s">
        <v>4258</v>
      </c>
      <c r="S16" t="s">
        <v>3611</v>
      </c>
      <c r="T16" t="s">
        <v>4258</v>
      </c>
      <c r="U16" t="s">
        <v>4268</v>
      </c>
      <c r="V16" t="s">
        <v>4276</v>
      </c>
      <c r="W16" t="s">
        <v>120</v>
      </c>
      <c r="X16">
        <v>1108</v>
      </c>
      <c r="Y16" t="s">
        <v>4351</v>
      </c>
      <c r="Z16" t="s">
        <v>4353</v>
      </c>
      <c r="AA16" t="s">
        <v>4374</v>
      </c>
      <c r="AB16" t="s">
        <v>4413</v>
      </c>
      <c r="AC16" t="s">
        <v>5781</v>
      </c>
      <c r="AD16" t="s">
        <v>5860</v>
      </c>
      <c r="AE16">
        <v>16</v>
      </c>
      <c r="AF16" t="s">
        <v>7101</v>
      </c>
      <c r="AG16" t="s">
        <v>3745</v>
      </c>
      <c r="AH16">
        <v>9</v>
      </c>
      <c r="AI16">
        <v>2</v>
      </c>
      <c r="AJ16">
        <v>1</v>
      </c>
      <c r="AK16">
        <v>0</v>
      </c>
      <c r="AN16" t="s">
        <v>7139</v>
      </c>
      <c r="AO16">
        <v>0</v>
      </c>
      <c r="AP16" t="s">
        <v>7154</v>
      </c>
      <c r="AU16">
        <v>62.58</v>
      </c>
      <c r="AV16" t="s">
        <v>278</v>
      </c>
      <c r="AW16" t="s">
        <v>7345</v>
      </c>
      <c r="AX16" t="s">
        <v>7378</v>
      </c>
    </row>
    <row r="17" spans="1:50">
      <c r="A17" s="1">
        <f>HYPERLINK("https://lsnyc.legalserver.org/matter/dynamic-profile/view/1835700","17-1835700")</f>
        <v>0</v>
      </c>
      <c r="B17" t="s">
        <v>61</v>
      </c>
      <c r="C17" t="s">
        <v>105</v>
      </c>
      <c r="D17" t="s">
        <v>121</v>
      </c>
      <c r="F17" t="s">
        <v>704</v>
      </c>
      <c r="G17" t="s">
        <v>1574</v>
      </c>
      <c r="H17" t="s">
        <v>2474</v>
      </c>
      <c r="I17">
        <v>33</v>
      </c>
      <c r="J17" t="s">
        <v>3604</v>
      </c>
      <c r="K17">
        <v>10034</v>
      </c>
      <c r="L17" t="s">
        <v>3610</v>
      </c>
      <c r="M17" t="s">
        <v>3609</v>
      </c>
      <c r="O17" t="s">
        <v>4211</v>
      </c>
      <c r="P17" t="s">
        <v>4244</v>
      </c>
      <c r="R17" t="s">
        <v>4258</v>
      </c>
      <c r="S17" t="s">
        <v>3611</v>
      </c>
      <c r="U17" t="s">
        <v>4268</v>
      </c>
      <c r="W17" t="s">
        <v>4282</v>
      </c>
      <c r="X17">
        <v>1150</v>
      </c>
      <c r="Y17" t="s">
        <v>4351</v>
      </c>
      <c r="Z17" t="s">
        <v>4354</v>
      </c>
      <c r="AB17" t="s">
        <v>4414</v>
      </c>
      <c r="AD17" t="s">
        <v>5861</v>
      </c>
      <c r="AE17">
        <v>12</v>
      </c>
      <c r="AF17" t="s">
        <v>7101</v>
      </c>
      <c r="AG17" t="s">
        <v>7117</v>
      </c>
      <c r="AH17">
        <v>3</v>
      </c>
      <c r="AI17">
        <v>1</v>
      </c>
      <c r="AJ17">
        <v>4</v>
      </c>
      <c r="AK17">
        <v>0</v>
      </c>
      <c r="AN17" t="s">
        <v>7139</v>
      </c>
      <c r="AO17">
        <v>0</v>
      </c>
      <c r="AU17">
        <v>6.6</v>
      </c>
      <c r="AV17" t="s">
        <v>598</v>
      </c>
      <c r="AW17" t="s">
        <v>7341</v>
      </c>
    </row>
    <row r="18" spans="1:50">
      <c r="A18" s="1">
        <f>HYPERLINK("https://lsnyc.legalserver.org/matter/dynamic-profile/view/1902035","19-1902035")</f>
        <v>0</v>
      </c>
      <c r="B18" t="s">
        <v>62</v>
      </c>
      <c r="C18" t="s">
        <v>105</v>
      </c>
      <c r="D18" t="s">
        <v>122</v>
      </c>
      <c r="F18" t="s">
        <v>705</v>
      </c>
      <c r="G18" t="s">
        <v>1575</v>
      </c>
      <c r="H18" t="s">
        <v>2475</v>
      </c>
      <c r="I18">
        <v>304</v>
      </c>
      <c r="J18" t="s">
        <v>3604</v>
      </c>
      <c r="K18">
        <v>10034</v>
      </c>
      <c r="L18" t="s">
        <v>3610</v>
      </c>
      <c r="M18" t="s">
        <v>3609</v>
      </c>
      <c r="O18" t="s">
        <v>4211</v>
      </c>
      <c r="P18" t="s">
        <v>4245</v>
      </c>
      <c r="R18" t="s">
        <v>4258</v>
      </c>
      <c r="S18" t="s">
        <v>3611</v>
      </c>
      <c r="U18" t="s">
        <v>4268</v>
      </c>
      <c r="W18" t="s">
        <v>122</v>
      </c>
      <c r="X18">
        <v>1248.72</v>
      </c>
      <c r="Y18" t="s">
        <v>4351</v>
      </c>
      <c r="Z18" t="s">
        <v>4354</v>
      </c>
      <c r="AB18" t="s">
        <v>4415</v>
      </c>
      <c r="AD18" t="s">
        <v>5862</v>
      </c>
      <c r="AE18">
        <v>73</v>
      </c>
      <c r="AF18" t="s">
        <v>7101</v>
      </c>
      <c r="AG18" t="s">
        <v>7118</v>
      </c>
      <c r="AH18">
        <v>45</v>
      </c>
      <c r="AI18">
        <v>2</v>
      </c>
      <c r="AJ18">
        <v>3</v>
      </c>
      <c r="AK18">
        <v>0</v>
      </c>
      <c r="AN18" t="s">
        <v>7139</v>
      </c>
      <c r="AO18">
        <v>0</v>
      </c>
      <c r="AU18">
        <v>1</v>
      </c>
      <c r="AV18" t="s">
        <v>502</v>
      </c>
      <c r="AW18" t="s">
        <v>7342</v>
      </c>
      <c r="AX18" t="s">
        <v>3745</v>
      </c>
    </row>
    <row r="19" spans="1:50">
      <c r="A19" s="1">
        <f>HYPERLINK("https://lsnyc.legalserver.org/matter/dynamic-profile/view/1837705","17-1837705")</f>
        <v>0</v>
      </c>
      <c r="B19" t="s">
        <v>53</v>
      </c>
      <c r="C19" t="s">
        <v>104</v>
      </c>
      <c r="D19" t="s">
        <v>123</v>
      </c>
      <c r="E19" t="s">
        <v>335</v>
      </c>
      <c r="F19" t="s">
        <v>706</v>
      </c>
      <c r="G19" t="s">
        <v>1576</v>
      </c>
      <c r="H19" t="s">
        <v>2476</v>
      </c>
      <c r="I19">
        <v>8</v>
      </c>
      <c r="J19" t="s">
        <v>3604</v>
      </c>
      <c r="K19">
        <v>10034</v>
      </c>
      <c r="L19" t="s">
        <v>3610</v>
      </c>
      <c r="M19" t="s">
        <v>3611</v>
      </c>
      <c r="N19" t="s">
        <v>3621</v>
      </c>
      <c r="O19" t="s">
        <v>4209</v>
      </c>
      <c r="P19" t="s">
        <v>4241</v>
      </c>
      <c r="Q19" t="s">
        <v>4248</v>
      </c>
      <c r="R19" t="s">
        <v>4258</v>
      </c>
      <c r="S19" t="s">
        <v>3611</v>
      </c>
      <c r="U19" t="s">
        <v>4268</v>
      </c>
      <c r="W19" t="s">
        <v>4283</v>
      </c>
      <c r="X19">
        <v>1668</v>
      </c>
      <c r="Y19" t="s">
        <v>4351</v>
      </c>
      <c r="Z19" t="s">
        <v>4352</v>
      </c>
      <c r="AA19" t="s">
        <v>4374</v>
      </c>
      <c r="AB19" t="s">
        <v>4416</v>
      </c>
      <c r="AC19" t="s">
        <v>5782</v>
      </c>
      <c r="AD19" t="s">
        <v>5863</v>
      </c>
      <c r="AE19">
        <v>23</v>
      </c>
      <c r="AF19" t="s">
        <v>7101</v>
      </c>
      <c r="AG19" t="s">
        <v>3745</v>
      </c>
      <c r="AH19">
        <v>20</v>
      </c>
      <c r="AI19">
        <v>2</v>
      </c>
      <c r="AJ19">
        <v>0</v>
      </c>
      <c r="AK19">
        <v>0</v>
      </c>
      <c r="AN19" t="s">
        <v>7139</v>
      </c>
      <c r="AO19">
        <v>0</v>
      </c>
      <c r="AP19" t="s">
        <v>7155</v>
      </c>
      <c r="AQ19" t="s">
        <v>7196</v>
      </c>
      <c r="AR19" t="s">
        <v>7205</v>
      </c>
      <c r="AS19" t="s">
        <v>7231</v>
      </c>
      <c r="AT19" t="s">
        <v>7234</v>
      </c>
      <c r="AU19">
        <v>38.53</v>
      </c>
      <c r="AV19" t="s">
        <v>279</v>
      </c>
      <c r="AW19" t="s">
        <v>53</v>
      </c>
    </row>
    <row r="20" spans="1:50">
      <c r="A20" s="1">
        <f>HYPERLINK("https://lsnyc.legalserver.org/matter/dynamic-profile/view/1851526","17-1851526")</f>
        <v>0</v>
      </c>
      <c r="B20" t="s">
        <v>53</v>
      </c>
      <c r="C20" t="s">
        <v>104</v>
      </c>
      <c r="D20" t="s">
        <v>124</v>
      </c>
      <c r="E20" t="s">
        <v>109</v>
      </c>
      <c r="F20" t="s">
        <v>701</v>
      </c>
      <c r="G20" t="s">
        <v>1577</v>
      </c>
      <c r="H20" t="s">
        <v>2477</v>
      </c>
      <c r="I20">
        <v>64</v>
      </c>
      <c r="J20" t="s">
        <v>3604</v>
      </c>
      <c r="K20">
        <v>10034</v>
      </c>
      <c r="L20" t="s">
        <v>3610</v>
      </c>
      <c r="M20" t="s">
        <v>3610</v>
      </c>
      <c r="N20" t="s">
        <v>3622</v>
      </c>
      <c r="O20" t="s">
        <v>4209</v>
      </c>
      <c r="P20" t="s">
        <v>4241</v>
      </c>
      <c r="Q20" t="s">
        <v>4248</v>
      </c>
      <c r="R20" t="s">
        <v>4258</v>
      </c>
      <c r="S20" t="s">
        <v>3611</v>
      </c>
      <c r="T20" t="s">
        <v>4258</v>
      </c>
      <c r="U20" t="s">
        <v>4268</v>
      </c>
      <c r="V20" t="s">
        <v>4277</v>
      </c>
      <c r="W20" t="s">
        <v>309</v>
      </c>
      <c r="X20">
        <v>1085</v>
      </c>
      <c r="Y20" t="s">
        <v>4351</v>
      </c>
      <c r="Z20" t="s">
        <v>4354</v>
      </c>
      <c r="AA20" t="s">
        <v>4374</v>
      </c>
      <c r="AB20" t="s">
        <v>4417</v>
      </c>
      <c r="AD20" t="s">
        <v>5864</v>
      </c>
      <c r="AE20">
        <v>38</v>
      </c>
      <c r="AF20" t="s">
        <v>7101</v>
      </c>
      <c r="AG20" t="s">
        <v>3745</v>
      </c>
      <c r="AH20">
        <v>19</v>
      </c>
      <c r="AI20">
        <v>1</v>
      </c>
      <c r="AJ20">
        <v>0</v>
      </c>
      <c r="AK20">
        <v>0</v>
      </c>
      <c r="AN20" t="s">
        <v>7138</v>
      </c>
      <c r="AO20">
        <v>0</v>
      </c>
      <c r="AQ20" t="s">
        <v>7197</v>
      </c>
      <c r="AR20" t="s">
        <v>7206</v>
      </c>
      <c r="AS20" t="s">
        <v>7231</v>
      </c>
      <c r="AT20" t="s">
        <v>7235</v>
      </c>
      <c r="AU20">
        <v>56.7</v>
      </c>
      <c r="AV20" t="s">
        <v>485</v>
      </c>
      <c r="AW20" t="s">
        <v>7346</v>
      </c>
    </row>
    <row r="21" spans="1:50">
      <c r="A21" s="1">
        <f>HYPERLINK("https://lsnyc.legalserver.org/matter/dynamic-profile/view/1853991","17-1853991")</f>
        <v>0</v>
      </c>
      <c r="B21" t="s">
        <v>61</v>
      </c>
      <c r="C21" t="s">
        <v>104</v>
      </c>
      <c r="D21" t="s">
        <v>125</v>
      </c>
      <c r="E21" t="s">
        <v>201</v>
      </c>
      <c r="F21" t="s">
        <v>707</v>
      </c>
      <c r="G21" t="s">
        <v>1578</v>
      </c>
      <c r="H21" t="s">
        <v>2478</v>
      </c>
      <c r="I21" t="s">
        <v>3286</v>
      </c>
      <c r="J21" t="s">
        <v>3604</v>
      </c>
      <c r="K21">
        <v>10034</v>
      </c>
      <c r="L21" t="s">
        <v>3610</v>
      </c>
      <c r="M21" t="s">
        <v>3610</v>
      </c>
      <c r="O21" t="s">
        <v>4209</v>
      </c>
      <c r="P21" t="s">
        <v>4245</v>
      </c>
      <c r="Q21" t="s">
        <v>4249</v>
      </c>
      <c r="R21" t="s">
        <v>4258</v>
      </c>
      <c r="S21" t="s">
        <v>3611</v>
      </c>
      <c r="U21" t="s">
        <v>4268</v>
      </c>
      <c r="W21" t="s">
        <v>125</v>
      </c>
      <c r="X21">
        <v>1623</v>
      </c>
      <c r="Y21" t="s">
        <v>4351</v>
      </c>
      <c r="Z21" t="s">
        <v>4354</v>
      </c>
      <c r="AA21" t="s">
        <v>4377</v>
      </c>
      <c r="AB21" t="s">
        <v>4418</v>
      </c>
      <c r="AE21">
        <v>47</v>
      </c>
      <c r="AF21" t="s">
        <v>7101</v>
      </c>
      <c r="AG21" t="s">
        <v>3745</v>
      </c>
      <c r="AH21">
        <v>6</v>
      </c>
      <c r="AI21">
        <v>2</v>
      </c>
      <c r="AJ21">
        <v>2</v>
      </c>
      <c r="AK21">
        <v>0</v>
      </c>
      <c r="AN21" t="s">
        <v>7140</v>
      </c>
      <c r="AO21">
        <v>0</v>
      </c>
      <c r="AU21">
        <v>4.6</v>
      </c>
      <c r="AV21" t="s">
        <v>410</v>
      </c>
      <c r="AW21" t="s">
        <v>7342</v>
      </c>
    </row>
    <row r="22" spans="1:50">
      <c r="A22" s="1">
        <f>HYPERLINK("https://lsnyc.legalserver.org/matter/dynamic-profile/view/1860127","18-1860127")</f>
        <v>0</v>
      </c>
      <c r="B22" t="s">
        <v>63</v>
      </c>
      <c r="C22" t="s">
        <v>104</v>
      </c>
      <c r="D22" t="s">
        <v>126</v>
      </c>
      <c r="E22" t="s">
        <v>293</v>
      </c>
      <c r="F22" t="s">
        <v>708</v>
      </c>
      <c r="G22" t="s">
        <v>1579</v>
      </c>
      <c r="H22" t="s">
        <v>2479</v>
      </c>
      <c r="I22" t="s">
        <v>3287</v>
      </c>
      <c r="J22" t="s">
        <v>3604</v>
      </c>
      <c r="K22">
        <v>10034</v>
      </c>
      <c r="L22" t="s">
        <v>3610</v>
      </c>
      <c r="M22" t="s">
        <v>3610</v>
      </c>
      <c r="N22" t="s">
        <v>3623</v>
      </c>
      <c r="O22" t="s">
        <v>4209</v>
      </c>
      <c r="P22" t="s">
        <v>4241</v>
      </c>
      <c r="Q22" t="s">
        <v>4248</v>
      </c>
      <c r="R22" t="s">
        <v>4258</v>
      </c>
      <c r="U22" t="s">
        <v>4268</v>
      </c>
      <c r="W22" t="s">
        <v>126</v>
      </c>
      <c r="X22">
        <v>1625</v>
      </c>
      <c r="Y22" t="s">
        <v>4351</v>
      </c>
      <c r="Z22" t="s">
        <v>4354</v>
      </c>
      <c r="AA22" t="s">
        <v>4374</v>
      </c>
      <c r="AB22" t="s">
        <v>4419</v>
      </c>
      <c r="AC22" t="s">
        <v>5783</v>
      </c>
      <c r="AD22" t="s">
        <v>5865</v>
      </c>
      <c r="AE22">
        <v>40</v>
      </c>
      <c r="AF22" t="s">
        <v>7101</v>
      </c>
      <c r="AG22" t="s">
        <v>3745</v>
      </c>
      <c r="AH22">
        <v>4</v>
      </c>
      <c r="AI22">
        <v>2</v>
      </c>
      <c r="AJ22">
        <v>1</v>
      </c>
      <c r="AK22">
        <v>0</v>
      </c>
      <c r="AN22" t="s">
        <v>7139</v>
      </c>
      <c r="AO22">
        <v>0</v>
      </c>
      <c r="AU22">
        <v>25</v>
      </c>
      <c r="AV22" t="s">
        <v>385</v>
      </c>
      <c r="AW22" t="s">
        <v>7342</v>
      </c>
    </row>
    <row r="23" spans="1:50">
      <c r="A23" s="1">
        <f>HYPERLINK("https://lsnyc.legalserver.org/matter/dynamic-profile/view/1860845","18-1860845")</f>
        <v>0</v>
      </c>
      <c r="B23" t="s">
        <v>56</v>
      </c>
      <c r="C23" t="s">
        <v>104</v>
      </c>
      <c r="D23" t="s">
        <v>127</v>
      </c>
      <c r="E23" t="s">
        <v>251</v>
      </c>
      <c r="F23" t="s">
        <v>709</v>
      </c>
      <c r="G23" t="s">
        <v>1580</v>
      </c>
      <c r="H23" t="s">
        <v>2480</v>
      </c>
      <c r="I23" t="s">
        <v>3288</v>
      </c>
      <c r="J23" t="s">
        <v>3604</v>
      </c>
      <c r="K23">
        <v>10034</v>
      </c>
      <c r="L23" t="s">
        <v>3610</v>
      </c>
      <c r="M23" t="s">
        <v>3609</v>
      </c>
      <c r="N23" t="s">
        <v>3624</v>
      </c>
      <c r="O23" t="s">
        <v>4209</v>
      </c>
      <c r="P23" t="s">
        <v>4241</v>
      </c>
      <c r="Q23" t="s">
        <v>4248</v>
      </c>
      <c r="R23" t="s">
        <v>4258</v>
      </c>
      <c r="S23" t="s">
        <v>3611</v>
      </c>
      <c r="U23" t="s">
        <v>4268</v>
      </c>
      <c r="W23" t="s">
        <v>127</v>
      </c>
      <c r="X23">
        <v>1650</v>
      </c>
      <c r="Y23" t="s">
        <v>4351</v>
      </c>
      <c r="Z23" t="s">
        <v>4354</v>
      </c>
      <c r="AA23" t="s">
        <v>4374</v>
      </c>
      <c r="AB23" t="s">
        <v>4420</v>
      </c>
      <c r="AD23" t="s">
        <v>5866</v>
      </c>
      <c r="AE23">
        <v>49</v>
      </c>
      <c r="AF23" t="s">
        <v>7101</v>
      </c>
      <c r="AG23" t="s">
        <v>3745</v>
      </c>
      <c r="AH23">
        <v>5</v>
      </c>
      <c r="AI23">
        <v>1</v>
      </c>
      <c r="AJ23">
        <v>0</v>
      </c>
      <c r="AK23">
        <v>0</v>
      </c>
      <c r="AN23" t="s">
        <v>7138</v>
      </c>
      <c r="AO23">
        <v>0</v>
      </c>
      <c r="AU23">
        <v>69</v>
      </c>
      <c r="AV23" t="s">
        <v>4302</v>
      </c>
      <c r="AW23" t="s">
        <v>7342</v>
      </c>
      <c r="AX23" t="s">
        <v>7377</v>
      </c>
    </row>
    <row r="24" spans="1:50">
      <c r="A24" s="1">
        <f>HYPERLINK("https://lsnyc.legalserver.org/matter/dynamic-profile/view/1869863","18-1869863")</f>
        <v>0</v>
      </c>
      <c r="B24" t="s">
        <v>52</v>
      </c>
      <c r="C24" t="s">
        <v>104</v>
      </c>
      <c r="D24" t="s">
        <v>128</v>
      </c>
      <c r="E24" t="s">
        <v>227</v>
      </c>
      <c r="F24" t="s">
        <v>710</v>
      </c>
      <c r="G24" t="s">
        <v>1581</v>
      </c>
      <c r="H24" t="s">
        <v>2481</v>
      </c>
      <c r="I24">
        <v>2</v>
      </c>
      <c r="J24" t="s">
        <v>3604</v>
      </c>
      <c r="K24">
        <v>10034</v>
      </c>
      <c r="L24" t="s">
        <v>3610</v>
      </c>
      <c r="M24" t="s">
        <v>3610</v>
      </c>
      <c r="N24" t="s">
        <v>3625</v>
      </c>
      <c r="O24" t="s">
        <v>4209</v>
      </c>
      <c r="P24" t="s">
        <v>4241</v>
      </c>
      <c r="Q24" t="s">
        <v>4248</v>
      </c>
      <c r="R24" t="s">
        <v>4258</v>
      </c>
      <c r="S24" t="s">
        <v>3611</v>
      </c>
      <c r="U24" t="s">
        <v>4268</v>
      </c>
      <c r="W24" t="s">
        <v>128</v>
      </c>
      <c r="X24">
        <v>1548</v>
      </c>
      <c r="Y24" t="s">
        <v>4351</v>
      </c>
      <c r="Z24" t="s">
        <v>4354</v>
      </c>
      <c r="AA24" t="s">
        <v>4374</v>
      </c>
      <c r="AB24" t="s">
        <v>4421</v>
      </c>
      <c r="AD24" t="s">
        <v>5867</v>
      </c>
      <c r="AE24">
        <v>41</v>
      </c>
      <c r="AF24" t="s">
        <v>7101</v>
      </c>
      <c r="AG24" t="s">
        <v>3745</v>
      </c>
      <c r="AH24">
        <v>6</v>
      </c>
      <c r="AI24">
        <v>1</v>
      </c>
      <c r="AJ24">
        <v>4</v>
      </c>
      <c r="AK24">
        <v>0</v>
      </c>
      <c r="AN24" t="s">
        <v>7139</v>
      </c>
      <c r="AO24">
        <v>0</v>
      </c>
      <c r="AU24">
        <v>30.05</v>
      </c>
      <c r="AV24" t="s">
        <v>7284</v>
      </c>
      <c r="AW24" t="s">
        <v>7342</v>
      </c>
    </row>
    <row r="25" spans="1:50">
      <c r="A25" s="1">
        <f>HYPERLINK("https://lsnyc.legalserver.org/matter/dynamic-profile/view/1896304","19-1896304")</f>
        <v>0</v>
      </c>
      <c r="B25" t="s">
        <v>60</v>
      </c>
      <c r="C25" t="s">
        <v>105</v>
      </c>
      <c r="D25" t="s">
        <v>118</v>
      </c>
      <c r="F25" t="s">
        <v>711</v>
      </c>
      <c r="G25" t="s">
        <v>1582</v>
      </c>
      <c r="H25" t="s">
        <v>2482</v>
      </c>
      <c r="I25" t="s">
        <v>3289</v>
      </c>
      <c r="J25" t="s">
        <v>3604</v>
      </c>
      <c r="K25">
        <v>10034</v>
      </c>
      <c r="L25" t="s">
        <v>3610</v>
      </c>
      <c r="M25" t="s">
        <v>3610</v>
      </c>
      <c r="N25" t="s">
        <v>3626</v>
      </c>
      <c r="O25" t="s">
        <v>4209</v>
      </c>
      <c r="P25" t="s">
        <v>4242</v>
      </c>
      <c r="R25" t="s">
        <v>4258</v>
      </c>
      <c r="S25" t="s">
        <v>3611</v>
      </c>
      <c r="T25" t="s">
        <v>4258</v>
      </c>
      <c r="U25" t="s">
        <v>4268</v>
      </c>
      <c r="W25" t="s">
        <v>118</v>
      </c>
      <c r="X25">
        <v>1348.75</v>
      </c>
      <c r="Y25" t="s">
        <v>4351</v>
      </c>
      <c r="AB25" t="s">
        <v>4422</v>
      </c>
      <c r="AD25" t="s">
        <v>5868</v>
      </c>
      <c r="AE25">
        <v>0</v>
      </c>
      <c r="AF25" t="s">
        <v>7101</v>
      </c>
      <c r="AH25">
        <v>21</v>
      </c>
      <c r="AI25">
        <v>1</v>
      </c>
      <c r="AJ25">
        <v>0</v>
      </c>
      <c r="AK25">
        <v>0</v>
      </c>
      <c r="AN25" t="s">
        <v>7138</v>
      </c>
      <c r="AO25">
        <v>0</v>
      </c>
      <c r="AU25">
        <v>1</v>
      </c>
      <c r="AV25" t="s">
        <v>4302</v>
      </c>
      <c r="AW25" t="s">
        <v>7340</v>
      </c>
    </row>
    <row r="26" spans="1:50">
      <c r="A26" s="1">
        <f>HYPERLINK("https://lsnyc.legalserver.org/matter/dynamic-profile/view/1896334","19-1896334")</f>
        <v>0</v>
      </c>
      <c r="B26" t="s">
        <v>60</v>
      </c>
      <c r="C26" t="s">
        <v>105</v>
      </c>
      <c r="D26" t="s">
        <v>118</v>
      </c>
      <c r="F26" t="s">
        <v>712</v>
      </c>
      <c r="G26" t="s">
        <v>1583</v>
      </c>
      <c r="H26" t="s">
        <v>2483</v>
      </c>
      <c r="I26" t="s">
        <v>3290</v>
      </c>
      <c r="J26" t="s">
        <v>3604</v>
      </c>
      <c r="K26">
        <v>10034</v>
      </c>
      <c r="L26" t="s">
        <v>3609</v>
      </c>
      <c r="M26" t="s">
        <v>3609</v>
      </c>
      <c r="N26" t="s">
        <v>3627</v>
      </c>
      <c r="O26" t="s">
        <v>4209</v>
      </c>
      <c r="R26" t="s">
        <v>4257</v>
      </c>
      <c r="U26" t="s">
        <v>4268</v>
      </c>
      <c r="X26">
        <v>1250</v>
      </c>
      <c r="Y26" t="s">
        <v>4351</v>
      </c>
      <c r="AB26" t="s">
        <v>4423</v>
      </c>
      <c r="AE26">
        <v>0</v>
      </c>
      <c r="AH26">
        <v>13</v>
      </c>
      <c r="AI26">
        <v>1</v>
      </c>
      <c r="AJ26">
        <v>0</v>
      </c>
      <c r="AK26">
        <v>0</v>
      </c>
      <c r="AN26" t="s">
        <v>7139</v>
      </c>
      <c r="AO26">
        <v>0</v>
      </c>
      <c r="AU26">
        <v>1</v>
      </c>
      <c r="AV26" t="s">
        <v>4302</v>
      </c>
      <c r="AW26" t="s">
        <v>7340</v>
      </c>
    </row>
    <row r="27" spans="1:50">
      <c r="A27" s="1">
        <f>HYPERLINK("https://lsnyc.legalserver.org/matter/dynamic-profile/view/1898144","19-1898144")</f>
        <v>0</v>
      </c>
      <c r="B27" t="s">
        <v>62</v>
      </c>
      <c r="C27" t="s">
        <v>104</v>
      </c>
      <c r="D27" t="s">
        <v>129</v>
      </c>
      <c r="E27" t="s">
        <v>625</v>
      </c>
      <c r="F27" t="s">
        <v>713</v>
      </c>
      <c r="G27" t="s">
        <v>1584</v>
      </c>
      <c r="H27" t="s">
        <v>2484</v>
      </c>
      <c r="I27" t="s">
        <v>3289</v>
      </c>
      <c r="J27" t="s">
        <v>3604</v>
      </c>
      <c r="K27">
        <v>10034</v>
      </c>
      <c r="L27" t="s">
        <v>3610</v>
      </c>
      <c r="M27" t="s">
        <v>3610</v>
      </c>
      <c r="N27" t="s">
        <v>3628</v>
      </c>
      <c r="O27" t="s">
        <v>4209</v>
      </c>
      <c r="P27" t="s">
        <v>4242</v>
      </c>
      <c r="Q27" t="s">
        <v>4250</v>
      </c>
      <c r="R27" t="s">
        <v>4258</v>
      </c>
      <c r="S27" t="s">
        <v>3611</v>
      </c>
      <c r="U27" t="s">
        <v>4268</v>
      </c>
      <c r="W27" t="s">
        <v>129</v>
      </c>
      <c r="X27">
        <v>841</v>
      </c>
      <c r="Y27" t="s">
        <v>4351</v>
      </c>
      <c r="Z27" t="s">
        <v>4357</v>
      </c>
      <c r="AA27" t="s">
        <v>4373</v>
      </c>
      <c r="AB27" t="s">
        <v>4424</v>
      </c>
      <c r="AC27" t="s">
        <v>5784</v>
      </c>
      <c r="AE27">
        <v>73</v>
      </c>
      <c r="AF27" t="s">
        <v>7101</v>
      </c>
      <c r="AG27" t="s">
        <v>3745</v>
      </c>
      <c r="AH27">
        <v>18</v>
      </c>
      <c r="AI27">
        <v>1</v>
      </c>
      <c r="AJ27">
        <v>0</v>
      </c>
      <c r="AK27">
        <v>0</v>
      </c>
      <c r="AN27" t="s">
        <v>7139</v>
      </c>
      <c r="AO27">
        <v>0</v>
      </c>
      <c r="AU27">
        <v>1.5</v>
      </c>
      <c r="AV27" t="s">
        <v>285</v>
      </c>
      <c r="AW27" t="s">
        <v>7342</v>
      </c>
      <c r="AX27" t="s">
        <v>7377</v>
      </c>
    </row>
    <row r="28" spans="1:50">
      <c r="A28" s="1">
        <f>HYPERLINK("https://lsnyc.legalserver.org/matter/dynamic-profile/view/1860266","18-1860266")</f>
        <v>0</v>
      </c>
      <c r="B28" t="s">
        <v>63</v>
      </c>
      <c r="C28" t="s">
        <v>104</v>
      </c>
      <c r="D28" t="s">
        <v>130</v>
      </c>
      <c r="E28" t="s">
        <v>236</v>
      </c>
      <c r="F28" t="s">
        <v>708</v>
      </c>
      <c r="G28" t="s">
        <v>1579</v>
      </c>
      <c r="H28" t="s">
        <v>2479</v>
      </c>
      <c r="I28" t="s">
        <v>3287</v>
      </c>
      <c r="J28" t="s">
        <v>3604</v>
      </c>
      <c r="K28">
        <v>10034</v>
      </c>
      <c r="L28" t="s">
        <v>3610</v>
      </c>
      <c r="M28" t="s">
        <v>3610</v>
      </c>
      <c r="O28" t="s">
        <v>4215</v>
      </c>
      <c r="P28" t="s">
        <v>4244</v>
      </c>
      <c r="Q28" t="s">
        <v>4249</v>
      </c>
      <c r="R28" t="s">
        <v>4258</v>
      </c>
      <c r="S28" t="s">
        <v>3611</v>
      </c>
      <c r="U28" t="s">
        <v>4268</v>
      </c>
      <c r="W28" t="s">
        <v>130</v>
      </c>
      <c r="X28">
        <v>1625</v>
      </c>
      <c r="Y28" t="s">
        <v>4351</v>
      </c>
      <c r="Z28" t="s">
        <v>4357</v>
      </c>
      <c r="AA28" t="s">
        <v>4377</v>
      </c>
      <c r="AB28" t="s">
        <v>4419</v>
      </c>
      <c r="AD28" t="s">
        <v>5865</v>
      </c>
      <c r="AE28">
        <v>40</v>
      </c>
      <c r="AF28" t="s">
        <v>7101</v>
      </c>
      <c r="AG28" t="s">
        <v>3745</v>
      </c>
      <c r="AH28">
        <v>4</v>
      </c>
      <c r="AI28">
        <v>2</v>
      </c>
      <c r="AJ28">
        <v>1</v>
      </c>
      <c r="AK28">
        <v>0</v>
      </c>
      <c r="AN28" t="s">
        <v>7139</v>
      </c>
      <c r="AO28">
        <v>0</v>
      </c>
      <c r="AU28">
        <v>25.1</v>
      </c>
      <c r="AV28" t="s">
        <v>293</v>
      </c>
      <c r="AW28" t="s">
        <v>7342</v>
      </c>
    </row>
    <row r="29" spans="1:50">
      <c r="A29" s="1">
        <f>HYPERLINK("https://lsnyc.legalserver.org/matter/dynamic-profile/view/1902753","19-1902753")</f>
        <v>0</v>
      </c>
      <c r="B29" t="s">
        <v>56</v>
      </c>
      <c r="C29" t="s">
        <v>104</v>
      </c>
      <c r="D29" t="s">
        <v>131</v>
      </c>
      <c r="E29" t="s">
        <v>131</v>
      </c>
      <c r="F29" t="s">
        <v>714</v>
      </c>
      <c r="G29" t="s">
        <v>1585</v>
      </c>
      <c r="H29" t="s">
        <v>2485</v>
      </c>
      <c r="I29">
        <v>201</v>
      </c>
      <c r="J29" t="s">
        <v>3604</v>
      </c>
      <c r="K29">
        <v>10034</v>
      </c>
      <c r="L29" t="s">
        <v>3610</v>
      </c>
      <c r="M29" t="s">
        <v>3609</v>
      </c>
      <c r="O29" t="s">
        <v>4216</v>
      </c>
      <c r="P29" t="s">
        <v>4245</v>
      </c>
      <c r="Q29" t="s">
        <v>4249</v>
      </c>
      <c r="R29" t="s">
        <v>4258</v>
      </c>
      <c r="S29" t="s">
        <v>3611</v>
      </c>
      <c r="U29" t="s">
        <v>4272</v>
      </c>
      <c r="W29" t="s">
        <v>131</v>
      </c>
      <c r="X29">
        <v>1374</v>
      </c>
      <c r="Y29" t="s">
        <v>4351</v>
      </c>
      <c r="Z29" t="s">
        <v>4357</v>
      </c>
      <c r="AA29" t="s">
        <v>4376</v>
      </c>
      <c r="AB29" t="s">
        <v>4425</v>
      </c>
      <c r="AD29" t="s">
        <v>5869</v>
      </c>
      <c r="AE29">
        <v>72</v>
      </c>
      <c r="AF29" t="s">
        <v>7101</v>
      </c>
      <c r="AG29" t="s">
        <v>7117</v>
      </c>
      <c r="AH29">
        <v>11</v>
      </c>
      <c r="AI29">
        <v>1</v>
      </c>
      <c r="AJ29">
        <v>1</v>
      </c>
      <c r="AK29">
        <v>0</v>
      </c>
      <c r="AN29" t="s">
        <v>7139</v>
      </c>
      <c r="AO29">
        <v>0</v>
      </c>
      <c r="AU29">
        <v>1.75</v>
      </c>
      <c r="AV29" t="s">
        <v>663</v>
      </c>
      <c r="AW29" t="s">
        <v>7342</v>
      </c>
      <c r="AX29" t="s">
        <v>7377</v>
      </c>
    </row>
    <row r="30" spans="1:50">
      <c r="A30" s="1">
        <f>HYPERLINK("https://lsnyc.legalserver.org/matter/dynamic-profile/view/1843042","17-1843042")</f>
        <v>0</v>
      </c>
      <c r="B30" t="s">
        <v>53</v>
      </c>
      <c r="C30" t="s">
        <v>104</v>
      </c>
      <c r="D30" t="s">
        <v>132</v>
      </c>
      <c r="E30" t="s">
        <v>109</v>
      </c>
      <c r="F30" t="s">
        <v>713</v>
      </c>
      <c r="G30" t="s">
        <v>1584</v>
      </c>
      <c r="H30" t="s">
        <v>2484</v>
      </c>
      <c r="I30" t="s">
        <v>3289</v>
      </c>
      <c r="J30" t="s">
        <v>3604</v>
      </c>
      <c r="K30">
        <v>10034</v>
      </c>
      <c r="L30" t="s">
        <v>3610</v>
      </c>
      <c r="M30" t="s">
        <v>3610</v>
      </c>
      <c r="N30" t="s">
        <v>3629</v>
      </c>
      <c r="O30" t="s">
        <v>4212</v>
      </c>
      <c r="P30" t="s">
        <v>4243</v>
      </c>
      <c r="Q30" t="s">
        <v>4254</v>
      </c>
      <c r="R30" t="s">
        <v>4258</v>
      </c>
      <c r="S30" t="s">
        <v>3611</v>
      </c>
      <c r="U30" t="s">
        <v>4270</v>
      </c>
      <c r="V30" t="s">
        <v>4277</v>
      </c>
      <c r="W30" t="s">
        <v>379</v>
      </c>
      <c r="X30">
        <v>831.14</v>
      </c>
      <c r="Y30" t="s">
        <v>4351</v>
      </c>
      <c r="Z30" t="s">
        <v>4359</v>
      </c>
      <c r="AA30" t="s">
        <v>4376</v>
      </c>
      <c r="AB30" t="s">
        <v>4424</v>
      </c>
      <c r="AC30" t="s">
        <v>5785</v>
      </c>
      <c r="AE30">
        <v>73</v>
      </c>
      <c r="AF30" t="s">
        <v>7101</v>
      </c>
      <c r="AG30" t="s">
        <v>3745</v>
      </c>
      <c r="AH30">
        <v>17</v>
      </c>
      <c r="AI30">
        <v>1</v>
      </c>
      <c r="AJ30">
        <v>0</v>
      </c>
      <c r="AK30">
        <v>0</v>
      </c>
      <c r="AN30" t="s">
        <v>7139</v>
      </c>
      <c r="AO30">
        <v>0</v>
      </c>
      <c r="AP30" t="s">
        <v>7156</v>
      </c>
      <c r="AQ30" t="s">
        <v>7198</v>
      </c>
      <c r="AR30" t="s">
        <v>7207</v>
      </c>
      <c r="AS30" t="s">
        <v>7231</v>
      </c>
      <c r="AT30" t="s">
        <v>7236</v>
      </c>
      <c r="AU30">
        <v>3.8</v>
      </c>
      <c r="AV30" t="s">
        <v>310</v>
      </c>
      <c r="AW30" t="s">
        <v>7342</v>
      </c>
    </row>
    <row r="31" spans="1:50">
      <c r="A31" s="1">
        <f>HYPERLINK("https://lsnyc.legalserver.org/matter/dynamic-profile/view/1842321","17-1842321")</f>
        <v>0</v>
      </c>
      <c r="B31" t="s">
        <v>61</v>
      </c>
      <c r="C31" t="s">
        <v>104</v>
      </c>
      <c r="D31" t="s">
        <v>133</v>
      </c>
      <c r="E31" t="s">
        <v>201</v>
      </c>
      <c r="F31" t="s">
        <v>715</v>
      </c>
      <c r="G31" t="s">
        <v>1586</v>
      </c>
      <c r="H31" t="s">
        <v>2486</v>
      </c>
      <c r="I31">
        <v>2</v>
      </c>
      <c r="J31" t="s">
        <v>3604</v>
      </c>
      <c r="K31">
        <v>10034</v>
      </c>
      <c r="L31" t="s">
        <v>3610</v>
      </c>
      <c r="M31" t="s">
        <v>3610</v>
      </c>
      <c r="O31" t="s">
        <v>4217</v>
      </c>
      <c r="P31" t="s">
        <v>4245</v>
      </c>
      <c r="Q31" t="s">
        <v>4249</v>
      </c>
      <c r="R31" t="s">
        <v>4258</v>
      </c>
      <c r="S31" t="s">
        <v>3611</v>
      </c>
      <c r="U31" t="s">
        <v>4268</v>
      </c>
      <c r="W31" t="s">
        <v>133</v>
      </c>
      <c r="X31">
        <v>824.79</v>
      </c>
      <c r="Y31" t="s">
        <v>4351</v>
      </c>
      <c r="Z31" t="s">
        <v>4354</v>
      </c>
      <c r="AA31" t="s">
        <v>4377</v>
      </c>
      <c r="AB31" t="s">
        <v>4426</v>
      </c>
      <c r="AD31" t="s">
        <v>5870</v>
      </c>
      <c r="AE31">
        <v>50</v>
      </c>
      <c r="AF31" t="s">
        <v>7101</v>
      </c>
      <c r="AG31" t="s">
        <v>7118</v>
      </c>
      <c r="AH31">
        <v>40</v>
      </c>
      <c r="AI31">
        <v>2</v>
      </c>
      <c r="AJ31">
        <v>0</v>
      </c>
      <c r="AK31">
        <v>0</v>
      </c>
      <c r="AN31" t="s">
        <v>7139</v>
      </c>
      <c r="AO31">
        <v>0</v>
      </c>
      <c r="AU31">
        <v>1.4</v>
      </c>
      <c r="AV31" t="s">
        <v>410</v>
      </c>
      <c r="AW31" t="s">
        <v>7342</v>
      </c>
    </row>
    <row r="32" spans="1:50">
      <c r="A32" s="1">
        <f>HYPERLINK("https://lsnyc.legalserver.org/matter/dynamic-profile/view/1897898","19-1897898")</f>
        <v>0</v>
      </c>
      <c r="B32" t="s">
        <v>63</v>
      </c>
      <c r="C32" t="s">
        <v>105</v>
      </c>
      <c r="D32" t="s">
        <v>134</v>
      </c>
      <c r="F32" t="s">
        <v>716</v>
      </c>
      <c r="G32" t="s">
        <v>1587</v>
      </c>
      <c r="H32" t="s">
        <v>2487</v>
      </c>
      <c r="I32" t="s">
        <v>3291</v>
      </c>
      <c r="J32" t="s">
        <v>3604</v>
      </c>
      <c r="K32">
        <v>10033</v>
      </c>
      <c r="L32" t="s">
        <v>3610</v>
      </c>
      <c r="M32" t="s">
        <v>3610</v>
      </c>
      <c r="O32" t="s">
        <v>4218</v>
      </c>
      <c r="P32" t="s">
        <v>4241</v>
      </c>
      <c r="R32" t="s">
        <v>4258</v>
      </c>
      <c r="S32" t="s">
        <v>3611</v>
      </c>
      <c r="U32" t="s">
        <v>4268</v>
      </c>
      <c r="W32" t="s">
        <v>134</v>
      </c>
      <c r="X32">
        <v>2100</v>
      </c>
      <c r="Y32" t="s">
        <v>4351</v>
      </c>
      <c r="Z32" t="s">
        <v>4357</v>
      </c>
      <c r="AB32" t="s">
        <v>4427</v>
      </c>
      <c r="AD32" t="s">
        <v>5871</v>
      </c>
      <c r="AE32">
        <v>0</v>
      </c>
      <c r="AF32" t="s">
        <v>7101</v>
      </c>
      <c r="AG32" t="s">
        <v>3745</v>
      </c>
      <c r="AH32">
        <v>37</v>
      </c>
      <c r="AI32">
        <v>2</v>
      </c>
      <c r="AJ32">
        <v>1</v>
      </c>
      <c r="AK32">
        <v>0</v>
      </c>
      <c r="AN32" t="s">
        <v>7138</v>
      </c>
      <c r="AO32">
        <v>0</v>
      </c>
      <c r="AU32">
        <v>0</v>
      </c>
      <c r="AW32" t="s">
        <v>7342</v>
      </c>
    </row>
    <row r="33" spans="1:50">
      <c r="A33" s="1">
        <f>HYPERLINK("https://lsnyc.legalserver.org/matter/dynamic-profile/view/1876735","18-1876735")</f>
        <v>0</v>
      </c>
      <c r="B33" t="s">
        <v>62</v>
      </c>
      <c r="C33" t="s">
        <v>105</v>
      </c>
      <c r="D33" t="s">
        <v>135</v>
      </c>
      <c r="F33" t="s">
        <v>717</v>
      </c>
      <c r="G33" t="s">
        <v>1588</v>
      </c>
      <c r="H33" t="s">
        <v>2488</v>
      </c>
      <c r="I33" t="s">
        <v>3292</v>
      </c>
      <c r="J33" t="s">
        <v>3604</v>
      </c>
      <c r="K33">
        <v>10033</v>
      </c>
      <c r="L33" t="s">
        <v>3610</v>
      </c>
      <c r="M33" t="s">
        <v>3610</v>
      </c>
      <c r="O33" t="s">
        <v>4213</v>
      </c>
      <c r="P33" t="s">
        <v>4241</v>
      </c>
      <c r="R33" t="s">
        <v>4258</v>
      </c>
      <c r="S33" t="s">
        <v>3610</v>
      </c>
      <c r="U33" t="s">
        <v>4268</v>
      </c>
      <c r="W33" t="s">
        <v>135</v>
      </c>
      <c r="X33">
        <v>1783.78</v>
      </c>
      <c r="Y33" t="s">
        <v>4351</v>
      </c>
      <c r="Z33" t="s">
        <v>4354</v>
      </c>
      <c r="AB33" t="s">
        <v>4428</v>
      </c>
      <c r="AD33" t="s">
        <v>5872</v>
      </c>
      <c r="AE33">
        <v>232</v>
      </c>
      <c r="AF33" t="s">
        <v>7101</v>
      </c>
      <c r="AG33" t="s">
        <v>3745</v>
      </c>
      <c r="AH33">
        <v>6</v>
      </c>
      <c r="AI33">
        <v>2</v>
      </c>
      <c r="AJ33">
        <v>3</v>
      </c>
      <c r="AK33">
        <v>0</v>
      </c>
      <c r="AN33" t="s">
        <v>7139</v>
      </c>
      <c r="AO33">
        <v>0</v>
      </c>
      <c r="AU33">
        <v>0.7</v>
      </c>
      <c r="AV33" t="s">
        <v>426</v>
      </c>
      <c r="AW33" t="s">
        <v>7342</v>
      </c>
    </row>
    <row r="34" spans="1:50">
      <c r="A34" s="1">
        <f>HYPERLINK("https://lsnyc.legalserver.org/matter/dynamic-profile/view/1876564","18-1876564")</f>
        <v>0</v>
      </c>
      <c r="B34" t="s">
        <v>56</v>
      </c>
      <c r="C34" t="s">
        <v>104</v>
      </c>
      <c r="D34" t="s">
        <v>136</v>
      </c>
      <c r="E34" t="s">
        <v>110</v>
      </c>
      <c r="F34" t="s">
        <v>718</v>
      </c>
      <c r="G34" t="s">
        <v>1574</v>
      </c>
      <c r="H34" t="s">
        <v>2489</v>
      </c>
      <c r="I34">
        <v>1</v>
      </c>
      <c r="J34" t="s">
        <v>3604</v>
      </c>
      <c r="K34">
        <v>10033</v>
      </c>
      <c r="L34" t="s">
        <v>3610</v>
      </c>
      <c r="M34" t="s">
        <v>3610</v>
      </c>
      <c r="O34" t="s">
        <v>4211</v>
      </c>
      <c r="P34" t="s">
        <v>4242</v>
      </c>
      <c r="Q34" t="s">
        <v>4250</v>
      </c>
      <c r="R34" t="s">
        <v>4258</v>
      </c>
      <c r="S34" t="s">
        <v>3611</v>
      </c>
      <c r="U34" t="s">
        <v>4268</v>
      </c>
      <c r="W34" t="s">
        <v>136</v>
      </c>
      <c r="X34">
        <v>2051</v>
      </c>
      <c r="Y34" t="s">
        <v>4351</v>
      </c>
      <c r="Z34" t="s">
        <v>4354</v>
      </c>
      <c r="AA34" t="s">
        <v>4373</v>
      </c>
      <c r="AB34" t="s">
        <v>4429</v>
      </c>
      <c r="AE34">
        <v>49</v>
      </c>
      <c r="AF34" t="s">
        <v>7101</v>
      </c>
      <c r="AG34" t="s">
        <v>3745</v>
      </c>
      <c r="AH34">
        <v>1</v>
      </c>
      <c r="AI34">
        <v>3</v>
      </c>
      <c r="AJ34">
        <v>1</v>
      </c>
      <c r="AK34">
        <v>0</v>
      </c>
      <c r="AN34" t="s">
        <v>7138</v>
      </c>
      <c r="AO34">
        <v>0</v>
      </c>
      <c r="AU34">
        <v>1.2</v>
      </c>
      <c r="AV34" t="s">
        <v>168</v>
      </c>
      <c r="AW34" t="s">
        <v>7342</v>
      </c>
    </row>
    <row r="35" spans="1:50">
      <c r="A35" s="1">
        <f>HYPERLINK("https://lsnyc.legalserver.org/matter/dynamic-profile/view/1872486","18-1872486")</f>
        <v>0</v>
      </c>
      <c r="B35" t="s">
        <v>64</v>
      </c>
      <c r="C35" t="s">
        <v>104</v>
      </c>
      <c r="D35" t="s">
        <v>137</v>
      </c>
      <c r="E35" t="s">
        <v>553</v>
      </c>
      <c r="F35" t="s">
        <v>719</v>
      </c>
      <c r="G35" t="s">
        <v>1589</v>
      </c>
      <c r="H35" t="s">
        <v>2490</v>
      </c>
      <c r="I35" t="s">
        <v>3293</v>
      </c>
      <c r="J35" t="s">
        <v>3604</v>
      </c>
      <c r="K35">
        <v>10033</v>
      </c>
      <c r="L35" t="s">
        <v>3610</v>
      </c>
      <c r="M35" t="s">
        <v>3610</v>
      </c>
      <c r="N35" t="s">
        <v>3630</v>
      </c>
      <c r="O35" t="s">
        <v>4209</v>
      </c>
      <c r="P35" t="s">
        <v>4242</v>
      </c>
      <c r="Q35" t="s">
        <v>4250</v>
      </c>
      <c r="R35" t="s">
        <v>4258</v>
      </c>
      <c r="S35" t="s">
        <v>3611</v>
      </c>
      <c r="U35" t="s">
        <v>4268</v>
      </c>
      <c r="W35" t="s">
        <v>137</v>
      </c>
      <c r="X35">
        <v>1060.82</v>
      </c>
      <c r="Y35" t="s">
        <v>4351</v>
      </c>
      <c r="Z35" t="s">
        <v>4354</v>
      </c>
      <c r="AA35" t="s">
        <v>4373</v>
      </c>
      <c r="AB35" t="s">
        <v>4430</v>
      </c>
      <c r="AD35" t="s">
        <v>5873</v>
      </c>
      <c r="AE35">
        <v>0</v>
      </c>
      <c r="AF35" t="s">
        <v>7101</v>
      </c>
      <c r="AG35" t="s">
        <v>3745</v>
      </c>
      <c r="AH35">
        <v>29</v>
      </c>
      <c r="AI35">
        <v>1</v>
      </c>
      <c r="AJ35">
        <v>0</v>
      </c>
      <c r="AK35">
        <v>0</v>
      </c>
      <c r="AN35" t="s">
        <v>7139</v>
      </c>
      <c r="AO35">
        <v>0</v>
      </c>
      <c r="AU35">
        <v>2.5</v>
      </c>
      <c r="AV35" t="s">
        <v>553</v>
      </c>
      <c r="AW35" t="s">
        <v>7342</v>
      </c>
    </row>
    <row r="36" spans="1:50">
      <c r="A36" s="1">
        <f>HYPERLINK("https://lsnyc.legalserver.org/matter/dynamic-profile/view/1876150","18-1876150")</f>
        <v>0</v>
      </c>
      <c r="B36" t="s">
        <v>61</v>
      </c>
      <c r="C36" t="s">
        <v>105</v>
      </c>
      <c r="D36" t="s">
        <v>138</v>
      </c>
      <c r="F36" t="s">
        <v>720</v>
      </c>
      <c r="G36" t="s">
        <v>1590</v>
      </c>
      <c r="H36" t="s">
        <v>2491</v>
      </c>
      <c r="I36" t="s">
        <v>3279</v>
      </c>
      <c r="J36" t="s">
        <v>3604</v>
      </c>
      <c r="K36">
        <v>10033</v>
      </c>
      <c r="L36" t="s">
        <v>3610</v>
      </c>
      <c r="M36" t="s">
        <v>3610</v>
      </c>
      <c r="N36" t="s">
        <v>3631</v>
      </c>
      <c r="O36" t="s">
        <v>4209</v>
      </c>
      <c r="P36" t="s">
        <v>4241</v>
      </c>
      <c r="R36" t="s">
        <v>4258</v>
      </c>
      <c r="S36" t="s">
        <v>3611</v>
      </c>
      <c r="U36" t="s">
        <v>4268</v>
      </c>
      <c r="W36" t="s">
        <v>138</v>
      </c>
      <c r="X36">
        <v>1244</v>
      </c>
      <c r="Y36" t="s">
        <v>4351</v>
      </c>
      <c r="Z36" t="s">
        <v>4354</v>
      </c>
      <c r="AB36" t="s">
        <v>4431</v>
      </c>
      <c r="AD36" t="s">
        <v>5874</v>
      </c>
      <c r="AE36">
        <v>37</v>
      </c>
      <c r="AF36" t="s">
        <v>7101</v>
      </c>
      <c r="AG36" t="s">
        <v>3745</v>
      </c>
      <c r="AH36">
        <v>30</v>
      </c>
      <c r="AI36">
        <v>1</v>
      </c>
      <c r="AJ36">
        <v>0</v>
      </c>
      <c r="AK36">
        <v>0</v>
      </c>
      <c r="AN36" t="s">
        <v>7139</v>
      </c>
      <c r="AO36">
        <v>0</v>
      </c>
      <c r="AU36">
        <v>38.35</v>
      </c>
      <c r="AV36" t="s">
        <v>659</v>
      </c>
      <c r="AW36" t="s">
        <v>7342</v>
      </c>
      <c r="AX36" t="s">
        <v>7377</v>
      </c>
    </row>
    <row r="37" spans="1:50">
      <c r="A37" s="1">
        <f>HYPERLINK("https://lsnyc.legalserver.org/matter/dynamic-profile/view/1894615","19-1894615")</f>
        <v>0</v>
      </c>
      <c r="B37" t="s">
        <v>62</v>
      </c>
      <c r="C37" t="s">
        <v>105</v>
      </c>
      <c r="D37" t="s">
        <v>139</v>
      </c>
      <c r="F37" t="s">
        <v>721</v>
      </c>
      <c r="G37" t="s">
        <v>1591</v>
      </c>
      <c r="H37" t="s">
        <v>2492</v>
      </c>
      <c r="I37" t="s">
        <v>3294</v>
      </c>
      <c r="J37" t="s">
        <v>3604</v>
      </c>
      <c r="K37">
        <v>10033</v>
      </c>
      <c r="L37" t="s">
        <v>3610</v>
      </c>
      <c r="M37" t="s">
        <v>3610</v>
      </c>
      <c r="N37" t="s">
        <v>3632</v>
      </c>
      <c r="O37" t="s">
        <v>4209</v>
      </c>
      <c r="P37" t="s">
        <v>4241</v>
      </c>
      <c r="R37" t="s">
        <v>4258</v>
      </c>
      <c r="S37" t="s">
        <v>3611</v>
      </c>
      <c r="U37" t="s">
        <v>4268</v>
      </c>
      <c r="W37" t="s">
        <v>139</v>
      </c>
      <c r="X37">
        <v>1254.42</v>
      </c>
      <c r="Y37" t="s">
        <v>4351</v>
      </c>
      <c r="Z37" t="s">
        <v>4353</v>
      </c>
      <c r="AB37" t="s">
        <v>4432</v>
      </c>
      <c r="AC37" t="s">
        <v>5786</v>
      </c>
      <c r="AD37" t="s">
        <v>5875</v>
      </c>
      <c r="AE37">
        <v>26</v>
      </c>
      <c r="AF37" t="s">
        <v>7101</v>
      </c>
      <c r="AG37" t="s">
        <v>3745</v>
      </c>
      <c r="AH37">
        <v>4</v>
      </c>
      <c r="AI37">
        <v>1</v>
      </c>
      <c r="AJ37">
        <v>3</v>
      </c>
      <c r="AK37">
        <v>0</v>
      </c>
      <c r="AN37" t="s">
        <v>7139</v>
      </c>
      <c r="AO37">
        <v>0</v>
      </c>
      <c r="AU37">
        <v>15.45</v>
      </c>
      <c r="AV37" t="s">
        <v>325</v>
      </c>
      <c r="AW37" t="s">
        <v>7347</v>
      </c>
      <c r="AX37" t="s">
        <v>7377</v>
      </c>
    </row>
    <row r="38" spans="1:50">
      <c r="A38" s="1">
        <f>HYPERLINK("https://lsnyc.legalserver.org/matter/dynamic-profile/view/1894249","19-1894249")</f>
        <v>0</v>
      </c>
      <c r="B38" t="s">
        <v>63</v>
      </c>
      <c r="C38" t="s">
        <v>104</v>
      </c>
      <c r="D38" t="s">
        <v>140</v>
      </c>
      <c r="E38" t="s">
        <v>512</v>
      </c>
      <c r="F38" t="s">
        <v>722</v>
      </c>
      <c r="G38" t="s">
        <v>1592</v>
      </c>
      <c r="H38" t="s">
        <v>2493</v>
      </c>
      <c r="I38" t="s">
        <v>3274</v>
      </c>
      <c r="J38" t="s">
        <v>3604</v>
      </c>
      <c r="K38">
        <v>10033</v>
      </c>
      <c r="L38" t="s">
        <v>3610</v>
      </c>
      <c r="M38" t="s">
        <v>3611</v>
      </c>
      <c r="O38" t="s">
        <v>4219</v>
      </c>
      <c r="P38" t="s">
        <v>4242</v>
      </c>
      <c r="Q38" t="s">
        <v>4250</v>
      </c>
      <c r="R38" t="s">
        <v>4258</v>
      </c>
      <c r="S38" t="s">
        <v>3611</v>
      </c>
      <c r="U38" t="s">
        <v>4268</v>
      </c>
      <c r="W38" t="s">
        <v>140</v>
      </c>
      <c r="X38">
        <v>0</v>
      </c>
      <c r="Y38" t="s">
        <v>4351</v>
      </c>
      <c r="Z38" t="s">
        <v>4354</v>
      </c>
      <c r="AA38" t="s">
        <v>4373</v>
      </c>
      <c r="AB38" t="s">
        <v>4433</v>
      </c>
      <c r="AD38" t="s">
        <v>5876</v>
      </c>
      <c r="AE38">
        <v>42</v>
      </c>
      <c r="AF38" t="s">
        <v>7101</v>
      </c>
      <c r="AG38" t="s">
        <v>3745</v>
      </c>
      <c r="AH38">
        <v>10</v>
      </c>
      <c r="AI38">
        <v>2</v>
      </c>
      <c r="AJ38">
        <v>0</v>
      </c>
      <c r="AK38">
        <v>0</v>
      </c>
      <c r="AN38" t="s">
        <v>7138</v>
      </c>
      <c r="AO38">
        <v>0</v>
      </c>
      <c r="AU38">
        <v>0.1</v>
      </c>
      <c r="AV38" t="s">
        <v>140</v>
      </c>
      <c r="AW38" t="s">
        <v>7348</v>
      </c>
      <c r="AX38" t="s">
        <v>7377</v>
      </c>
    </row>
    <row r="39" spans="1:50">
      <c r="A39" s="1">
        <f>HYPERLINK("https://lsnyc.legalserver.org/matter/dynamic-profile/view/1870535","18-1870535")</f>
        <v>0</v>
      </c>
      <c r="B39" t="s">
        <v>63</v>
      </c>
      <c r="C39" t="s">
        <v>104</v>
      </c>
      <c r="D39" t="s">
        <v>141</v>
      </c>
      <c r="E39" t="s">
        <v>377</v>
      </c>
      <c r="F39" t="s">
        <v>723</v>
      </c>
      <c r="G39" t="s">
        <v>1593</v>
      </c>
      <c r="H39" t="s">
        <v>2494</v>
      </c>
      <c r="I39" t="s">
        <v>3295</v>
      </c>
      <c r="J39" t="s">
        <v>3604</v>
      </c>
      <c r="K39">
        <v>10032</v>
      </c>
      <c r="L39" t="s">
        <v>3610</v>
      </c>
      <c r="M39" t="s">
        <v>3609</v>
      </c>
      <c r="O39" t="s">
        <v>4220</v>
      </c>
      <c r="P39" t="s">
        <v>4245</v>
      </c>
      <c r="Q39" t="s">
        <v>4250</v>
      </c>
      <c r="R39" t="s">
        <v>4258</v>
      </c>
      <c r="S39" t="s">
        <v>3610</v>
      </c>
      <c r="U39" t="s">
        <v>4268</v>
      </c>
      <c r="W39" t="s">
        <v>4284</v>
      </c>
      <c r="X39">
        <v>726.0599999999999</v>
      </c>
      <c r="Y39" t="s">
        <v>4351</v>
      </c>
      <c r="Z39" t="s">
        <v>4354</v>
      </c>
      <c r="AA39" t="s">
        <v>4378</v>
      </c>
      <c r="AB39" t="s">
        <v>4434</v>
      </c>
      <c r="AE39">
        <v>49</v>
      </c>
      <c r="AF39" t="s">
        <v>7101</v>
      </c>
      <c r="AG39" t="s">
        <v>3745</v>
      </c>
      <c r="AH39">
        <v>39</v>
      </c>
      <c r="AI39">
        <v>2</v>
      </c>
      <c r="AJ39">
        <v>0</v>
      </c>
      <c r="AK39">
        <v>0</v>
      </c>
      <c r="AN39" t="s">
        <v>7139</v>
      </c>
      <c r="AO39">
        <v>0</v>
      </c>
      <c r="AU39">
        <v>0</v>
      </c>
      <c r="AV39" t="s">
        <v>552</v>
      </c>
      <c r="AW39" t="s">
        <v>7342</v>
      </c>
    </row>
    <row r="40" spans="1:50">
      <c r="A40" s="1">
        <f>HYPERLINK("https://lsnyc.legalserver.org/matter/dynamic-profile/view/1871515","18-1871515")</f>
        <v>0</v>
      </c>
      <c r="B40" t="s">
        <v>65</v>
      </c>
      <c r="C40" t="s">
        <v>104</v>
      </c>
      <c r="D40" t="s">
        <v>119</v>
      </c>
      <c r="E40" t="s">
        <v>658</v>
      </c>
      <c r="F40" t="s">
        <v>724</v>
      </c>
      <c r="G40" t="s">
        <v>1594</v>
      </c>
      <c r="H40" t="s">
        <v>2495</v>
      </c>
      <c r="I40" t="s">
        <v>3296</v>
      </c>
      <c r="J40" t="s">
        <v>3604</v>
      </c>
      <c r="K40">
        <v>10032</v>
      </c>
      <c r="L40" t="s">
        <v>3611</v>
      </c>
      <c r="M40" t="s">
        <v>3609</v>
      </c>
      <c r="O40" t="s">
        <v>4220</v>
      </c>
      <c r="P40" t="s">
        <v>4245</v>
      </c>
      <c r="Q40" t="s">
        <v>4250</v>
      </c>
      <c r="R40" t="s">
        <v>4258</v>
      </c>
      <c r="S40" t="s">
        <v>3610</v>
      </c>
      <c r="U40" t="s">
        <v>4268</v>
      </c>
      <c r="X40">
        <v>819.47</v>
      </c>
      <c r="Y40" t="s">
        <v>4351</v>
      </c>
      <c r="Z40" t="s">
        <v>4354</v>
      </c>
      <c r="AA40" t="s">
        <v>4378</v>
      </c>
      <c r="AE40">
        <v>115</v>
      </c>
      <c r="AF40" t="s">
        <v>7101</v>
      </c>
      <c r="AG40" t="s">
        <v>3745</v>
      </c>
      <c r="AH40">
        <v>0</v>
      </c>
      <c r="AI40">
        <v>1</v>
      </c>
      <c r="AJ40">
        <v>0</v>
      </c>
      <c r="AK40">
        <v>0</v>
      </c>
      <c r="AN40" t="s">
        <v>7139</v>
      </c>
      <c r="AO40">
        <v>0</v>
      </c>
      <c r="AU40">
        <v>0.05</v>
      </c>
      <c r="AV40" t="s">
        <v>119</v>
      </c>
      <c r="AW40" t="s">
        <v>7342</v>
      </c>
    </row>
    <row r="41" spans="1:50">
      <c r="A41" s="1">
        <f>HYPERLINK("https://lsnyc.legalserver.org/matter/dynamic-profile/view/1871522","18-1871522")</f>
        <v>0</v>
      </c>
      <c r="B41" t="s">
        <v>65</v>
      </c>
      <c r="C41" t="s">
        <v>104</v>
      </c>
      <c r="D41" t="s">
        <v>119</v>
      </c>
      <c r="E41" t="s">
        <v>658</v>
      </c>
      <c r="F41" t="s">
        <v>717</v>
      </c>
      <c r="G41" t="s">
        <v>1595</v>
      </c>
      <c r="H41" t="s">
        <v>2495</v>
      </c>
      <c r="I41" t="s">
        <v>3291</v>
      </c>
      <c r="J41" t="s">
        <v>3604</v>
      </c>
      <c r="K41">
        <v>10032</v>
      </c>
      <c r="L41" t="s">
        <v>3610</v>
      </c>
      <c r="M41" t="s">
        <v>3609</v>
      </c>
      <c r="O41" t="s">
        <v>4220</v>
      </c>
      <c r="P41" t="s">
        <v>4245</v>
      </c>
      <c r="Q41" t="s">
        <v>4250</v>
      </c>
      <c r="R41" t="s">
        <v>4258</v>
      </c>
      <c r="S41" t="s">
        <v>3610</v>
      </c>
      <c r="U41" t="s">
        <v>4268</v>
      </c>
      <c r="X41">
        <v>1065.07</v>
      </c>
      <c r="Y41" t="s">
        <v>4351</v>
      </c>
      <c r="Z41" t="s">
        <v>4354</v>
      </c>
      <c r="AA41" t="s">
        <v>4378</v>
      </c>
      <c r="AE41">
        <v>115</v>
      </c>
      <c r="AF41" t="s">
        <v>7101</v>
      </c>
      <c r="AG41" t="s">
        <v>3745</v>
      </c>
      <c r="AH41">
        <v>0</v>
      </c>
      <c r="AI41">
        <v>1</v>
      </c>
      <c r="AJ41">
        <v>0</v>
      </c>
      <c r="AK41">
        <v>0</v>
      </c>
      <c r="AN41" t="s">
        <v>7139</v>
      </c>
      <c r="AO41">
        <v>0</v>
      </c>
      <c r="AU41">
        <v>0.05</v>
      </c>
      <c r="AV41" t="s">
        <v>119</v>
      </c>
      <c r="AW41" t="s">
        <v>7342</v>
      </c>
    </row>
    <row r="42" spans="1:50">
      <c r="A42" s="1">
        <f>HYPERLINK("https://lsnyc.legalserver.org/matter/dynamic-profile/view/1871524","18-1871524")</f>
        <v>0</v>
      </c>
      <c r="B42" t="s">
        <v>65</v>
      </c>
      <c r="C42" t="s">
        <v>104</v>
      </c>
      <c r="D42" t="s">
        <v>119</v>
      </c>
      <c r="E42" t="s">
        <v>658</v>
      </c>
      <c r="F42" t="s">
        <v>725</v>
      </c>
      <c r="G42" t="s">
        <v>1596</v>
      </c>
      <c r="H42" t="s">
        <v>2495</v>
      </c>
      <c r="I42" t="s">
        <v>3297</v>
      </c>
      <c r="J42" t="s">
        <v>3604</v>
      </c>
      <c r="K42">
        <v>10032</v>
      </c>
      <c r="L42" t="s">
        <v>3611</v>
      </c>
      <c r="M42" t="s">
        <v>3609</v>
      </c>
      <c r="O42" t="s">
        <v>4220</v>
      </c>
      <c r="P42" t="s">
        <v>4245</v>
      </c>
      <c r="Q42" t="s">
        <v>4250</v>
      </c>
      <c r="R42" t="s">
        <v>4258</v>
      </c>
      <c r="S42" t="s">
        <v>3610</v>
      </c>
      <c r="U42" t="s">
        <v>4268</v>
      </c>
      <c r="X42">
        <v>1040.1</v>
      </c>
      <c r="Y42" t="s">
        <v>4351</v>
      </c>
      <c r="Z42" t="s">
        <v>4354</v>
      </c>
      <c r="AA42" t="s">
        <v>4378</v>
      </c>
      <c r="AE42">
        <v>115</v>
      </c>
      <c r="AF42" t="s">
        <v>7101</v>
      </c>
      <c r="AG42" t="s">
        <v>3745</v>
      </c>
      <c r="AH42">
        <v>0</v>
      </c>
      <c r="AI42">
        <v>1</v>
      </c>
      <c r="AJ42">
        <v>0</v>
      </c>
      <c r="AK42">
        <v>0</v>
      </c>
      <c r="AN42" t="s">
        <v>7139</v>
      </c>
      <c r="AO42">
        <v>0</v>
      </c>
      <c r="AU42">
        <v>0.05</v>
      </c>
      <c r="AV42" t="s">
        <v>119</v>
      </c>
      <c r="AW42" t="s">
        <v>7342</v>
      </c>
    </row>
    <row r="43" spans="1:50">
      <c r="A43" s="1">
        <f>HYPERLINK("https://lsnyc.legalserver.org/matter/dynamic-profile/view/1871527","18-1871527")</f>
        <v>0</v>
      </c>
      <c r="B43" t="s">
        <v>65</v>
      </c>
      <c r="C43" t="s">
        <v>104</v>
      </c>
      <c r="D43" t="s">
        <v>119</v>
      </c>
      <c r="E43" t="s">
        <v>658</v>
      </c>
      <c r="F43" t="s">
        <v>726</v>
      </c>
      <c r="G43" t="s">
        <v>1594</v>
      </c>
      <c r="H43" t="s">
        <v>2495</v>
      </c>
      <c r="I43" t="s">
        <v>3298</v>
      </c>
      <c r="J43" t="s">
        <v>3604</v>
      </c>
      <c r="K43">
        <v>10032</v>
      </c>
      <c r="L43" t="s">
        <v>3611</v>
      </c>
      <c r="M43" t="s">
        <v>3609</v>
      </c>
      <c r="O43" t="s">
        <v>4220</v>
      </c>
      <c r="P43" t="s">
        <v>4245</v>
      </c>
      <c r="Q43" t="s">
        <v>4250</v>
      </c>
      <c r="R43" t="s">
        <v>4258</v>
      </c>
      <c r="S43" t="s">
        <v>3610</v>
      </c>
      <c r="U43" t="s">
        <v>4268</v>
      </c>
      <c r="X43">
        <v>663.04</v>
      </c>
      <c r="Y43" t="s">
        <v>4351</v>
      </c>
      <c r="Z43" t="s">
        <v>4354</v>
      </c>
      <c r="AA43" t="s">
        <v>4378</v>
      </c>
      <c r="AE43">
        <v>115</v>
      </c>
      <c r="AF43" t="s">
        <v>7101</v>
      </c>
      <c r="AG43" t="s">
        <v>3745</v>
      </c>
      <c r="AH43">
        <v>0</v>
      </c>
      <c r="AI43">
        <v>1</v>
      </c>
      <c r="AJ43">
        <v>0</v>
      </c>
      <c r="AK43">
        <v>0</v>
      </c>
      <c r="AN43" t="s">
        <v>7138</v>
      </c>
      <c r="AO43">
        <v>0</v>
      </c>
      <c r="AU43">
        <v>0.05</v>
      </c>
      <c r="AV43" t="s">
        <v>119</v>
      </c>
      <c r="AW43" t="s">
        <v>7342</v>
      </c>
    </row>
    <row r="44" spans="1:50">
      <c r="A44" s="1">
        <f>HYPERLINK("https://lsnyc.legalserver.org/matter/dynamic-profile/view/1871529","18-1871529")</f>
        <v>0</v>
      </c>
      <c r="B44" t="s">
        <v>65</v>
      </c>
      <c r="C44" t="s">
        <v>104</v>
      </c>
      <c r="D44" t="s">
        <v>119</v>
      </c>
      <c r="E44" t="s">
        <v>658</v>
      </c>
      <c r="F44" t="s">
        <v>711</v>
      </c>
      <c r="G44" t="s">
        <v>1597</v>
      </c>
      <c r="H44" t="s">
        <v>2495</v>
      </c>
      <c r="I44" t="s">
        <v>3299</v>
      </c>
      <c r="J44" t="s">
        <v>3604</v>
      </c>
      <c r="K44">
        <v>10032</v>
      </c>
      <c r="L44" t="s">
        <v>3611</v>
      </c>
      <c r="M44" t="s">
        <v>3609</v>
      </c>
      <c r="O44" t="s">
        <v>4220</v>
      </c>
      <c r="P44" t="s">
        <v>4245</v>
      </c>
      <c r="Q44" t="s">
        <v>4250</v>
      </c>
      <c r="R44" t="s">
        <v>4258</v>
      </c>
      <c r="S44" t="s">
        <v>3610</v>
      </c>
      <c r="U44" t="s">
        <v>4268</v>
      </c>
      <c r="X44">
        <v>964.08</v>
      </c>
      <c r="Y44" t="s">
        <v>4351</v>
      </c>
      <c r="Z44" t="s">
        <v>4354</v>
      </c>
      <c r="AA44" t="s">
        <v>4378</v>
      </c>
      <c r="AE44">
        <v>115</v>
      </c>
      <c r="AF44" t="s">
        <v>7101</v>
      </c>
      <c r="AG44" t="s">
        <v>3745</v>
      </c>
      <c r="AH44">
        <v>0</v>
      </c>
      <c r="AI44">
        <v>2</v>
      </c>
      <c r="AJ44">
        <v>0</v>
      </c>
      <c r="AK44">
        <v>0</v>
      </c>
      <c r="AN44" t="s">
        <v>7139</v>
      </c>
      <c r="AO44">
        <v>0</v>
      </c>
      <c r="AU44">
        <v>0.05</v>
      </c>
      <c r="AV44" t="s">
        <v>119</v>
      </c>
      <c r="AW44" t="s">
        <v>7342</v>
      </c>
    </row>
    <row r="45" spans="1:50">
      <c r="A45" s="1">
        <f>HYPERLINK("https://lsnyc.legalserver.org/matter/dynamic-profile/view/1871532","18-1871532")</f>
        <v>0</v>
      </c>
      <c r="B45" t="s">
        <v>65</v>
      </c>
      <c r="C45" t="s">
        <v>104</v>
      </c>
      <c r="D45" t="s">
        <v>119</v>
      </c>
      <c r="E45" t="s">
        <v>658</v>
      </c>
      <c r="F45" t="s">
        <v>727</v>
      </c>
      <c r="G45" t="s">
        <v>1598</v>
      </c>
      <c r="H45" t="s">
        <v>2495</v>
      </c>
      <c r="I45" t="s">
        <v>3300</v>
      </c>
      <c r="J45" t="s">
        <v>3604</v>
      </c>
      <c r="K45">
        <v>10032</v>
      </c>
      <c r="L45" t="s">
        <v>3611</v>
      </c>
      <c r="M45" t="s">
        <v>3609</v>
      </c>
      <c r="O45" t="s">
        <v>4220</v>
      </c>
      <c r="P45" t="s">
        <v>4245</v>
      </c>
      <c r="Q45" t="s">
        <v>4250</v>
      </c>
      <c r="R45" t="s">
        <v>4258</v>
      </c>
      <c r="S45" t="s">
        <v>3610</v>
      </c>
      <c r="U45" t="s">
        <v>4268</v>
      </c>
      <c r="X45">
        <v>1074.42</v>
      </c>
      <c r="Y45" t="s">
        <v>4351</v>
      </c>
      <c r="Z45" t="s">
        <v>4354</v>
      </c>
      <c r="AA45" t="s">
        <v>4378</v>
      </c>
      <c r="AE45">
        <v>115</v>
      </c>
      <c r="AF45" t="s">
        <v>7101</v>
      </c>
      <c r="AG45" t="s">
        <v>3745</v>
      </c>
      <c r="AH45">
        <v>0</v>
      </c>
      <c r="AI45">
        <v>1</v>
      </c>
      <c r="AJ45">
        <v>0</v>
      </c>
      <c r="AK45">
        <v>0</v>
      </c>
      <c r="AN45" t="s">
        <v>7139</v>
      </c>
      <c r="AO45">
        <v>0</v>
      </c>
      <c r="AU45">
        <v>0.05</v>
      </c>
      <c r="AV45" t="s">
        <v>119</v>
      </c>
      <c r="AW45" t="s">
        <v>7342</v>
      </c>
    </row>
    <row r="46" spans="1:50">
      <c r="A46" s="1">
        <f>HYPERLINK("https://lsnyc.legalserver.org/matter/dynamic-profile/view/1871535","18-1871535")</f>
        <v>0</v>
      </c>
      <c r="B46" t="s">
        <v>65</v>
      </c>
      <c r="C46" t="s">
        <v>104</v>
      </c>
      <c r="D46" t="s">
        <v>119</v>
      </c>
      <c r="E46" t="s">
        <v>658</v>
      </c>
      <c r="F46" t="s">
        <v>723</v>
      </c>
      <c r="G46" t="s">
        <v>1599</v>
      </c>
      <c r="H46" t="s">
        <v>2495</v>
      </c>
      <c r="I46" t="s">
        <v>3301</v>
      </c>
      <c r="J46" t="s">
        <v>3604</v>
      </c>
      <c r="K46">
        <v>10032</v>
      </c>
      <c r="L46" t="s">
        <v>3611</v>
      </c>
      <c r="M46" t="s">
        <v>3609</v>
      </c>
      <c r="O46" t="s">
        <v>4220</v>
      </c>
      <c r="P46" t="s">
        <v>4245</v>
      </c>
      <c r="Q46" t="s">
        <v>4250</v>
      </c>
      <c r="R46" t="s">
        <v>4258</v>
      </c>
      <c r="S46" t="s">
        <v>3610</v>
      </c>
      <c r="U46" t="s">
        <v>4268</v>
      </c>
      <c r="X46">
        <v>982.15</v>
      </c>
      <c r="Y46" t="s">
        <v>4351</v>
      </c>
      <c r="Z46" t="s">
        <v>4354</v>
      </c>
      <c r="AA46" t="s">
        <v>4378</v>
      </c>
      <c r="AE46">
        <v>115</v>
      </c>
      <c r="AF46" t="s">
        <v>7101</v>
      </c>
      <c r="AG46" t="s">
        <v>3745</v>
      </c>
      <c r="AH46">
        <v>0</v>
      </c>
      <c r="AI46">
        <v>2</v>
      </c>
      <c r="AJ46">
        <v>0</v>
      </c>
      <c r="AK46">
        <v>0</v>
      </c>
      <c r="AN46" t="s">
        <v>7139</v>
      </c>
      <c r="AO46">
        <v>0</v>
      </c>
      <c r="AU46">
        <v>0.05</v>
      </c>
      <c r="AV46" t="s">
        <v>119</v>
      </c>
      <c r="AW46" t="s">
        <v>7342</v>
      </c>
    </row>
    <row r="47" spans="1:50">
      <c r="A47" s="1">
        <f>HYPERLINK("https://lsnyc.legalserver.org/matter/dynamic-profile/view/1871537","18-1871537")</f>
        <v>0</v>
      </c>
      <c r="B47" t="s">
        <v>65</v>
      </c>
      <c r="C47" t="s">
        <v>104</v>
      </c>
      <c r="D47" t="s">
        <v>119</v>
      </c>
      <c r="E47" t="s">
        <v>658</v>
      </c>
      <c r="F47" t="s">
        <v>727</v>
      </c>
      <c r="G47" t="s">
        <v>1576</v>
      </c>
      <c r="H47" t="s">
        <v>2495</v>
      </c>
      <c r="I47" t="s">
        <v>3302</v>
      </c>
      <c r="J47" t="s">
        <v>3604</v>
      </c>
      <c r="K47">
        <v>10032</v>
      </c>
      <c r="L47" t="s">
        <v>3611</v>
      </c>
      <c r="M47" t="s">
        <v>3609</v>
      </c>
      <c r="O47" t="s">
        <v>4220</v>
      </c>
      <c r="P47" t="s">
        <v>4245</v>
      </c>
      <c r="Q47" t="s">
        <v>4250</v>
      </c>
      <c r="R47" t="s">
        <v>4258</v>
      </c>
      <c r="S47" t="s">
        <v>3610</v>
      </c>
      <c r="U47" t="s">
        <v>4268</v>
      </c>
      <c r="X47">
        <v>1127.12</v>
      </c>
      <c r="Y47" t="s">
        <v>4351</v>
      </c>
      <c r="Z47" t="s">
        <v>4354</v>
      </c>
      <c r="AA47" t="s">
        <v>4378</v>
      </c>
      <c r="AE47">
        <v>115</v>
      </c>
      <c r="AF47" t="s">
        <v>7101</v>
      </c>
      <c r="AG47" t="s">
        <v>3745</v>
      </c>
      <c r="AH47">
        <v>0</v>
      </c>
      <c r="AI47">
        <v>1</v>
      </c>
      <c r="AJ47">
        <v>0</v>
      </c>
      <c r="AK47">
        <v>0</v>
      </c>
      <c r="AN47" t="s">
        <v>7139</v>
      </c>
      <c r="AO47">
        <v>0</v>
      </c>
      <c r="AU47">
        <v>0.05</v>
      </c>
      <c r="AV47" t="s">
        <v>119</v>
      </c>
      <c r="AW47" t="s">
        <v>7342</v>
      </c>
    </row>
    <row r="48" spans="1:50">
      <c r="A48" s="1">
        <f>HYPERLINK("https://lsnyc.legalserver.org/matter/dynamic-profile/view/1871541","18-1871541")</f>
        <v>0</v>
      </c>
      <c r="B48" t="s">
        <v>65</v>
      </c>
      <c r="C48" t="s">
        <v>104</v>
      </c>
      <c r="D48" t="s">
        <v>119</v>
      </c>
      <c r="E48" t="s">
        <v>658</v>
      </c>
      <c r="F48" t="s">
        <v>728</v>
      </c>
      <c r="G48" t="s">
        <v>1600</v>
      </c>
      <c r="H48" t="s">
        <v>2495</v>
      </c>
      <c r="I48" t="s">
        <v>3303</v>
      </c>
      <c r="J48" t="s">
        <v>3604</v>
      </c>
      <c r="K48">
        <v>10032</v>
      </c>
      <c r="L48" t="s">
        <v>3611</v>
      </c>
      <c r="M48" t="s">
        <v>3609</v>
      </c>
      <c r="O48" t="s">
        <v>4220</v>
      </c>
      <c r="P48" t="s">
        <v>4245</v>
      </c>
      <c r="Q48" t="s">
        <v>4250</v>
      </c>
      <c r="R48" t="s">
        <v>4258</v>
      </c>
      <c r="S48" t="s">
        <v>3610</v>
      </c>
      <c r="U48" t="s">
        <v>4268</v>
      </c>
      <c r="X48">
        <v>884.03</v>
      </c>
      <c r="Y48" t="s">
        <v>4351</v>
      </c>
      <c r="Z48" t="s">
        <v>4354</v>
      </c>
      <c r="AA48" t="s">
        <v>4378</v>
      </c>
      <c r="AE48">
        <v>115</v>
      </c>
      <c r="AF48" t="s">
        <v>7101</v>
      </c>
      <c r="AG48" t="s">
        <v>3745</v>
      </c>
      <c r="AH48">
        <v>0</v>
      </c>
      <c r="AI48">
        <v>2</v>
      </c>
      <c r="AJ48">
        <v>0</v>
      </c>
      <c r="AK48">
        <v>0</v>
      </c>
      <c r="AN48" t="s">
        <v>7139</v>
      </c>
      <c r="AO48">
        <v>0</v>
      </c>
      <c r="AU48">
        <v>0.05</v>
      </c>
      <c r="AV48" t="s">
        <v>119</v>
      </c>
      <c r="AW48" t="s">
        <v>7342</v>
      </c>
    </row>
    <row r="49" spans="1:50">
      <c r="A49" s="1">
        <f>HYPERLINK("https://lsnyc.legalserver.org/matter/dynamic-profile/view/1871543","18-1871543")</f>
        <v>0</v>
      </c>
      <c r="B49" t="s">
        <v>65</v>
      </c>
      <c r="C49" t="s">
        <v>104</v>
      </c>
      <c r="D49" t="s">
        <v>119</v>
      </c>
      <c r="E49" t="s">
        <v>658</v>
      </c>
      <c r="F49" t="s">
        <v>729</v>
      </c>
      <c r="G49" t="s">
        <v>1601</v>
      </c>
      <c r="H49" t="s">
        <v>2495</v>
      </c>
      <c r="I49" t="s">
        <v>3304</v>
      </c>
      <c r="J49" t="s">
        <v>3604</v>
      </c>
      <c r="K49">
        <v>10032</v>
      </c>
      <c r="L49" t="s">
        <v>3611</v>
      </c>
      <c r="M49" t="s">
        <v>3609</v>
      </c>
      <c r="O49" t="s">
        <v>4220</v>
      </c>
      <c r="P49" t="s">
        <v>4245</v>
      </c>
      <c r="Q49" t="s">
        <v>4250</v>
      </c>
      <c r="R49" t="s">
        <v>4258</v>
      </c>
      <c r="S49" t="s">
        <v>3610</v>
      </c>
      <c r="U49" t="s">
        <v>4268</v>
      </c>
      <c r="X49">
        <v>3205</v>
      </c>
      <c r="Y49" t="s">
        <v>4351</v>
      </c>
      <c r="Z49" t="s">
        <v>4354</v>
      </c>
      <c r="AA49" t="s">
        <v>4378</v>
      </c>
      <c r="AE49">
        <v>115</v>
      </c>
      <c r="AF49" t="s">
        <v>7101</v>
      </c>
      <c r="AG49" t="s">
        <v>3745</v>
      </c>
      <c r="AH49">
        <v>0</v>
      </c>
      <c r="AI49">
        <v>1</v>
      </c>
      <c r="AJ49">
        <v>0</v>
      </c>
      <c r="AK49">
        <v>0</v>
      </c>
      <c r="AN49" t="s">
        <v>7139</v>
      </c>
      <c r="AO49">
        <v>0</v>
      </c>
      <c r="AU49">
        <v>1.55</v>
      </c>
      <c r="AV49" t="s">
        <v>7285</v>
      </c>
      <c r="AW49" t="s">
        <v>7342</v>
      </c>
    </row>
    <row r="50" spans="1:50">
      <c r="A50" s="1">
        <f>HYPERLINK("https://lsnyc.legalserver.org/matter/dynamic-profile/view/1871548","18-1871548")</f>
        <v>0</v>
      </c>
      <c r="B50" t="s">
        <v>65</v>
      </c>
      <c r="C50" t="s">
        <v>104</v>
      </c>
      <c r="D50" t="s">
        <v>119</v>
      </c>
      <c r="E50" t="s">
        <v>658</v>
      </c>
      <c r="F50" t="s">
        <v>730</v>
      </c>
      <c r="G50" t="s">
        <v>1602</v>
      </c>
      <c r="H50" t="s">
        <v>2495</v>
      </c>
      <c r="I50" t="s">
        <v>3305</v>
      </c>
      <c r="J50" t="s">
        <v>3604</v>
      </c>
      <c r="K50">
        <v>10032</v>
      </c>
      <c r="L50" t="s">
        <v>3611</v>
      </c>
      <c r="M50" t="s">
        <v>3609</v>
      </c>
      <c r="O50" t="s">
        <v>4220</v>
      </c>
      <c r="P50" t="s">
        <v>4245</v>
      </c>
      <c r="Q50" t="s">
        <v>4250</v>
      </c>
      <c r="R50" t="s">
        <v>4258</v>
      </c>
      <c r="S50" t="s">
        <v>3610</v>
      </c>
      <c r="U50" t="s">
        <v>4268</v>
      </c>
      <c r="X50">
        <v>0</v>
      </c>
      <c r="Y50" t="s">
        <v>4351</v>
      </c>
      <c r="Z50" t="s">
        <v>4354</v>
      </c>
      <c r="AA50" t="s">
        <v>4378</v>
      </c>
      <c r="AE50">
        <v>115</v>
      </c>
      <c r="AF50" t="s">
        <v>7101</v>
      </c>
      <c r="AG50" t="s">
        <v>3745</v>
      </c>
      <c r="AH50">
        <v>0</v>
      </c>
      <c r="AI50">
        <v>1</v>
      </c>
      <c r="AJ50">
        <v>0</v>
      </c>
      <c r="AK50">
        <v>0</v>
      </c>
      <c r="AN50" t="s">
        <v>7138</v>
      </c>
      <c r="AO50">
        <v>0</v>
      </c>
      <c r="AU50">
        <v>0.05</v>
      </c>
      <c r="AV50" t="s">
        <v>119</v>
      </c>
      <c r="AW50" t="s">
        <v>7342</v>
      </c>
    </row>
    <row r="51" spans="1:50">
      <c r="A51" s="1">
        <f>HYPERLINK("https://lsnyc.legalserver.org/matter/dynamic-profile/view/1871551","18-1871551")</f>
        <v>0</v>
      </c>
      <c r="B51" t="s">
        <v>65</v>
      </c>
      <c r="C51" t="s">
        <v>104</v>
      </c>
      <c r="D51" t="s">
        <v>119</v>
      </c>
      <c r="E51" t="s">
        <v>658</v>
      </c>
      <c r="F51" t="s">
        <v>731</v>
      </c>
      <c r="G51" t="s">
        <v>1024</v>
      </c>
      <c r="H51" t="s">
        <v>2495</v>
      </c>
      <c r="I51" t="s">
        <v>3306</v>
      </c>
      <c r="J51" t="s">
        <v>3604</v>
      </c>
      <c r="K51">
        <v>10032</v>
      </c>
      <c r="L51" t="s">
        <v>3611</v>
      </c>
      <c r="M51" t="s">
        <v>3609</v>
      </c>
      <c r="O51" t="s">
        <v>4220</v>
      </c>
      <c r="P51" t="s">
        <v>4245</v>
      </c>
      <c r="Q51" t="s">
        <v>4250</v>
      </c>
      <c r="R51" t="s">
        <v>4258</v>
      </c>
      <c r="S51" t="s">
        <v>3610</v>
      </c>
      <c r="U51" t="s">
        <v>4268</v>
      </c>
      <c r="X51">
        <v>2397.94</v>
      </c>
      <c r="Y51" t="s">
        <v>4351</v>
      </c>
      <c r="Z51" t="s">
        <v>4354</v>
      </c>
      <c r="AA51" t="s">
        <v>4378</v>
      </c>
      <c r="AE51">
        <v>115</v>
      </c>
      <c r="AF51" t="s">
        <v>7101</v>
      </c>
      <c r="AG51" t="s">
        <v>3745</v>
      </c>
      <c r="AH51">
        <v>0</v>
      </c>
      <c r="AI51">
        <v>1</v>
      </c>
      <c r="AJ51">
        <v>0</v>
      </c>
      <c r="AK51">
        <v>0</v>
      </c>
      <c r="AN51" t="s">
        <v>7139</v>
      </c>
      <c r="AO51">
        <v>0</v>
      </c>
      <c r="AU51">
        <v>0.05</v>
      </c>
      <c r="AV51" t="s">
        <v>119</v>
      </c>
      <c r="AW51" t="s">
        <v>7342</v>
      </c>
    </row>
    <row r="52" spans="1:50">
      <c r="A52" s="1">
        <f>HYPERLINK("https://lsnyc.legalserver.org/matter/dynamic-profile/view/1871588","18-1871588")</f>
        <v>0</v>
      </c>
      <c r="B52" t="s">
        <v>65</v>
      </c>
      <c r="C52" t="s">
        <v>104</v>
      </c>
      <c r="D52" t="s">
        <v>119</v>
      </c>
      <c r="E52" t="s">
        <v>658</v>
      </c>
      <c r="F52" t="s">
        <v>732</v>
      </c>
      <c r="G52" t="s">
        <v>1603</v>
      </c>
      <c r="H52" t="s">
        <v>2495</v>
      </c>
      <c r="I52" t="s">
        <v>3279</v>
      </c>
      <c r="J52" t="s">
        <v>3604</v>
      </c>
      <c r="K52">
        <v>10032</v>
      </c>
      <c r="L52" t="s">
        <v>3611</v>
      </c>
      <c r="M52" t="s">
        <v>3609</v>
      </c>
      <c r="O52" t="s">
        <v>4220</v>
      </c>
      <c r="P52" t="s">
        <v>4245</v>
      </c>
      <c r="Q52" t="s">
        <v>4250</v>
      </c>
      <c r="R52" t="s">
        <v>4258</v>
      </c>
      <c r="S52" t="s">
        <v>3610</v>
      </c>
      <c r="U52" t="s">
        <v>4268</v>
      </c>
      <c r="X52">
        <v>797.9</v>
      </c>
      <c r="Y52" t="s">
        <v>4351</v>
      </c>
      <c r="Z52" t="s">
        <v>4354</v>
      </c>
      <c r="AA52" t="s">
        <v>4378</v>
      </c>
      <c r="AE52">
        <v>115</v>
      </c>
      <c r="AF52" t="s">
        <v>7101</v>
      </c>
      <c r="AG52" t="s">
        <v>3745</v>
      </c>
      <c r="AH52">
        <v>0</v>
      </c>
      <c r="AI52">
        <v>1</v>
      </c>
      <c r="AJ52">
        <v>0</v>
      </c>
      <c r="AK52">
        <v>0</v>
      </c>
      <c r="AN52" t="s">
        <v>7139</v>
      </c>
      <c r="AO52">
        <v>0</v>
      </c>
      <c r="AU52">
        <v>2.15</v>
      </c>
      <c r="AV52" t="s">
        <v>119</v>
      </c>
      <c r="AW52" t="s">
        <v>7342</v>
      </c>
    </row>
    <row r="53" spans="1:50">
      <c r="A53" s="1">
        <f>HYPERLINK("https://lsnyc.legalserver.org/matter/dynamic-profile/view/1877175","18-1877175")</f>
        <v>0</v>
      </c>
      <c r="B53" t="s">
        <v>64</v>
      </c>
      <c r="C53" t="s">
        <v>104</v>
      </c>
      <c r="D53" t="s">
        <v>142</v>
      </c>
      <c r="E53" t="s">
        <v>142</v>
      </c>
      <c r="F53" t="s">
        <v>733</v>
      </c>
      <c r="G53" t="s">
        <v>1604</v>
      </c>
      <c r="H53" t="s">
        <v>2496</v>
      </c>
      <c r="I53">
        <v>66</v>
      </c>
      <c r="J53" t="s">
        <v>3604</v>
      </c>
      <c r="K53">
        <v>10032</v>
      </c>
      <c r="L53" t="s">
        <v>3610</v>
      </c>
      <c r="M53" t="s">
        <v>3609</v>
      </c>
      <c r="O53" t="s">
        <v>4211</v>
      </c>
      <c r="P53" t="s">
        <v>4242</v>
      </c>
      <c r="Q53" t="s">
        <v>4250</v>
      </c>
      <c r="R53" t="s">
        <v>4258</v>
      </c>
      <c r="S53" t="s">
        <v>3611</v>
      </c>
      <c r="U53" t="s">
        <v>4268</v>
      </c>
      <c r="W53" t="s">
        <v>238</v>
      </c>
      <c r="X53">
        <v>1064.44</v>
      </c>
      <c r="Y53" t="s">
        <v>4351</v>
      </c>
      <c r="Z53" t="s">
        <v>4354</v>
      </c>
      <c r="AA53" t="s">
        <v>4373</v>
      </c>
      <c r="AB53" t="s">
        <v>4435</v>
      </c>
      <c r="AD53" t="s">
        <v>5877</v>
      </c>
      <c r="AE53">
        <v>35</v>
      </c>
      <c r="AF53" t="s">
        <v>7101</v>
      </c>
      <c r="AH53">
        <v>29</v>
      </c>
      <c r="AI53">
        <v>2</v>
      </c>
      <c r="AJ53">
        <v>1</v>
      </c>
      <c r="AK53">
        <v>0</v>
      </c>
      <c r="AN53" t="s">
        <v>7139</v>
      </c>
      <c r="AO53">
        <v>0</v>
      </c>
      <c r="AU53">
        <v>1</v>
      </c>
      <c r="AV53" t="s">
        <v>142</v>
      </c>
      <c r="AW53" t="s">
        <v>64</v>
      </c>
    </row>
    <row r="54" spans="1:50">
      <c r="A54" s="1">
        <f>HYPERLINK("https://lsnyc.legalserver.org/matter/dynamic-profile/view/1902355","19-1902355")</f>
        <v>0</v>
      </c>
      <c r="B54" t="s">
        <v>52</v>
      </c>
      <c r="C54" t="s">
        <v>105</v>
      </c>
      <c r="D54" t="s">
        <v>143</v>
      </c>
      <c r="F54" t="s">
        <v>734</v>
      </c>
      <c r="G54" t="s">
        <v>1605</v>
      </c>
      <c r="H54" t="s">
        <v>2497</v>
      </c>
      <c r="I54">
        <v>1</v>
      </c>
      <c r="J54" t="s">
        <v>3604</v>
      </c>
      <c r="K54">
        <v>10032</v>
      </c>
      <c r="L54" t="s">
        <v>3610</v>
      </c>
      <c r="M54" t="s">
        <v>3609</v>
      </c>
      <c r="O54" t="s">
        <v>4211</v>
      </c>
      <c r="P54" t="s">
        <v>4242</v>
      </c>
      <c r="R54" t="s">
        <v>4258</v>
      </c>
      <c r="S54" t="s">
        <v>3611</v>
      </c>
      <c r="U54" t="s">
        <v>4268</v>
      </c>
      <c r="W54" t="s">
        <v>143</v>
      </c>
      <c r="X54">
        <v>2500</v>
      </c>
      <c r="Y54" t="s">
        <v>4351</v>
      </c>
      <c r="Z54" t="s">
        <v>4357</v>
      </c>
      <c r="AB54" t="s">
        <v>4436</v>
      </c>
      <c r="AD54" t="s">
        <v>5878</v>
      </c>
      <c r="AE54">
        <v>4</v>
      </c>
      <c r="AF54" t="s">
        <v>7101</v>
      </c>
      <c r="AG54" t="s">
        <v>3745</v>
      </c>
      <c r="AH54">
        <v>2</v>
      </c>
      <c r="AI54">
        <v>1</v>
      </c>
      <c r="AJ54">
        <v>0</v>
      </c>
      <c r="AK54">
        <v>0</v>
      </c>
      <c r="AN54" t="s">
        <v>7138</v>
      </c>
      <c r="AO54">
        <v>0</v>
      </c>
      <c r="AU54">
        <v>1.5</v>
      </c>
      <c r="AV54" t="s">
        <v>143</v>
      </c>
      <c r="AW54" t="s">
        <v>7342</v>
      </c>
      <c r="AX54" t="s">
        <v>7377</v>
      </c>
    </row>
    <row r="55" spans="1:50">
      <c r="A55" s="1">
        <f>HYPERLINK("https://lsnyc.legalserver.org/matter/dynamic-profile/view/1874724","18-1874724")</f>
        <v>0</v>
      </c>
      <c r="B55" t="s">
        <v>52</v>
      </c>
      <c r="C55" t="s">
        <v>104</v>
      </c>
      <c r="D55" t="s">
        <v>144</v>
      </c>
      <c r="E55" t="s">
        <v>271</v>
      </c>
      <c r="F55" t="s">
        <v>735</v>
      </c>
      <c r="G55" t="s">
        <v>1606</v>
      </c>
      <c r="H55" t="s">
        <v>2498</v>
      </c>
      <c r="I55" t="s">
        <v>3307</v>
      </c>
      <c r="J55" t="s">
        <v>3604</v>
      </c>
      <c r="K55">
        <v>10032</v>
      </c>
      <c r="L55" t="s">
        <v>3610</v>
      </c>
      <c r="M55" t="s">
        <v>3610</v>
      </c>
      <c r="N55" t="s">
        <v>3633</v>
      </c>
      <c r="O55" t="s">
        <v>4209</v>
      </c>
      <c r="P55" t="s">
        <v>4242</v>
      </c>
      <c r="Q55" t="s">
        <v>4250</v>
      </c>
      <c r="R55" t="s">
        <v>4258</v>
      </c>
      <c r="S55" t="s">
        <v>3611</v>
      </c>
      <c r="U55" t="s">
        <v>4268</v>
      </c>
      <c r="V55" t="s">
        <v>4274</v>
      </c>
      <c r="W55" t="s">
        <v>144</v>
      </c>
      <c r="X55">
        <v>1726.98</v>
      </c>
      <c r="Y55" t="s">
        <v>4351</v>
      </c>
      <c r="Z55" t="s">
        <v>4357</v>
      </c>
      <c r="AA55" t="s">
        <v>4373</v>
      </c>
      <c r="AB55" t="s">
        <v>4437</v>
      </c>
      <c r="AC55" t="s">
        <v>5787</v>
      </c>
      <c r="AD55" t="s">
        <v>5879</v>
      </c>
      <c r="AE55">
        <v>127</v>
      </c>
      <c r="AF55" t="s">
        <v>7101</v>
      </c>
      <c r="AH55">
        <v>24</v>
      </c>
      <c r="AI55">
        <v>1</v>
      </c>
      <c r="AJ55">
        <v>0</v>
      </c>
      <c r="AK55">
        <v>0</v>
      </c>
      <c r="AN55" t="s">
        <v>7138</v>
      </c>
      <c r="AO55">
        <v>0</v>
      </c>
      <c r="AU55">
        <v>3.15</v>
      </c>
      <c r="AV55" t="s">
        <v>574</v>
      </c>
      <c r="AW55" t="s">
        <v>7342</v>
      </c>
    </row>
    <row r="56" spans="1:50">
      <c r="A56" s="1">
        <f>HYPERLINK("https://lsnyc.legalserver.org/matter/dynamic-profile/view/1870487","18-1870487")</f>
        <v>0</v>
      </c>
      <c r="B56" t="s">
        <v>63</v>
      </c>
      <c r="C56" t="s">
        <v>104</v>
      </c>
      <c r="D56" t="s">
        <v>141</v>
      </c>
      <c r="E56" t="s">
        <v>377</v>
      </c>
      <c r="F56" t="s">
        <v>723</v>
      </c>
      <c r="G56" t="s">
        <v>1593</v>
      </c>
      <c r="H56" t="s">
        <v>2494</v>
      </c>
      <c r="I56" t="s">
        <v>3295</v>
      </c>
      <c r="J56" t="s">
        <v>3604</v>
      </c>
      <c r="K56">
        <v>10032</v>
      </c>
      <c r="L56" t="s">
        <v>3610</v>
      </c>
      <c r="M56" t="s">
        <v>3609</v>
      </c>
      <c r="O56" t="s">
        <v>4219</v>
      </c>
      <c r="P56" t="s">
        <v>4242</v>
      </c>
      <c r="Q56" t="s">
        <v>4250</v>
      </c>
      <c r="R56" t="s">
        <v>4258</v>
      </c>
      <c r="S56" t="s">
        <v>3610</v>
      </c>
      <c r="U56" t="s">
        <v>4268</v>
      </c>
      <c r="W56" t="s">
        <v>4284</v>
      </c>
      <c r="X56">
        <v>726</v>
      </c>
      <c r="Y56" t="s">
        <v>4351</v>
      </c>
      <c r="Z56" t="s">
        <v>4354</v>
      </c>
      <c r="AA56" t="s">
        <v>4379</v>
      </c>
      <c r="AB56" t="s">
        <v>4434</v>
      </c>
      <c r="AE56">
        <v>49</v>
      </c>
      <c r="AF56" t="s">
        <v>7101</v>
      </c>
      <c r="AG56" t="s">
        <v>3745</v>
      </c>
      <c r="AH56">
        <v>39</v>
      </c>
      <c r="AI56">
        <v>2</v>
      </c>
      <c r="AJ56">
        <v>0</v>
      </c>
      <c r="AK56">
        <v>0</v>
      </c>
      <c r="AN56" t="s">
        <v>7139</v>
      </c>
      <c r="AO56">
        <v>0</v>
      </c>
      <c r="AU56">
        <v>0</v>
      </c>
      <c r="AV56" t="s">
        <v>552</v>
      </c>
      <c r="AW56" t="s">
        <v>7342</v>
      </c>
    </row>
    <row r="57" spans="1:50">
      <c r="A57" s="1">
        <f>HYPERLINK("https://lsnyc.legalserver.org/matter/dynamic-profile/view/1889022","19-1889022")</f>
        <v>0</v>
      </c>
      <c r="B57" t="s">
        <v>52</v>
      </c>
      <c r="C57" t="s">
        <v>105</v>
      </c>
      <c r="D57" t="s">
        <v>145</v>
      </c>
      <c r="F57" t="s">
        <v>736</v>
      </c>
      <c r="G57" t="s">
        <v>1607</v>
      </c>
      <c r="H57" t="s">
        <v>2494</v>
      </c>
      <c r="I57" t="s">
        <v>3282</v>
      </c>
      <c r="J57" t="s">
        <v>3604</v>
      </c>
      <c r="K57">
        <v>10032</v>
      </c>
      <c r="L57" t="s">
        <v>3610</v>
      </c>
      <c r="M57" t="s">
        <v>3610</v>
      </c>
      <c r="O57" t="s">
        <v>4219</v>
      </c>
      <c r="P57" t="s">
        <v>4245</v>
      </c>
      <c r="R57" t="s">
        <v>4258</v>
      </c>
      <c r="U57" t="s">
        <v>4268</v>
      </c>
      <c r="W57" t="s">
        <v>145</v>
      </c>
      <c r="X57">
        <v>2297.05</v>
      </c>
      <c r="Y57" t="s">
        <v>4351</v>
      </c>
      <c r="Z57" t="s">
        <v>4354</v>
      </c>
      <c r="AB57" t="s">
        <v>4438</v>
      </c>
      <c r="AD57" t="s">
        <v>5880</v>
      </c>
      <c r="AE57">
        <v>0</v>
      </c>
      <c r="AF57" t="s">
        <v>7104</v>
      </c>
      <c r="AG57" t="s">
        <v>3745</v>
      </c>
      <c r="AH57">
        <v>20</v>
      </c>
      <c r="AI57">
        <v>3</v>
      </c>
      <c r="AJ57">
        <v>0</v>
      </c>
      <c r="AK57">
        <v>0</v>
      </c>
      <c r="AN57" t="s">
        <v>7138</v>
      </c>
      <c r="AO57">
        <v>0</v>
      </c>
      <c r="AU57">
        <v>2</v>
      </c>
      <c r="AV57" t="s">
        <v>567</v>
      </c>
      <c r="AW57" t="s">
        <v>7342</v>
      </c>
    </row>
    <row r="58" spans="1:50">
      <c r="A58" s="1">
        <f>HYPERLINK("https://lsnyc.legalserver.org/matter/dynamic-profile/view/1897787","19-1897787")</f>
        <v>0</v>
      </c>
      <c r="B58" t="s">
        <v>56</v>
      </c>
      <c r="C58" t="s">
        <v>104</v>
      </c>
      <c r="D58" t="s">
        <v>146</v>
      </c>
      <c r="E58" t="s">
        <v>659</v>
      </c>
      <c r="F58" t="s">
        <v>737</v>
      </c>
      <c r="G58" t="s">
        <v>1608</v>
      </c>
      <c r="H58" t="s">
        <v>2499</v>
      </c>
      <c r="I58">
        <v>33</v>
      </c>
      <c r="J58" t="s">
        <v>3604</v>
      </c>
      <c r="K58">
        <v>10032</v>
      </c>
      <c r="L58" t="s">
        <v>3610</v>
      </c>
      <c r="M58" t="s">
        <v>3610</v>
      </c>
      <c r="O58" t="s">
        <v>4219</v>
      </c>
      <c r="P58" t="s">
        <v>4245</v>
      </c>
      <c r="Q58" t="s">
        <v>4249</v>
      </c>
      <c r="R58" t="s">
        <v>4258</v>
      </c>
      <c r="S58" t="s">
        <v>3611</v>
      </c>
      <c r="U58" t="s">
        <v>4268</v>
      </c>
      <c r="W58" t="s">
        <v>146</v>
      </c>
      <c r="X58">
        <v>1721</v>
      </c>
      <c r="Y58" t="s">
        <v>4351</v>
      </c>
      <c r="Z58" t="s">
        <v>4354</v>
      </c>
      <c r="AA58" t="s">
        <v>4377</v>
      </c>
      <c r="AB58" t="s">
        <v>4439</v>
      </c>
      <c r="AE58">
        <v>40</v>
      </c>
      <c r="AF58" t="s">
        <v>7101</v>
      </c>
      <c r="AG58" t="s">
        <v>3745</v>
      </c>
      <c r="AH58">
        <v>18</v>
      </c>
      <c r="AI58">
        <v>4</v>
      </c>
      <c r="AJ58">
        <v>2</v>
      </c>
      <c r="AK58">
        <v>0</v>
      </c>
      <c r="AN58" t="s">
        <v>7139</v>
      </c>
      <c r="AO58">
        <v>0</v>
      </c>
      <c r="AU58">
        <v>1</v>
      </c>
      <c r="AV58" t="s">
        <v>146</v>
      </c>
      <c r="AW58" t="s">
        <v>7342</v>
      </c>
      <c r="AX58" t="s">
        <v>7377</v>
      </c>
    </row>
    <row r="59" spans="1:50">
      <c r="A59" s="1">
        <f>HYPERLINK("https://lsnyc.legalserver.org/matter/dynamic-profile/view/1883603","18-1883603")</f>
        <v>0</v>
      </c>
      <c r="B59" t="s">
        <v>64</v>
      </c>
      <c r="C59" t="s">
        <v>104</v>
      </c>
      <c r="D59" t="s">
        <v>147</v>
      </c>
      <c r="E59" t="s">
        <v>642</v>
      </c>
      <c r="F59" t="s">
        <v>738</v>
      </c>
      <c r="G59" t="s">
        <v>1609</v>
      </c>
      <c r="H59" t="s">
        <v>2500</v>
      </c>
      <c r="I59" t="s">
        <v>3308</v>
      </c>
      <c r="J59" t="s">
        <v>3604</v>
      </c>
      <c r="K59">
        <v>10032</v>
      </c>
      <c r="L59" t="s">
        <v>3610</v>
      </c>
      <c r="M59" t="s">
        <v>3610</v>
      </c>
      <c r="P59" t="s">
        <v>4242</v>
      </c>
      <c r="Q59" t="s">
        <v>4250</v>
      </c>
      <c r="R59" t="s">
        <v>4258</v>
      </c>
      <c r="S59" t="s">
        <v>3611</v>
      </c>
      <c r="U59" t="s">
        <v>4268</v>
      </c>
      <c r="W59" t="s">
        <v>4285</v>
      </c>
      <c r="X59">
        <v>916.09</v>
      </c>
      <c r="Y59" t="s">
        <v>4351</v>
      </c>
      <c r="Z59" t="s">
        <v>4354</v>
      </c>
      <c r="AA59" t="s">
        <v>4373</v>
      </c>
      <c r="AB59" t="s">
        <v>4440</v>
      </c>
      <c r="AD59" t="s">
        <v>5881</v>
      </c>
      <c r="AE59">
        <v>115</v>
      </c>
      <c r="AF59" t="s">
        <v>7101</v>
      </c>
      <c r="AG59" t="s">
        <v>3745</v>
      </c>
      <c r="AH59">
        <v>39</v>
      </c>
      <c r="AI59">
        <v>1</v>
      </c>
      <c r="AJ59">
        <v>0</v>
      </c>
      <c r="AK59">
        <v>0</v>
      </c>
      <c r="AN59" t="s">
        <v>7138</v>
      </c>
      <c r="AO59">
        <v>0</v>
      </c>
      <c r="AU59">
        <v>1.15</v>
      </c>
      <c r="AV59" t="s">
        <v>642</v>
      </c>
      <c r="AW59" t="s">
        <v>7342</v>
      </c>
    </row>
    <row r="60" spans="1:50">
      <c r="A60" s="1">
        <f>HYPERLINK("https://lsnyc.legalserver.org/matter/dynamic-profile/view/1891889","19-1891889")</f>
        <v>0</v>
      </c>
      <c r="B60" t="s">
        <v>64</v>
      </c>
      <c r="C60" t="s">
        <v>104</v>
      </c>
      <c r="D60" t="s">
        <v>148</v>
      </c>
      <c r="E60" t="s">
        <v>504</v>
      </c>
      <c r="F60" t="s">
        <v>734</v>
      </c>
      <c r="G60" t="s">
        <v>1605</v>
      </c>
      <c r="H60" t="s">
        <v>2497</v>
      </c>
      <c r="I60">
        <v>1</v>
      </c>
      <c r="J60" t="s">
        <v>3604</v>
      </c>
      <c r="K60">
        <v>10032</v>
      </c>
      <c r="L60" t="s">
        <v>3610</v>
      </c>
      <c r="M60" t="s">
        <v>3610</v>
      </c>
      <c r="N60" t="s">
        <v>3634</v>
      </c>
      <c r="P60" t="s">
        <v>4242</v>
      </c>
      <c r="Q60" t="s">
        <v>4250</v>
      </c>
      <c r="R60" t="s">
        <v>4258</v>
      </c>
      <c r="S60" t="s">
        <v>3611</v>
      </c>
      <c r="U60" t="s">
        <v>4268</v>
      </c>
      <c r="W60" t="s">
        <v>148</v>
      </c>
      <c r="X60">
        <v>2500</v>
      </c>
      <c r="Y60" t="s">
        <v>4351</v>
      </c>
      <c r="Z60" t="s">
        <v>4354</v>
      </c>
      <c r="AA60" t="s">
        <v>4373</v>
      </c>
      <c r="AB60" t="s">
        <v>4436</v>
      </c>
      <c r="AC60" t="s">
        <v>5788</v>
      </c>
      <c r="AD60" t="s">
        <v>5878</v>
      </c>
      <c r="AE60">
        <v>0</v>
      </c>
      <c r="AF60" t="s">
        <v>7101</v>
      </c>
      <c r="AG60" t="s">
        <v>3745</v>
      </c>
      <c r="AH60">
        <v>2</v>
      </c>
      <c r="AI60">
        <v>1</v>
      </c>
      <c r="AJ60">
        <v>0</v>
      </c>
      <c r="AK60">
        <v>0</v>
      </c>
      <c r="AN60" t="s">
        <v>7138</v>
      </c>
      <c r="AO60">
        <v>0</v>
      </c>
      <c r="AU60">
        <v>1.2</v>
      </c>
      <c r="AV60" t="s">
        <v>504</v>
      </c>
      <c r="AW60" t="s">
        <v>7342</v>
      </c>
    </row>
    <row r="61" spans="1:50">
      <c r="A61" s="1">
        <f>HYPERLINK("https://lsnyc.legalserver.org/matter/dynamic-profile/view/1900732","19-1900732")</f>
        <v>0</v>
      </c>
      <c r="B61" t="s">
        <v>52</v>
      </c>
      <c r="C61" t="s">
        <v>105</v>
      </c>
      <c r="D61" t="s">
        <v>149</v>
      </c>
      <c r="F61" t="s">
        <v>739</v>
      </c>
      <c r="G61" t="s">
        <v>1610</v>
      </c>
      <c r="H61" t="s">
        <v>2496</v>
      </c>
      <c r="I61">
        <v>62</v>
      </c>
      <c r="J61" t="s">
        <v>3604</v>
      </c>
      <c r="K61">
        <v>10032</v>
      </c>
      <c r="L61" t="s">
        <v>3610</v>
      </c>
      <c r="M61" t="s">
        <v>3609</v>
      </c>
      <c r="P61" t="s">
        <v>4245</v>
      </c>
      <c r="R61" t="s">
        <v>4258</v>
      </c>
      <c r="S61" t="s">
        <v>3611</v>
      </c>
      <c r="U61" t="s">
        <v>4268</v>
      </c>
      <c r="W61" t="s">
        <v>149</v>
      </c>
      <c r="X61">
        <v>3990</v>
      </c>
      <c r="Y61" t="s">
        <v>4351</v>
      </c>
      <c r="Z61" t="s">
        <v>4354</v>
      </c>
      <c r="AB61" t="s">
        <v>4441</v>
      </c>
      <c r="AD61" t="s">
        <v>5882</v>
      </c>
      <c r="AE61">
        <v>35</v>
      </c>
      <c r="AF61" t="s">
        <v>7101</v>
      </c>
      <c r="AG61" t="s">
        <v>3745</v>
      </c>
      <c r="AH61">
        <v>1</v>
      </c>
      <c r="AI61">
        <v>2</v>
      </c>
      <c r="AJ61">
        <v>0</v>
      </c>
      <c r="AK61">
        <v>0</v>
      </c>
      <c r="AN61" t="s">
        <v>7138</v>
      </c>
      <c r="AO61">
        <v>0</v>
      </c>
      <c r="AU61">
        <v>1.6</v>
      </c>
      <c r="AV61" t="s">
        <v>371</v>
      </c>
      <c r="AW61" t="s">
        <v>7342</v>
      </c>
      <c r="AX61" t="s">
        <v>7377</v>
      </c>
    </row>
    <row r="62" spans="1:50">
      <c r="A62" s="1">
        <f>HYPERLINK("https://lsnyc.legalserver.org/matter/dynamic-profile/view/1900980","19-1900980")</f>
        <v>0</v>
      </c>
      <c r="B62" t="s">
        <v>64</v>
      </c>
      <c r="C62" t="s">
        <v>104</v>
      </c>
      <c r="D62" t="s">
        <v>150</v>
      </c>
      <c r="E62" t="s">
        <v>637</v>
      </c>
      <c r="F62" t="s">
        <v>740</v>
      </c>
      <c r="G62" t="s">
        <v>1611</v>
      </c>
      <c r="H62" t="s">
        <v>2501</v>
      </c>
      <c r="I62">
        <v>7</v>
      </c>
      <c r="J62" t="s">
        <v>3604</v>
      </c>
      <c r="K62">
        <v>10032</v>
      </c>
      <c r="L62" t="s">
        <v>3610</v>
      </c>
      <c r="M62" t="s">
        <v>3609</v>
      </c>
      <c r="P62" t="s">
        <v>4242</v>
      </c>
      <c r="Q62" t="s">
        <v>4250</v>
      </c>
      <c r="R62" t="s">
        <v>4258</v>
      </c>
      <c r="S62" t="s">
        <v>3611</v>
      </c>
      <c r="U62" t="s">
        <v>4268</v>
      </c>
      <c r="W62" t="s">
        <v>150</v>
      </c>
      <c r="X62">
        <v>871</v>
      </c>
      <c r="Y62" t="s">
        <v>4351</v>
      </c>
      <c r="Z62" t="s">
        <v>4354</v>
      </c>
      <c r="AA62" t="s">
        <v>4373</v>
      </c>
      <c r="AB62" t="s">
        <v>4442</v>
      </c>
      <c r="AD62" t="s">
        <v>5883</v>
      </c>
      <c r="AE62">
        <v>41</v>
      </c>
      <c r="AF62" t="s">
        <v>7101</v>
      </c>
      <c r="AG62" t="s">
        <v>3745</v>
      </c>
      <c r="AH62">
        <v>10</v>
      </c>
      <c r="AI62">
        <v>2</v>
      </c>
      <c r="AJ62">
        <v>0</v>
      </c>
      <c r="AK62">
        <v>0</v>
      </c>
      <c r="AN62" t="s">
        <v>7138</v>
      </c>
      <c r="AO62">
        <v>0</v>
      </c>
      <c r="AU62">
        <v>1</v>
      </c>
      <c r="AV62" t="s">
        <v>681</v>
      </c>
      <c r="AW62" t="s">
        <v>7342</v>
      </c>
      <c r="AX62" t="s">
        <v>7377</v>
      </c>
    </row>
    <row r="63" spans="1:50">
      <c r="A63" s="1">
        <f>HYPERLINK("https://lsnyc.legalserver.org/matter/dynamic-profile/view/1864801","18-1864801")</f>
        <v>0</v>
      </c>
      <c r="B63" t="s">
        <v>55</v>
      </c>
      <c r="C63" t="s">
        <v>104</v>
      </c>
      <c r="D63" t="s">
        <v>151</v>
      </c>
      <c r="E63" t="s">
        <v>303</v>
      </c>
      <c r="F63" t="s">
        <v>741</v>
      </c>
      <c r="G63" t="s">
        <v>1612</v>
      </c>
      <c r="H63" t="s">
        <v>2502</v>
      </c>
      <c r="I63" t="s">
        <v>3309</v>
      </c>
      <c r="J63" t="s">
        <v>3604</v>
      </c>
      <c r="K63">
        <v>10031</v>
      </c>
      <c r="L63" t="s">
        <v>3610</v>
      </c>
      <c r="M63" t="s">
        <v>3610</v>
      </c>
      <c r="O63" t="s">
        <v>4220</v>
      </c>
      <c r="P63" t="s">
        <v>4245</v>
      </c>
      <c r="Q63" t="s">
        <v>4249</v>
      </c>
      <c r="R63" t="s">
        <v>4258</v>
      </c>
      <c r="S63" t="s">
        <v>3611</v>
      </c>
      <c r="U63" t="s">
        <v>4268</v>
      </c>
      <c r="V63" t="s">
        <v>4274</v>
      </c>
      <c r="W63" t="s">
        <v>151</v>
      </c>
      <c r="X63">
        <v>3243</v>
      </c>
      <c r="Y63" t="s">
        <v>4351</v>
      </c>
      <c r="Z63" t="s">
        <v>4356</v>
      </c>
      <c r="AA63" t="s">
        <v>4377</v>
      </c>
      <c r="AB63" t="s">
        <v>4443</v>
      </c>
      <c r="AD63" t="s">
        <v>5884</v>
      </c>
      <c r="AE63">
        <v>282</v>
      </c>
      <c r="AF63" t="s">
        <v>7101</v>
      </c>
      <c r="AG63" t="s">
        <v>7116</v>
      </c>
      <c r="AH63">
        <v>27</v>
      </c>
      <c r="AI63">
        <v>2</v>
      </c>
      <c r="AJ63">
        <v>2</v>
      </c>
      <c r="AK63">
        <v>0</v>
      </c>
      <c r="AL63" t="s">
        <v>475</v>
      </c>
      <c r="AN63" t="s">
        <v>7138</v>
      </c>
      <c r="AO63">
        <v>0</v>
      </c>
      <c r="AU63">
        <v>2</v>
      </c>
      <c r="AV63" t="s">
        <v>216</v>
      </c>
      <c r="AW63" t="s">
        <v>7341</v>
      </c>
    </row>
    <row r="64" spans="1:50">
      <c r="A64" s="1">
        <f>HYPERLINK("https://lsnyc.legalserver.org/matter/dynamic-profile/view/1861273","18-1861273")</f>
        <v>0</v>
      </c>
      <c r="B64" t="s">
        <v>55</v>
      </c>
      <c r="C64" t="s">
        <v>104</v>
      </c>
      <c r="D64" t="s">
        <v>152</v>
      </c>
      <c r="E64" t="s">
        <v>303</v>
      </c>
      <c r="F64" t="s">
        <v>741</v>
      </c>
      <c r="G64" t="s">
        <v>1612</v>
      </c>
      <c r="H64" t="s">
        <v>2502</v>
      </c>
      <c r="I64" t="s">
        <v>3309</v>
      </c>
      <c r="J64" t="s">
        <v>3604</v>
      </c>
      <c r="K64">
        <v>10031</v>
      </c>
      <c r="L64" t="s">
        <v>3610</v>
      </c>
      <c r="M64" t="s">
        <v>3610</v>
      </c>
      <c r="N64" t="s">
        <v>3635</v>
      </c>
      <c r="O64" t="s">
        <v>4210</v>
      </c>
      <c r="P64" t="s">
        <v>4241</v>
      </c>
      <c r="Q64" t="s">
        <v>4248</v>
      </c>
      <c r="R64" t="s">
        <v>4258</v>
      </c>
      <c r="S64" t="s">
        <v>3611</v>
      </c>
      <c r="U64" t="s">
        <v>4268</v>
      </c>
      <c r="W64" t="s">
        <v>152</v>
      </c>
      <c r="X64">
        <v>3243</v>
      </c>
      <c r="Y64" t="s">
        <v>4351</v>
      </c>
      <c r="Z64" t="s">
        <v>4356</v>
      </c>
      <c r="AA64" t="s">
        <v>4374</v>
      </c>
      <c r="AB64" t="s">
        <v>4443</v>
      </c>
      <c r="AD64" t="s">
        <v>5884</v>
      </c>
      <c r="AE64">
        <v>282</v>
      </c>
      <c r="AF64" t="s">
        <v>7101</v>
      </c>
      <c r="AG64" t="s">
        <v>7116</v>
      </c>
      <c r="AH64">
        <v>27</v>
      </c>
      <c r="AI64">
        <v>2</v>
      </c>
      <c r="AJ64">
        <v>2</v>
      </c>
      <c r="AK64">
        <v>0</v>
      </c>
      <c r="AL64" t="s">
        <v>475</v>
      </c>
      <c r="AN64" t="s">
        <v>7138</v>
      </c>
      <c r="AO64">
        <v>0</v>
      </c>
      <c r="AU64">
        <v>9.5</v>
      </c>
      <c r="AV64" t="s">
        <v>250</v>
      </c>
      <c r="AW64" t="s">
        <v>7341</v>
      </c>
    </row>
    <row r="65" spans="1:50">
      <c r="A65" s="1">
        <f>HYPERLINK("https://lsnyc.legalserver.org/matter/dynamic-profile/view/1861651","18-1861651")</f>
        <v>0</v>
      </c>
      <c r="B65" t="s">
        <v>55</v>
      </c>
      <c r="C65" t="s">
        <v>104</v>
      </c>
      <c r="D65" t="s">
        <v>153</v>
      </c>
      <c r="E65" t="s">
        <v>303</v>
      </c>
      <c r="F65" t="s">
        <v>741</v>
      </c>
      <c r="G65" t="s">
        <v>1612</v>
      </c>
      <c r="H65" t="s">
        <v>2502</v>
      </c>
      <c r="I65" t="s">
        <v>3309</v>
      </c>
      <c r="J65" t="s">
        <v>3604</v>
      </c>
      <c r="K65">
        <v>10031</v>
      </c>
      <c r="L65" t="s">
        <v>3610</v>
      </c>
      <c r="M65" t="s">
        <v>3610</v>
      </c>
      <c r="N65" t="s">
        <v>3636</v>
      </c>
      <c r="O65" t="s">
        <v>4213</v>
      </c>
      <c r="P65" t="s">
        <v>4241</v>
      </c>
      <c r="Q65" t="s">
        <v>4248</v>
      </c>
      <c r="R65" t="s">
        <v>4258</v>
      </c>
      <c r="S65" t="s">
        <v>3611</v>
      </c>
      <c r="U65" t="s">
        <v>4268</v>
      </c>
      <c r="W65" t="s">
        <v>153</v>
      </c>
      <c r="X65">
        <v>3243</v>
      </c>
      <c r="Y65" t="s">
        <v>4351</v>
      </c>
      <c r="Z65" t="s">
        <v>4356</v>
      </c>
      <c r="AA65" t="s">
        <v>4380</v>
      </c>
      <c r="AB65" t="s">
        <v>4443</v>
      </c>
      <c r="AD65" t="s">
        <v>5884</v>
      </c>
      <c r="AE65">
        <v>282</v>
      </c>
      <c r="AF65" t="s">
        <v>7101</v>
      </c>
      <c r="AG65" t="s">
        <v>7116</v>
      </c>
      <c r="AH65">
        <v>27</v>
      </c>
      <c r="AI65">
        <v>2</v>
      </c>
      <c r="AJ65">
        <v>2</v>
      </c>
      <c r="AK65">
        <v>0</v>
      </c>
      <c r="AL65" t="s">
        <v>475</v>
      </c>
      <c r="AN65" t="s">
        <v>7138</v>
      </c>
      <c r="AO65">
        <v>0</v>
      </c>
      <c r="AU65">
        <v>20</v>
      </c>
      <c r="AV65" t="s">
        <v>653</v>
      </c>
      <c r="AW65" t="s">
        <v>7341</v>
      </c>
    </row>
    <row r="66" spans="1:50">
      <c r="A66" s="1">
        <f>HYPERLINK("https://lsnyc.legalserver.org/matter/dynamic-profile/view/1835400","17-1835400")</f>
        <v>0</v>
      </c>
      <c r="B66" t="s">
        <v>53</v>
      </c>
      <c r="C66" t="s">
        <v>104</v>
      </c>
      <c r="D66" t="s">
        <v>154</v>
      </c>
      <c r="E66" t="s">
        <v>194</v>
      </c>
      <c r="F66" t="s">
        <v>742</v>
      </c>
      <c r="G66" t="s">
        <v>1613</v>
      </c>
      <c r="H66" t="s">
        <v>2503</v>
      </c>
      <c r="I66" t="s">
        <v>3285</v>
      </c>
      <c r="J66" t="s">
        <v>3604</v>
      </c>
      <c r="K66">
        <v>10031</v>
      </c>
      <c r="L66" t="s">
        <v>3610</v>
      </c>
      <c r="M66" t="s">
        <v>3610</v>
      </c>
      <c r="N66" t="s">
        <v>3637</v>
      </c>
      <c r="O66" t="s">
        <v>4209</v>
      </c>
      <c r="P66" t="s">
        <v>4241</v>
      </c>
      <c r="Q66" t="s">
        <v>4248</v>
      </c>
      <c r="R66" t="s">
        <v>4257</v>
      </c>
      <c r="S66" t="s">
        <v>3611</v>
      </c>
      <c r="U66" t="s">
        <v>4268</v>
      </c>
      <c r="W66" t="s">
        <v>290</v>
      </c>
      <c r="X66">
        <v>800</v>
      </c>
      <c r="Y66" t="s">
        <v>4351</v>
      </c>
      <c r="Z66" t="s">
        <v>4355</v>
      </c>
      <c r="AA66" t="s">
        <v>4374</v>
      </c>
      <c r="AB66" t="s">
        <v>4444</v>
      </c>
      <c r="AD66" t="s">
        <v>5885</v>
      </c>
      <c r="AE66">
        <v>119</v>
      </c>
      <c r="AF66" t="s">
        <v>7101</v>
      </c>
      <c r="AG66" t="s">
        <v>3745</v>
      </c>
      <c r="AH66">
        <v>8</v>
      </c>
      <c r="AI66">
        <v>1</v>
      </c>
      <c r="AJ66">
        <v>0</v>
      </c>
      <c r="AK66">
        <v>0</v>
      </c>
      <c r="AL66" t="s">
        <v>369</v>
      </c>
      <c r="AN66" t="s">
        <v>7139</v>
      </c>
      <c r="AO66">
        <v>0</v>
      </c>
      <c r="AU66">
        <v>69.18000000000001</v>
      </c>
      <c r="AV66" t="s">
        <v>4281</v>
      </c>
      <c r="AW66" t="s">
        <v>7349</v>
      </c>
    </row>
    <row r="67" spans="1:50">
      <c r="A67" s="1">
        <f>HYPERLINK("https://lsnyc.legalserver.org/matter/dynamic-profile/view/1864805","18-1864805")</f>
        <v>0</v>
      </c>
      <c r="B67" t="s">
        <v>55</v>
      </c>
      <c r="C67" t="s">
        <v>104</v>
      </c>
      <c r="D67" t="s">
        <v>151</v>
      </c>
      <c r="E67" t="s">
        <v>303</v>
      </c>
      <c r="F67" t="s">
        <v>741</v>
      </c>
      <c r="G67" t="s">
        <v>1612</v>
      </c>
      <c r="H67" t="s">
        <v>2502</v>
      </c>
      <c r="I67" t="s">
        <v>3309</v>
      </c>
      <c r="J67" t="s">
        <v>3604</v>
      </c>
      <c r="K67">
        <v>10031</v>
      </c>
      <c r="L67" t="s">
        <v>3610</v>
      </c>
      <c r="M67" t="s">
        <v>3609</v>
      </c>
      <c r="N67" t="s">
        <v>3638</v>
      </c>
      <c r="O67" t="s">
        <v>4209</v>
      </c>
      <c r="P67" t="s">
        <v>4241</v>
      </c>
      <c r="Q67" t="s">
        <v>4251</v>
      </c>
      <c r="R67" t="s">
        <v>4258</v>
      </c>
      <c r="S67" t="s">
        <v>3611</v>
      </c>
      <c r="U67" t="s">
        <v>4268</v>
      </c>
      <c r="W67" t="s">
        <v>151</v>
      </c>
      <c r="X67">
        <v>3243</v>
      </c>
      <c r="Y67" t="s">
        <v>4351</v>
      </c>
      <c r="Z67" t="s">
        <v>4356</v>
      </c>
      <c r="AA67" t="s">
        <v>4374</v>
      </c>
      <c r="AB67" t="s">
        <v>4443</v>
      </c>
      <c r="AD67" t="s">
        <v>5884</v>
      </c>
      <c r="AE67">
        <v>282</v>
      </c>
      <c r="AF67" t="s">
        <v>7101</v>
      </c>
      <c r="AG67" t="s">
        <v>7116</v>
      </c>
      <c r="AH67">
        <v>27</v>
      </c>
      <c r="AI67">
        <v>2</v>
      </c>
      <c r="AJ67">
        <v>2</v>
      </c>
      <c r="AK67">
        <v>0</v>
      </c>
      <c r="AL67" t="s">
        <v>475</v>
      </c>
      <c r="AN67" t="s">
        <v>7138</v>
      </c>
      <c r="AO67">
        <v>0</v>
      </c>
      <c r="AP67" t="s">
        <v>7157</v>
      </c>
      <c r="AU67">
        <v>5.75</v>
      </c>
      <c r="AV67" t="s">
        <v>656</v>
      </c>
      <c r="AW67" t="s">
        <v>7341</v>
      </c>
    </row>
    <row r="68" spans="1:50">
      <c r="A68" s="1">
        <f>HYPERLINK("https://lsnyc.legalserver.org/matter/dynamic-profile/view/1889401","19-1889401")</f>
        <v>0</v>
      </c>
      <c r="B68" t="s">
        <v>60</v>
      </c>
      <c r="C68" t="s">
        <v>105</v>
      </c>
      <c r="D68" t="s">
        <v>155</v>
      </c>
      <c r="F68" t="s">
        <v>743</v>
      </c>
      <c r="G68" t="s">
        <v>1614</v>
      </c>
      <c r="H68" t="s">
        <v>2503</v>
      </c>
      <c r="I68" t="s">
        <v>3310</v>
      </c>
      <c r="J68" t="s">
        <v>3604</v>
      </c>
      <c r="K68">
        <v>10031</v>
      </c>
      <c r="L68" t="s">
        <v>3609</v>
      </c>
      <c r="M68" t="s">
        <v>3609</v>
      </c>
      <c r="P68" t="s">
        <v>4246</v>
      </c>
      <c r="R68" t="s">
        <v>4257</v>
      </c>
      <c r="S68" t="s">
        <v>3611</v>
      </c>
      <c r="U68" t="s">
        <v>4268</v>
      </c>
      <c r="X68">
        <v>0</v>
      </c>
      <c r="Y68" t="s">
        <v>4351</v>
      </c>
      <c r="Z68" t="s">
        <v>4355</v>
      </c>
      <c r="AB68" t="s">
        <v>4445</v>
      </c>
      <c r="AE68">
        <v>0</v>
      </c>
      <c r="AG68" t="s">
        <v>3745</v>
      </c>
      <c r="AH68">
        <v>0</v>
      </c>
      <c r="AI68">
        <v>1</v>
      </c>
      <c r="AJ68">
        <v>1</v>
      </c>
      <c r="AK68">
        <v>0</v>
      </c>
      <c r="AN68" t="s">
        <v>7139</v>
      </c>
      <c r="AO68">
        <v>0</v>
      </c>
      <c r="AU68">
        <v>7.65</v>
      </c>
      <c r="AV68" t="s">
        <v>7286</v>
      </c>
      <c r="AW68" t="s">
        <v>7342</v>
      </c>
    </row>
    <row r="69" spans="1:50">
      <c r="A69" s="1">
        <f>HYPERLINK("https://lsnyc.legalserver.org/matter/dynamic-profile/view/1898439","19-1898439")</f>
        <v>0</v>
      </c>
      <c r="B69" t="s">
        <v>60</v>
      </c>
      <c r="C69" t="s">
        <v>105</v>
      </c>
      <c r="D69" t="s">
        <v>156</v>
      </c>
      <c r="F69" t="s">
        <v>744</v>
      </c>
      <c r="G69" t="s">
        <v>1615</v>
      </c>
      <c r="H69" t="s">
        <v>2504</v>
      </c>
      <c r="I69" t="s">
        <v>3311</v>
      </c>
      <c r="J69" t="s">
        <v>3604</v>
      </c>
      <c r="K69">
        <v>10031</v>
      </c>
      <c r="L69" t="s">
        <v>3610</v>
      </c>
      <c r="M69" t="s">
        <v>3610</v>
      </c>
      <c r="P69" t="s">
        <v>4242</v>
      </c>
      <c r="R69" t="s">
        <v>4258</v>
      </c>
      <c r="S69" t="s">
        <v>3611</v>
      </c>
      <c r="U69" t="s">
        <v>4268</v>
      </c>
      <c r="W69" t="s">
        <v>156</v>
      </c>
      <c r="X69">
        <v>995</v>
      </c>
      <c r="Y69" t="s">
        <v>4351</v>
      </c>
      <c r="Z69" t="s">
        <v>4353</v>
      </c>
      <c r="AB69" t="s">
        <v>4446</v>
      </c>
      <c r="AD69" t="s">
        <v>5886</v>
      </c>
      <c r="AE69">
        <v>0</v>
      </c>
      <c r="AF69" t="s">
        <v>7101</v>
      </c>
      <c r="AG69" t="s">
        <v>3745</v>
      </c>
      <c r="AH69">
        <v>25</v>
      </c>
      <c r="AI69">
        <v>1</v>
      </c>
      <c r="AJ69">
        <v>0</v>
      </c>
      <c r="AK69">
        <v>0</v>
      </c>
      <c r="AN69" t="s">
        <v>7138</v>
      </c>
      <c r="AO69">
        <v>0</v>
      </c>
      <c r="AU69">
        <v>1.5</v>
      </c>
      <c r="AV69" t="s">
        <v>7286</v>
      </c>
      <c r="AW69" t="s">
        <v>7342</v>
      </c>
    </row>
    <row r="70" spans="1:50">
      <c r="A70" s="1">
        <f>HYPERLINK("https://lsnyc.legalserver.org/matter/dynamic-profile/view/1864533","18-1864533")</f>
        <v>0</v>
      </c>
      <c r="B70" t="s">
        <v>66</v>
      </c>
      <c r="C70" t="s">
        <v>104</v>
      </c>
      <c r="D70" t="s">
        <v>157</v>
      </c>
      <c r="E70" t="s">
        <v>209</v>
      </c>
      <c r="F70" t="s">
        <v>745</v>
      </c>
      <c r="G70" t="s">
        <v>1616</v>
      </c>
      <c r="H70" t="s">
        <v>2505</v>
      </c>
      <c r="I70" t="s">
        <v>3312</v>
      </c>
      <c r="J70" t="s">
        <v>3604</v>
      </c>
      <c r="K70">
        <v>10030</v>
      </c>
      <c r="L70" t="s">
        <v>3610</v>
      </c>
      <c r="M70" t="s">
        <v>3610</v>
      </c>
      <c r="N70" t="s">
        <v>3639</v>
      </c>
      <c r="O70" t="s">
        <v>4209</v>
      </c>
      <c r="P70" t="s">
        <v>4242</v>
      </c>
      <c r="Q70" t="s">
        <v>4250</v>
      </c>
      <c r="R70" t="s">
        <v>4258</v>
      </c>
      <c r="S70" t="s">
        <v>3611</v>
      </c>
      <c r="U70" t="s">
        <v>4268</v>
      </c>
      <c r="W70" t="s">
        <v>157</v>
      </c>
      <c r="X70">
        <v>917.61</v>
      </c>
      <c r="Y70" t="s">
        <v>4351</v>
      </c>
      <c r="Z70" t="s">
        <v>4354</v>
      </c>
      <c r="AA70" t="s">
        <v>4373</v>
      </c>
      <c r="AB70" t="s">
        <v>4447</v>
      </c>
      <c r="AD70" t="s">
        <v>5887</v>
      </c>
      <c r="AE70">
        <v>0</v>
      </c>
      <c r="AF70" t="s">
        <v>7105</v>
      </c>
      <c r="AG70" t="s">
        <v>3745</v>
      </c>
      <c r="AH70">
        <v>5</v>
      </c>
      <c r="AI70">
        <v>1</v>
      </c>
      <c r="AJ70">
        <v>0</v>
      </c>
      <c r="AK70">
        <v>0</v>
      </c>
      <c r="AO70">
        <v>0</v>
      </c>
      <c r="AU70">
        <v>1.6</v>
      </c>
      <c r="AV70" t="s">
        <v>549</v>
      </c>
      <c r="AW70" t="s">
        <v>7350</v>
      </c>
    </row>
    <row r="71" spans="1:50">
      <c r="A71" s="1">
        <f>HYPERLINK("https://lsnyc.legalserver.org/matter/dynamic-profile/view/1863227","18-1863227")</f>
        <v>0</v>
      </c>
      <c r="B71" t="s">
        <v>67</v>
      </c>
      <c r="C71" t="s">
        <v>104</v>
      </c>
      <c r="D71" t="s">
        <v>158</v>
      </c>
      <c r="E71" t="s">
        <v>209</v>
      </c>
      <c r="F71" t="s">
        <v>746</v>
      </c>
      <c r="G71" t="s">
        <v>1617</v>
      </c>
      <c r="H71" t="s">
        <v>2506</v>
      </c>
      <c r="I71">
        <v>23</v>
      </c>
      <c r="J71" t="s">
        <v>3604</v>
      </c>
      <c r="K71">
        <v>10029</v>
      </c>
      <c r="L71" t="s">
        <v>3610</v>
      </c>
      <c r="M71" t="s">
        <v>3610</v>
      </c>
      <c r="N71" t="s">
        <v>3640</v>
      </c>
      <c r="O71" t="s">
        <v>4210</v>
      </c>
      <c r="P71" t="s">
        <v>4242</v>
      </c>
      <c r="Q71" t="s">
        <v>4250</v>
      </c>
      <c r="R71" t="s">
        <v>4258</v>
      </c>
      <c r="S71" t="s">
        <v>3611</v>
      </c>
      <c r="U71" t="s">
        <v>4268</v>
      </c>
      <c r="V71" t="s">
        <v>4274</v>
      </c>
      <c r="W71" t="s">
        <v>158</v>
      </c>
      <c r="X71">
        <v>208.42</v>
      </c>
      <c r="Y71" t="s">
        <v>4351</v>
      </c>
      <c r="Z71" t="s">
        <v>4354</v>
      </c>
      <c r="AA71" t="s">
        <v>4373</v>
      </c>
      <c r="AB71" t="s">
        <v>4448</v>
      </c>
      <c r="AD71" t="s">
        <v>5888</v>
      </c>
      <c r="AE71">
        <v>25</v>
      </c>
      <c r="AF71" t="s">
        <v>7101</v>
      </c>
      <c r="AG71" t="s">
        <v>3745</v>
      </c>
      <c r="AH71">
        <v>45</v>
      </c>
      <c r="AI71">
        <v>5</v>
      </c>
      <c r="AJ71">
        <v>0</v>
      </c>
      <c r="AK71">
        <v>0</v>
      </c>
      <c r="AN71" t="s">
        <v>7138</v>
      </c>
      <c r="AO71">
        <v>0</v>
      </c>
      <c r="AU71">
        <v>0.2</v>
      </c>
      <c r="AV71" t="s">
        <v>209</v>
      </c>
      <c r="AW71" t="s">
        <v>7341</v>
      </c>
    </row>
    <row r="72" spans="1:50">
      <c r="A72" s="1">
        <f>HYPERLINK("https://lsnyc.legalserver.org/matter/dynamic-profile/view/1892542","19-1892542")</f>
        <v>0</v>
      </c>
      <c r="B72" t="s">
        <v>68</v>
      </c>
      <c r="C72" t="s">
        <v>104</v>
      </c>
      <c r="D72" t="s">
        <v>159</v>
      </c>
      <c r="E72" t="s">
        <v>660</v>
      </c>
      <c r="F72" t="s">
        <v>747</v>
      </c>
      <c r="G72" t="s">
        <v>1618</v>
      </c>
      <c r="H72" t="s">
        <v>2507</v>
      </c>
      <c r="I72" t="s">
        <v>3313</v>
      </c>
      <c r="J72" t="s">
        <v>3604</v>
      </c>
      <c r="K72">
        <v>10029</v>
      </c>
      <c r="L72" t="s">
        <v>3610</v>
      </c>
      <c r="M72" t="s">
        <v>3610</v>
      </c>
      <c r="N72" t="s">
        <v>3641</v>
      </c>
      <c r="O72" t="s">
        <v>4210</v>
      </c>
      <c r="P72" t="s">
        <v>4242</v>
      </c>
      <c r="Q72" t="s">
        <v>4250</v>
      </c>
      <c r="R72" t="s">
        <v>4258</v>
      </c>
      <c r="S72" t="s">
        <v>3611</v>
      </c>
      <c r="U72" t="s">
        <v>4268</v>
      </c>
      <c r="V72" t="s">
        <v>4274</v>
      </c>
      <c r="W72" t="s">
        <v>611</v>
      </c>
      <c r="X72">
        <v>4098</v>
      </c>
      <c r="Y72" t="s">
        <v>4351</v>
      </c>
      <c r="Z72" t="s">
        <v>4360</v>
      </c>
      <c r="AA72" t="s">
        <v>4373</v>
      </c>
      <c r="AB72" t="s">
        <v>4449</v>
      </c>
      <c r="AD72" t="s">
        <v>5889</v>
      </c>
      <c r="AE72">
        <v>50</v>
      </c>
      <c r="AF72" t="s">
        <v>7101</v>
      </c>
      <c r="AG72" t="s">
        <v>3745</v>
      </c>
      <c r="AH72">
        <v>10</v>
      </c>
      <c r="AI72">
        <v>1</v>
      </c>
      <c r="AJ72">
        <v>0</v>
      </c>
      <c r="AK72">
        <v>0</v>
      </c>
      <c r="AN72" t="s">
        <v>7138</v>
      </c>
      <c r="AO72">
        <v>0</v>
      </c>
      <c r="AU72">
        <v>6.35</v>
      </c>
      <c r="AV72" t="s">
        <v>277</v>
      </c>
      <c r="AW72" t="s">
        <v>7346</v>
      </c>
      <c r="AX72" t="s">
        <v>7377</v>
      </c>
    </row>
    <row r="73" spans="1:50">
      <c r="A73" s="1">
        <f>HYPERLINK("https://lsnyc.legalserver.org/matter/dynamic-profile/view/1863758","18-1863758")</f>
        <v>0</v>
      </c>
      <c r="B73" t="s">
        <v>53</v>
      </c>
      <c r="C73" t="s">
        <v>105</v>
      </c>
      <c r="D73" t="s">
        <v>160</v>
      </c>
      <c r="F73" t="s">
        <v>748</v>
      </c>
      <c r="G73" t="s">
        <v>1619</v>
      </c>
      <c r="H73" t="s">
        <v>2508</v>
      </c>
      <c r="I73">
        <v>712</v>
      </c>
      <c r="J73" t="s">
        <v>3604</v>
      </c>
      <c r="K73">
        <v>10029</v>
      </c>
      <c r="L73" t="s">
        <v>3610</v>
      </c>
      <c r="M73" t="s">
        <v>3610</v>
      </c>
      <c r="N73" t="s">
        <v>3642</v>
      </c>
      <c r="O73" t="s">
        <v>4213</v>
      </c>
      <c r="P73" t="s">
        <v>4241</v>
      </c>
      <c r="R73" t="s">
        <v>4258</v>
      </c>
      <c r="S73" t="s">
        <v>3610</v>
      </c>
      <c r="U73" t="s">
        <v>4268</v>
      </c>
      <c r="V73" t="s">
        <v>4274</v>
      </c>
      <c r="W73" t="s">
        <v>242</v>
      </c>
      <c r="X73">
        <v>0</v>
      </c>
      <c r="Y73" t="s">
        <v>4351</v>
      </c>
      <c r="Z73" t="s">
        <v>4352</v>
      </c>
      <c r="AB73" t="s">
        <v>4450</v>
      </c>
      <c r="AD73" t="s">
        <v>5890</v>
      </c>
      <c r="AE73">
        <v>108</v>
      </c>
      <c r="AF73" t="s">
        <v>7106</v>
      </c>
      <c r="AG73" t="s">
        <v>7116</v>
      </c>
      <c r="AH73">
        <v>20</v>
      </c>
      <c r="AI73">
        <v>2</v>
      </c>
      <c r="AJ73">
        <v>1</v>
      </c>
      <c r="AK73">
        <v>0</v>
      </c>
      <c r="AN73" t="s">
        <v>7138</v>
      </c>
      <c r="AO73">
        <v>0</v>
      </c>
      <c r="AP73" t="s">
        <v>7158</v>
      </c>
      <c r="AU73">
        <v>0.25</v>
      </c>
      <c r="AV73" t="s">
        <v>688</v>
      </c>
      <c r="AW73" t="s">
        <v>7341</v>
      </c>
    </row>
    <row r="74" spans="1:50">
      <c r="A74" s="1">
        <f>HYPERLINK("https://lsnyc.legalserver.org/matter/dynamic-profile/view/1864155","18-1864155")</f>
        <v>0</v>
      </c>
      <c r="B74" t="s">
        <v>53</v>
      </c>
      <c r="C74" t="s">
        <v>105</v>
      </c>
      <c r="D74" t="s">
        <v>161</v>
      </c>
      <c r="F74" t="s">
        <v>704</v>
      </c>
      <c r="G74" t="s">
        <v>1620</v>
      </c>
      <c r="H74" t="s">
        <v>2508</v>
      </c>
      <c r="I74">
        <v>513</v>
      </c>
      <c r="J74" t="s">
        <v>3604</v>
      </c>
      <c r="K74">
        <v>10029</v>
      </c>
      <c r="L74" t="s">
        <v>3610</v>
      </c>
      <c r="M74" t="s">
        <v>3610</v>
      </c>
      <c r="N74" t="s">
        <v>3642</v>
      </c>
      <c r="O74" t="s">
        <v>4213</v>
      </c>
      <c r="P74" t="s">
        <v>4241</v>
      </c>
      <c r="R74" t="s">
        <v>4258</v>
      </c>
      <c r="S74" t="s">
        <v>3610</v>
      </c>
      <c r="U74" t="s">
        <v>4268</v>
      </c>
      <c r="V74" t="s">
        <v>4274</v>
      </c>
      <c r="W74" t="s">
        <v>161</v>
      </c>
      <c r="X74">
        <v>0</v>
      </c>
      <c r="Y74" t="s">
        <v>4351</v>
      </c>
      <c r="Z74" t="s">
        <v>4352</v>
      </c>
      <c r="AB74" t="s">
        <v>4451</v>
      </c>
      <c r="AD74" t="s">
        <v>5891</v>
      </c>
      <c r="AE74">
        <v>108</v>
      </c>
      <c r="AF74" t="s">
        <v>7106</v>
      </c>
      <c r="AG74" t="s">
        <v>7116</v>
      </c>
      <c r="AH74">
        <v>34</v>
      </c>
      <c r="AI74">
        <v>1</v>
      </c>
      <c r="AJ74">
        <v>0</v>
      </c>
      <c r="AK74">
        <v>0</v>
      </c>
      <c r="AN74" t="s">
        <v>7138</v>
      </c>
      <c r="AO74">
        <v>0</v>
      </c>
      <c r="AU74">
        <v>0.25</v>
      </c>
      <c r="AV74" t="s">
        <v>688</v>
      </c>
      <c r="AW74" t="s">
        <v>7341</v>
      </c>
    </row>
    <row r="75" spans="1:50">
      <c r="A75" s="1">
        <f>HYPERLINK("https://lsnyc.legalserver.org/matter/dynamic-profile/view/1864324","18-1864324")</f>
        <v>0</v>
      </c>
      <c r="B75" t="s">
        <v>53</v>
      </c>
      <c r="C75" t="s">
        <v>105</v>
      </c>
      <c r="D75" t="s">
        <v>162</v>
      </c>
      <c r="F75" t="s">
        <v>733</v>
      </c>
      <c r="G75" t="s">
        <v>1621</v>
      </c>
      <c r="H75" t="s">
        <v>2508</v>
      </c>
      <c r="I75">
        <v>409</v>
      </c>
      <c r="J75" t="s">
        <v>3604</v>
      </c>
      <c r="K75">
        <v>10029</v>
      </c>
      <c r="L75" t="s">
        <v>3610</v>
      </c>
      <c r="M75" t="s">
        <v>3610</v>
      </c>
      <c r="N75" t="s">
        <v>3642</v>
      </c>
      <c r="O75" t="s">
        <v>4213</v>
      </c>
      <c r="P75" t="s">
        <v>4241</v>
      </c>
      <c r="R75" t="s">
        <v>4258</v>
      </c>
      <c r="S75" t="s">
        <v>3610</v>
      </c>
      <c r="U75" t="s">
        <v>4268</v>
      </c>
      <c r="V75" t="s">
        <v>4274</v>
      </c>
      <c r="W75" t="s">
        <v>162</v>
      </c>
      <c r="X75">
        <v>0</v>
      </c>
      <c r="Y75" t="s">
        <v>4351</v>
      </c>
      <c r="Z75" t="s">
        <v>4352</v>
      </c>
      <c r="AB75" t="s">
        <v>4452</v>
      </c>
      <c r="AD75" t="s">
        <v>5892</v>
      </c>
      <c r="AE75">
        <v>108</v>
      </c>
      <c r="AF75" t="s">
        <v>7106</v>
      </c>
      <c r="AG75" t="s">
        <v>7116</v>
      </c>
      <c r="AH75">
        <v>28</v>
      </c>
      <c r="AI75">
        <v>1</v>
      </c>
      <c r="AJ75">
        <v>0</v>
      </c>
      <c r="AK75">
        <v>0</v>
      </c>
      <c r="AN75" t="s">
        <v>7139</v>
      </c>
      <c r="AO75">
        <v>0</v>
      </c>
      <c r="AU75">
        <v>1</v>
      </c>
      <c r="AV75" t="s">
        <v>512</v>
      </c>
      <c r="AW75" t="s">
        <v>7341</v>
      </c>
    </row>
    <row r="76" spans="1:50">
      <c r="A76" s="1">
        <f>HYPERLINK("https://lsnyc.legalserver.org/matter/dynamic-profile/view/1864342","18-1864342")</f>
        <v>0</v>
      </c>
      <c r="B76" t="s">
        <v>53</v>
      </c>
      <c r="C76" t="s">
        <v>105</v>
      </c>
      <c r="D76" t="s">
        <v>162</v>
      </c>
      <c r="F76" t="s">
        <v>749</v>
      </c>
      <c r="G76" t="s">
        <v>1622</v>
      </c>
      <c r="H76" t="s">
        <v>2508</v>
      </c>
      <c r="I76">
        <v>605</v>
      </c>
      <c r="J76" t="s">
        <v>3604</v>
      </c>
      <c r="K76">
        <v>10029</v>
      </c>
      <c r="L76" t="s">
        <v>3610</v>
      </c>
      <c r="M76" t="s">
        <v>3610</v>
      </c>
      <c r="N76" t="s">
        <v>3642</v>
      </c>
      <c r="O76" t="s">
        <v>4213</v>
      </c>
      <c r="P76" t="s">
        <v>4241</v>
      </c>
      <c r="R76" t="s">
        <v>4258</v>
      </c>
      <c r="S76" t="s">
        <v>3610</v>
      </c>
      <c r="U76" t="s">
        <v>4268</v>
      </c>
      <c r="V76" t="s">
        <v>4274</v>
      </c>
      <c r="W76" t="s">
        <v>162</v>
      </c>
      <c r="X76">
        <v>0</v>
      </c>
      <c r="Y76" t="s">
        <v>4351</v>
      </c>
      <c r="Z76" t="s">
        <v>4352</v>
      </c>
      <c r="AB76" t="s">
        <v>4453</v>
      </c>
      <c r="AE76">
        <v>108</v>
      </c>
      <c r="AF76" t="s">
        <v>7106</v>
      </c>
      <c r="AG76" t="s">
        <v>7116</v>
      </c>
      <c r="AH76">
        <v>24</v>
      </c>
      <c r="AI76">
        <v>1</v>
      </c>
      <c r="AJ76">
        <v>0</v>
      </c>
      <c r="AK76">
        <v>0</v>
      </c>
      <c r="AN76" t="s">
        <v>7138</v>
      </c>
      <c r="AO76">
        <v>0</v>
      </c>
      <c r="AU76">
        <v>0.25</v>
      </c>
      <c r="AV76" t="s">
        <v>688</v>
      </c>
      <c r="AW76" t="s">
        <v>7341</v>
      </c>
    </row>
    <row r="77" spans="1:50">
      <c r="A77" s="1">
        <f>HYPERLINK("https://lsnyc.legalserver.org/matter/dynamic-profile/view/1886893","19-1886893")</f>
        <v>0</v>
      </c>
      <c r="B77" t="s">
        <v>69</v>
      </c>
      <c r="C77" t="s">
        <v>104</v>
      </c>
      <c r="D77" t="s">
        <v>163</v>
      </c>
      <c r="E77" t="s">
        <v>661</v>
      </c>
      <c r="F77" t="s">
        <v>750</v>
      </c>
      <c r="G77" t="s">
        <v>1623</v>
      </c>
      <c r="H77" t="s">
        <v>2509</v>
      </c>
      <c r="I77">
        <v>205</v>
      </c>
      <c r="J77" t="s">
        <v>3604</v>
      </c>
      <c r="K77">
        <v>10029</v>
      </c>
      <c r="L77" t="s">
        <v>3610</v>
      </c>
      <c r="M77" t="s">
        <v>3610</v>
      </c>
      <c r="O77" t="s">
        <v>4213</v>
      </c>
      <c r="P77" t="s">
        <v>4245</v>
      </c>
      <c r="Q77" t="s">
        <v>4249</v>
      </c>
      <c r="R77" t="s">
        <v>4258</v>
      </c>
      <c r="S77" t="s">
        <v>3611</v>
      </c>
      <c r="U77" t="s">
        <v>4268</v>
      </c>
      <c r="V77" t="s">
        <v>4274</v>
      </c>
      <c r="W77" t="s">
        <v>221</v>
      </c>
      <c r="X77">
        <v>712</v>
      </c>
      <c r="Y77" t="s">
        <v>4351</v>
      </c>
      <c r="Z77" t="s">
        <v>4361</v>
      </c>
      <c r="AA77" t="s">
        <v>4379</v>
      </c>
      <c r="AB77" t="s">
        <v>4454</v>
      </c>
      <c r="AD77" t="s">
        <v>5893</v>
      </c>
      <c r="AE77">
        <v>376</v>
      </c>
      <c r="AF77" t="s">
        <v>7105</v>
      </c>
      <c r="AG77" t="s">
        <v>3745</v>
      </c>
      <c r="AH77">
        <v>7</v>
      </c>
      <c r="AI77">
        <v>1</v>
      </c>
      <c r="AJ77">
        <v>0</v>
      </c>
      <c r="AK77">
        <v>0</v>
      </c>
      <c r="AN77" t="s">
        <v>7138</v>
      </c>
      <c r="AO77">
        <v>0</v>
      </c>
      <c r="AR77" t="s">
        <v>4228</v>
      </c>
      <c r="AT77" t="s">
        <v>7237</v>
      </c>
      <c r="AU77">
        <v>5.35</v>
      </c>
      <c r="AV77" t="s">
        <v>159</v>
      </c>
      <c r="AW77" t="s">
        <v>7341</v>
      </c>
    </row>
    <row r="78" spans="1:50">
      <c r="A78" s="1">
        <f>HYPERLINK("https://lsnyc.legalserver.org/matter/dynamic-profile/view/0799986","16-0799986")</f>
        <v>0</v>
      </c>
      <c r="B78" t="s">
        <v>55</v>
      </c>
      <c r="C78" t="s">
        <v>104</v>
      </c>
      <c r="D78" t="s">
        <v>164</v>
      </c>
      <c r="E78" t="s">
        <v>329</v>
      </c>
      <c r="F78" t="s">
        <v>751</v>
      </c>
      <c r="G78" t="s">
        <v>1624</v>
      </c>
      <c r="H78" t="s">
        <v>2509</v>
      </c>
      <c r="I78">
        <v>2010</v>
      </c>
      <c r="J78" t="s">
        <v>3604</v>
      </c>
      <c r="K78">
        <v>10029</v>
      </c>
      <c r="L78" t="s">
        <v>3611</v>
      </c>
      <c r="M78" t="s">
        <v>3610</v>
      </c>
      <c r="O78" t="s">
        <v>4211</v>
      </c>
      <c r="P78" t="s">
        <v>4242</v>
      </c>
      <c r="Q78" t="s">
        <v>4250</v>
      </c>
      <c r="R78" t="s">
        <v>4258</v>
      </c>
      <c r="S78" t="s">
        <v>3611</v>
      </c>
      <c r="U78" t="s">
        <v>4270</v>
      </c>
      <c r="V78" t="s">
        <v>4274</v>
      </c>
      <c r="W78" t="s">
        <v>164</v>
      </c>
      <c r="X78">
        <v>0</v>
      </c>
      <c r="Y78" t="s">
        <v>4351</v>
      </c>
      <c r="Z78" t="s">
        <v>4354</v>
      </c>
      <c r="AA78" t="s">
        <v>4381</v>
      </c>
      <c r="AB78" t="s">
        <v>4455</v>
      </c>
      <c r="AD78" t="s">
        <v>5894</v>
      </c>
      <c r="AE78">
        <v>0</v>
      </c>
      <c r="AF78" t="s">
        <v>7101</v>
      </c>
      <c r="AG78" t="s">
        <v>3745</v>
      </c>
      <c r="AH78">
        <v>0</v>
      </c>
      <c r="AI78">
        <v>1</v>
      </c>
      <c r="AJ78">
        <v>0</v>
      </c>
      <c r="AK78">
        <v>0</v>
      </c>
      <c r="AN78" t="s">
        <v>7138</v>
      </c>
      <c r="AO78">
        <v>0</v>
      </c>
      <c r="AU78">
        <v>0.1</v>
      </c>
      <c r="AV78" t="s">
        <v>329</v>
      </c>
      <c r="AW78" t="s">
        <v>7341</v>
      </c>
    </row>
    <row r="79" spans="1:50">
      <c r="A79" s="1">
        <f>HYPERLINK("https://lsnyc.legalserver.org/matter/dynamic-profile/view/1860229","18-1860229")</f>
        <v>0</v>
      </c>
      <c r="B79" t="s">
        <v>69</v>
      </c>
      <c r="C79" t="s">
        <v>104</v>
      </c>
      <c r="D79" t="s">
        <v>130</v>
      </c>
      <c r="E79" t="s">
        <v>661</v>
      </c>
      <c r="F79" t="s">
        <v>727</v>
      </c>
      <c r="G79" t="s">
        <v>1587</v>
      </c>
      <c r="H79" t="s">
        <v>2510</v>
      </c>
      <c r="I79" t="s">
        <v>3314</v>
      </c>
      <c r="J79" t="s">
        <v>3604</v>
      </c>
      <c r="K79">
        <v>10029</v>
      </c>
      <c r="L79" t="s">
        <v>3610</v>
      </c>
      <c r="M79" t="s">
        <v>3609</v>
      </c>
      <c r="O79" t="s">
        <v>4211</v>
      </c>
      <c r="P79" t="s">
        <v>4244</v>
      </c>
      <c r="Q79" t="s">
        <v>4249</v>
      </c>
      <c r="R79" t="s">
        <v>4258</v>
      </c>
      <c r="S79" t="s">
        <v>3611</v>
      </c>
      <c r="U79" t="s">
        <v>4268</v>
      </c>
      <c r="V79" t="s">
        <v>4274</v>
      </c>
      <c r="W79" t="s">
        <v>130</v>
      </c>
      <c r="X79">
        <v>711</v>
      </c>
      <c r="Y79" t="s">
        <v>4351</v>
      </c>
      <c r="Z79" t="s">
        <v>4354</v>
      </c>
      <c r="AA79" t="s">
        <v>4377</v>
      </c>
      <c r="AB79" t="s">
        <v>4456</v>
      </c>
      <c r="AD79" t="s">
        <v>5895</v>
      </c>
      <c r="AE79">
        <v>15</v>
      </c>
      <c r="AF79" t="s">
        <v>7101</v>
      </c>
      <c r="AG79" t="s">
        <v>7116</v>
      </c>
      <c r="AH79">
        <v>3</v>
      </c>
      <c r="AI79">
        <v>1</v>
      </c>
      <c r="AJ79">
        <v>0</v>
      </c>
      <c r="AK79">
        <v>0</v>
      </c>
      <c r="AN79" t="s">
        <v>7138</v>
      </c>
      <c r="AO79">
        <v>0</v>
      </c>
      <c r="AU79">
        <v>17.9</v>
      </c>
      <c r="AV79" t="s">
        <v>672</v>
      </c>
      <c r="AW79" t="s">
        <v>7341</v>
      </c>
    </row>
    <row r="80" spans="1:50">
      <c r="A80" s="1">
        <f>HYPERLINK("https://lsnyc.legalserver.org/matter/dynamic-profile/view/1893787","19-1893787")</f>
        <v>0</v>
      </c>
      <c r="B80" t="s">
        <v>70</v>
      </c>
      <c r="C80" t="s">
        <v>104</v>
      </c>
      <c r="D80" t="s">
        <v>165</v>
      </c>
      <c r="E80" t="s">
        <v>129</v>
      </c>
      <c r="F80" t="s">
        <v>752</v>
      </c>
      <c r="G80" t="s">
        <v>1625</v>
      </c>
      <c r="H80" t="s">
        <v>2511</v>
      </c>
      <c r="I80">
        <v>6</v>
      </c>
      <c r="J80" t="s">
        <v>3604</v>
      </c>
      <c r="K80">
        <v>10029</v>
      </c>
      <c r="L80" t="s">
        <v>3610</v>
      </c>
      <c r="M80" t="s">
        <v>3610</v>
      </c>
      <c r="O80" t="s">
        <v>4221</v>
      </c>
      <c r="P80" t="s">
        <v>4245</v>
      </c>
      <c r="Q80" t="s">
        <v>4250</v>
      </c>
      <c r="R80" t="s">
        <v>4258</v>
      </c>
      <c r="S80" t="s">
        <v>3611</v>
      </c>
      <c r="U80" t="s">
        <v>4268</v>
      </c>
      <c r="V80" t="s">
        <v>4274</v>
      </c>
      <c r="W80" t="s">
        <v>118</v>
      </c>
      <c r="X80">
        <v>1200</v>
      </c>
      <c r="Y80" t="s">
        <v>4351</v>
      </c>
      <c r="Z80" t="s">
        <v>4361</v>
      </c>
      <c r="AA80" t="s">
        <v>4373</v>
      </c>
      <c r="AB80" t="s">
        <v>4457</v>
      </c>
      <c r="AE80">
        <v>12</v>
      </c>
      <c r="AF80" t="s">
        <v>7101</v>
      </c>
      <c r="AG80" t="s">
        <v>3745</v>
      </c>
      <c r="AH80">
        <v>19</v>
      </c>
      <c r="AI80">
        <v>1</v>
      </c>
      <c r="AJ80">
        <v>0</v>
      </c>
      <c r="AK80">
        <v>0</v>
      </c>
      <c r="AN80" t="s">
        <v>7138</v>
      </c>
      <c r="AO80">
        <v>0</v>
      </c>
      <c r="AU80">
        <v>5.6</v>
      </c>
      <c r="AV80" t="s">
        <v>7287</v>
      </c>
      <c r="AW80" t="s">
        <v>7351</v>
      </c>
      <c r="AX80" t="s">
        <v>7377</v>
      </c>
    </row>
    <row r="81" spans="1:50">
      <c r="A81" s="1">
        <f>HYPERLINK("https://lsnyc.legalserver.org/matter/dynamic-profile/view/1833440","17-1833440")</f>
        <v>0</v>
      </c>
      <c r="B81" t="s">
        <v>55</v>
      </c>
      <c r="C81" t="s">
        <v>104</v>
      </c>
      <c r="D81" t="s">
        <v>166</v>
      </c>
      <c r="E81" t="s">
        <v>329</v>
      </c>
      <c r="F81" t="s">
        <v>753</v>
      </c>
      <c r="G81" t="s">
        <v>1626</v>
      </c>
      <c r="H81" t="s">
        <v>2512</v>
      </c>
      <c r="I81">
        <v>43</v>
      </c>
      <c r="J81" t="s">
        <v>3604</v>
      </c>
      <c r="K81">
        <v>10029</v>
      </c>
      <c r="L81" t="s">
        <v>3610</v>
      </c>
      <c r="M81" t="s">
        <v>3610</v>
      </c>
      <c r="N81" t="s">
        <v>3643</v>
      </c>
      <c r="O81" t="s">
        <v>4209</v>
      </c>
      <c r="P81" t="s">
        <v>4241</v>
      </c>
      <c r="Q81" t="s">
        <v>4248</v>
      </c>
      <c r="R81" t="s">
        <v>4258</v>
      </c>
      <c r="S81" t="s">
        <v>3611</v>
      </c>
      <c r="U81" t="s">
        <v>4268</v>
      </c>
      <c r="V81" t="s">
        <v>4274</v>
      </c>
      <c r="W81" t="s">
        <v>4282</v>
      </c>
      <c r="X81">
        <v>1600</v>
      </c>
      <c r="Y81" t="s">
        <v>4351</v>
      </c>
      <c r="Z81" t="s">
        <v>4354</v>
      </c>
      <c r="AA81" t="s">
        <v>4374</v>
      </c>
      <c r="AB81" t="s">
        <v>4458</v>
      </c>
      <c r="AD81" t="s">
        <v>5896</v>
      </c>
      <c r="AE81">
        <v>0</v>
      </c>
      <c r="AF81" t="s">
        <v>7103</v>
      </c>
      <c r="AG81" t="s">
        <v>3745</v>
      </c>
      <c r="AH81">
        <v>6</v>
      </c>
      <c r="AI81">
        <v>1</v>
      </c>
      <c r="AJ81">
        <v>0</v>
      </c>
      <c r="AK81">
        <v>0</v>
      </c>
      <c r="AN81" t="s">
        <v>7138</v>
      </c>
      <c r="AO81">
        <v>0</v>
      </c>
      <c r="AU81">
        <v>11.8</v>
      </c>
      <c r="AV81" t="s">
        <v>658</v>
      </c>
      <c r="AW81" t="s">
        <v>7341</v>
      </c>
    </row>
    <row r="82" spans="1:50">
      <c r="A82" s="1">
        <f>HYPERLINK("https://lsnyc.legalserver.org/matter/dynamic-profile/view/1877610","18-1877610")</f>
        <v>0</v>
      </c>
      <c r="B82" t="s">
        <v>69</v>
      </c>
      <c r="C82" t="s">
        <v>104</v>
      </c>
      <c r="D82" t="s">
        <v>167</v>
      </c>
      <c r="E82" t="s">
        <v>661</v>
      </c>
      <c r="F82" t="s">
        <v>727</v>
      </c>
      <c r="G82" t="s">
        <v>1587</v>
      </c>
      <c r="H82" t="s">
        <v>2510</v>
      </c>
      <c r="I82" t="s">
        <v>3314</v>
      </c>
      <c r="J82" t="s">
        <v>3604</v>
      </c>
      <c r="K82">
        <v>10029</v>
      </c>
      <c r="L82" t="s">
        <v>3610</v>
      </c>
      <c r="M82" t="s">
        <v>3610</v>
      </c>
      <c r="N82" t="s">
        <v>3644</v>
      </c>
      <c r="O82" t="s">
        <v>4209</v>
      </c>
      <c r="P82" t="s">
        <v>4245</v>
      </c>
      <c r="Q82" t="s">
        <v>4249</v>
      </c>
      <c r="R82" t="s">
        <v>4258</v>
      </c>
      <c r="S82" t="s">
        <v>3611</v>
      </c>
      <c r="U82" t="s">
        <v>4268</v>
      </c>
      <c r="V82" t="s">
        <v>4277</v>
      </c>
      <c r="W82" t="s">
        <v>167</v>
      </c>
      <c r="X82">
        <v>711</v>
      </c>
      <c r="Y82" t="s">
        <v>4351</v>
      </c>
      <c r="Z82" t="s">
        <v>4356</v>
      </c>
      <c r="AA82" t="s">
        <v>4373</v>
      </c>
      <c r="AB82" t="s">
        <v>4456</v>
      </c>
      <c r="AD82" t="s">
        <v>5895</v>
      </c>
      <c r="AE82">
        <v>15</v>
      </c>
      <c r="AF82" t="s">
        <v>7101</v>
      </c>
      <c r="AG82" t="s">
        <v>7116</v>
      </c>
      <c r="AH82">
        <v>3</v>
      </c>
      <c r="AI82">
        <v>1</v>
      </c>
      <c r="AJ82">
        <v>0</v>
      </c>
      <c r="AK82">
        <v>0</v>
      </c>
      <c r="AN82" t="s">
        <v>7138</v>
      </c>
      <c r="AO82">
        <v>0</v>
      </c>
      <c r="AU82">
        <v>1.5</v>
      </c>
      <c r="AV82" t="s">
        <v>7288</v>
      </c>
      <c r="AW82" t="s">
        <v>7341</v>
      </c>
    </row>
    <row r="83" spans="1:50">
      <c r="A83" s="1">
        <f>HYPERLINK("https://lsnyc.legalserver.org/matter/dynamic-profile/view/1878287","18-1878287")</f>
        <v>0</v>
      </c>
      <c r="B83" t="s">
        <v>55</v>
      </c>
      <c r="C83" t="s">
        <v>104</v>
      </c>
      <c r="D83" t="s">
        <v>168</v>
      </c>
      <c r="E83" t="s">
        <v>236</v>
      </c>
      <c r="F83" t="s">
        <v>754</v>
      </c>
      <c r="G83" t="s">
        <v>1627</v>
      </c>
      <c r="H83" t="s">
        <v>2513</v>
      </c>
      <c r="I83" t="s">
        <v>3315</v>
      </c>
      <c r="J83" t="s">
        <v>3604</v>
      </c>
      <c r="K83">
        <v>10029</v>
      </c>
      <c r="L83" t="s">
        <v>3610</v>
      </c>
      <c r="M83" t="s">
        <v>3610</v>
      </c>
      <c r="N83" t="s">
        <v>3645</v>
      </c>
      <c r="O83" t="s">
        <v>4209</v>
      </c>
      <c r="P83" t="s">
        <v>4242</v>
      </c>
      <c r="Q83" t="s">
        <v>4250</v>
      </c>
      <c r="R83" t="s">
        <v>4258</v>
      </c>
      <c r="S83" t="s">
        <v>3611</v>
      </c>
      <c r="U83" t="s">
        <v>4268</v>
      </c>
      <c r="V83" t="s">
        <v>4274</v>
      </c>
      <c r="W83" t="s">
        <v>611</v>
      </c>
      <c r="X83">
        <v>1300</v>
      </c>
      <c r="Y83" t="s">
        <v>4351</v>
      </c>
      <c r="Z83" t="s">
        <v>4357</v>
      </c>
      <c r="AA83" t="s">
        <v>4373</v>
      </c>
      <c r="AB83" t="s">
        <v>4459</v>
      </c>
      <c r="AD83" t="s">
        <v>5897</v>
      </c>
      <c r="AE83">
        <v>18</v>
      </c>
      <c r="AF83" t="s">
        <v>7101</v>
      </c>
      <c r="AG83" t="s">
        <v>3745</v>
      </c>
      <c r="AH83">
        <v>5</v>
      </c>
      <c r="AI83">
        <v>1</v>
      </c>
      <c r="AJ83">
        <v>0</v>
      </c>
      <c r="AK83">
        <v>0</v>
      </c>
      <c r="AN83" t="s">
        <v>7138</v>
      </c>
      <c r="AO83">
        <v>0</v>
      </c>
      <c r="AP83" t="s">
        <v>7159</v>
      </c>
      <c r="AU83">
        <v>1</v>
      </c>
      <c r="AV83" t="s">
        <v>168</v>
      </c>
      <c r="AW83" t="s">
        <v>7352</v>
      </c>
      <c r="AX83" t="s">
        <v>7377</v>
      </c>
    </row>
    <row r="84" spans="1:50">
      <c r="A84" s="1">
        <f>HYPERLINK("https://lsnyc.legalserver.org/matter/dynamic-profile/view/1894203","19-1894203")</f>
        <v>0</v>
      </c>
      <c r="B84" t="s">
        <v>68</v>
      </c>
      <c r="C84" t="s">
        <v>105</v>
      </c>
      <c r="D84" t="s">
        <v>140</v>
      </c>
      <c r="F84" t="s">
        <v>755</v>
      </c>
      <c r="G84" t="s">
        <v>1628</v>
      </c>
      <c r="H84" t="s">
        <v>2514</v>
      </c>
      <c r="I84">
        <v>16</v>
      </c>
      <c r="J84" t="s">
        <v>3604</v>
      </c>
      <c r="K84">
        <v>10029</v>
      </c>
      <c r="L84" t="s">
        <v>3610</v>
      </c>
      <c r="M84" t="s">
        <v>3610</v>
      </c>
      <c r="O84" t="s">
        <v>4219</v>
      </c>
      <c r="P84" t="s">
        <v>4245</v>
      </c>
      <c r="R84" t="s">
        <v>4258</v>
      </c>
      <c r="S84" t="s">
        <v>3611</v>
      </c>
      <c r="U84" t="s">
        <v>4268</v>
      </c>
      <c r="V84" t="s">
        <v>4274</v>
      </c>
      <c r="W84" t="s">
        <v>140</v>
      </c>
      <c r="X84">
        <v>2100</v>
      </c>
      <c r="Y84" t="s">
        <v>4351</v>
      </c>
      <c r="Z84" t="s">
        <v>4359</v>
      </c>
      <c r="AB84" t="s">
        <v>4460</v>
      </c>
      <c r="AD84" t="s">
        <v>5898</v>
      </c>
      <c r="AE84">
        <v>40</v>
      </c>
      <c r="AF84" t="s">
        <v>7101</v>
      </c>
      <c r="AG84" t="s">
        <v>3745</v>
      </c>
      <c r="AH84">
        <v>1</v>
      </c>
      <c r="AI84">
        <v>1</v>
      </c>
      <c r="AJ84">
        <v>0</v>
      </c>
      <c r="AK84">
        <v>0</v>
      </c>
      <c r="AN84" t="s">
        <v>7138</v>
      </c>
      <c r="AO84">
        <v>0</v>
      </c>
      <c r="AU84">
        <v>3.25</v>
      </c>
      <c r="AV84" t="s">
        <v>179</v>
      </c>
      <c r="AW84" t="s">
        <v>68</v>
      </c>
    </row>
    <row r="85" spans="1:50">
      <c r="A85" s="1">
        <f>HYPERLINK("https://lsnyc.legalserver.org/matter/dynamic-profile/view/1861184","18-1861184")</f>
        <v>0</v>
      </c>
      <c r="B85" t="s">
        <v>67</v>
      </c>
      <c r="C85" t="s">
        <v>104</v>
      </c>
      <c r="D85" t="s">
        <v>111</v>
      </c>
      <c r="E85" t="s">
        <v>209</v>
      </c>
      <c r="F85" t="s">
        <v>756</v>
      </c>
      <c r="G85" t="s">
        <v>1629</v>
      </c>
      <c r="H85" t="s">
        <v>2515</v>
      </c>
      <c r="I85" t="s">
        <v>3316</v>
      </c>
      <c r="J85" t="s">
        <v>3604</v>
      </c>
      <c r="K85">
        <v>10027</v>
      </c>
      <c r="L85" t="s">
        <v>3610</v>
      </c>
      <c r="M85" t="s">
        <v>3610</v>
      </c>
      <c r="N85" t="s">
        <v>3646</v>
      </c>
      <c r="O85" t="s">
        <v>4210</v>
      </c>
      <c r="P85" t="s">
        <v>4242</v>
      </c>
      <c r="Q85" t="s">
        <v>4250</v>
      </c>
      <c r="R85" t="s">
        <v>4257</v>
      </c>
      <c r="S85" t="s">
        <v>3611</v>
      </c>
      <c r="U85" t="s">
        <v>4268</v>
      </c>
      <c r="V85" t="s">
        <v>4274</v>
      </c>
      <c r="W85" t="s">
        <v>634</v>
      </c>
      <c r="X85">
        <v>1015</v>
      </c>
      <c r="Y85" t="s">
        <v>4351</v>
      </c>
      <c r="Z85" t="s">
        <v>4355</v>
      </c>
      <c r="AA85" t="s">
        <v>4373</v>
      </c>
      <c r="AB85" t="s">
        <v>4461</v>
      </c>
      <c r="AD85" t="s">
        <v>5899</v>
      </c>
      <c r="AE85">
        <v>11</v>
      </c>
      <c r="AF85" t="s">
        <v>7101</v>
      </c>
      <c r="AG85" t="s">
        <v>7116</v>
      </c>
      <c r="AH85">
        <v>4</v>
      </c>
      <c r="AI85">
        <v>1</v>
      </c>
      <c r="AJ85">
        <v>0</v>
      </c>
      <c r="AK85">
        <v>0</v>
      </c>
      <c r="AL85" t="s">
        <v>369</v>
      </c>
      <c r="AO85">
        <v>0</v>
      </c>
      <c r="AU85">
        <v>3.4</v>
      </c>
      <c r="AV85" t="s">
        <v>532</v>
      </c>
      <c r="AW85" t="s">
        <v>102</v>
      </c>
    </row>
    <row r="86" spans="1:50">
      <c r="A86" s="1">
        <f>HYPERLINK("https://lsnyc.legalserver.org/matter/dynamic-profile/view/1881577","18-1881577")</f>
        <v>0</v>
      </c>
      <c r="B86" t="s">
        <v>71</v>
      </c>
      <c r="C86" t="s">
        <v>105</v>
      </c>
      <c r="D86" t="s">
        <v>169</v>
      </c>
      <c r="F86" t="s">
        <v>757</v>
      </c>
      <c r="G86" t="s">
        <v>1630</v>
      </c>
      <c r="H86" t="s">
        <v>2516</v>
      </c>
      <c r="I86">
        <v>3</v>
      </c>
      <c r="J86" t="s">
        <v>3604</v>
      </c>
      <c r="K86">
        <v>10027</v>
      </c>
      <c r="L86" t="s">
        <v>3610</v>
      </c>
      <c r="M86" t="s">
        <v>3610</v>
      </c>
      <c r="O86" t="s">
        <v>4211</v>
      </c>
      <c r="P86" t="s">
        <v>4242</v>
      </c>
      <c r="R86" t="s">
        <v>4258</v>
      </c>
      <c r="S86" t="s">
        <v>3611</v>
      </c>
      <c r="U86" t="s">
        <v>4268</v>
      </c>
      <c r="W86" t="s">
        <v>4286</v>
      </c>
      <c r="X86">
        <v>1428</v>
      </c>
      <c r="Y86" t="s">
        <v>4351</v>
      </c>
      <c r="Z86" t="s">
        <v>4354</v>
      </c>
      <c r="AB86" t="s">
        <v>4462</v>
      </c>
      <c r="AD86" t="s">
        <v>5900</v>
      </c>
      <c r="AE86">
        <v>7</v>
      </c>
      <c r="AF86" t="s">
        <v>7101</v>
      </c>
      <c r="AG86" t="s">
        <v>3745</v>
      </c>
      <c r="AH86">
        <v>5</v>
      </c>
      <c r="AI86">
        <v>1</v>
      </c>
      <c r="AJ86">
        <v>0</v>
      </c>
      <c r="AK86">
        <v>0</v>
      </c>
      <c r="AN86" t="s">
        <v>7138</v>
      </c>
      <c r="AO86">
        <v>0</v>
      </c>
      <c r="AU86">
        <v>0</v>
      </c>
      <c r="AW86" t="s">
        <v>7344</v>
      </c>
    </row>
    <row r="87" spans="1:50">
      <c r="A87" s="1">
        <f>HYPERLINK("https://lsnyc.legalserver.org/matter/dynamic-profile/view/1833608","17-1833608")</f>
        <v>0</v>
      </c>
      <c r="B87" t="s">
        <v>54</v>
      </c>
      <c r="C87" t="s">
        <v>104</v>
      </c>
      <c r="D87" t="s">
        <v>170</v>
      </c>
      <c r="E87" t="s">
        <v>662</v>
      </c>
      <c r="F87" t="s">
        <v>758</v>
      </c>
      <c r="G87" t="s">
        <v>1631</v>
      </c>
      <c r="H87" t="s">
        <v>2517</v>
      </c>
      <c r="I87" t="s">
        <v>3306</v>
      </c>
      <c r="J87" t="s">
        <v>3604</v>
      </c>
      <c r="K87">
        <v>10027</v>
      </c>
      <c r="L87" t="s">
        <v>3610</v>
      </c>
      <c r="M87" t="s">
        <v>3610</v>
      </c>
      <c r="P87" t="s">
        <v>4241</v>
      </c>
      <c r="Q87" t="s">
        <v>4248</v>
      </c>
      <c r="R87" t="s">
        <v>4258</v>
      </c>
      <c r="T87" t="s">
        <v>4259</v>
      </c>
      <c r="U87" t="s">
        <v>4268</v>
      </c>
      <c r="W87" t="s">
        <v>278</v>
      </c>
      <c r="X87">
        <v>0</v>
      </c>
      <c r="Y87" t="s">
        <v>4351</v>
      </c>
      <c r="AA87" t="s">
        <v>4374</v>
      </c>
      <c r="AB87" t="s">
        <v>4463</v>
      </c>
      <c r="AD87" t="s">
        <v>5901</v>
      </c>
      <c r="AE87">
        <v>0</v>
      </c>
      <c r="AH87">
        <v>0</v>
      </c>
      <c r="AI87">
        <v>2</v>
      </c>
      <c r="AJ87">
        <v>0</v>
      </c>
      <c r="AK87">
        <v>0</v>
      </c>
      <c r="AN87" t="s">
        <v>7138</v>
      </c>
      <c r="AO87">
        <v>0</v>
      </c>
      <c r="AU87">
        <v>17.15</v>
      </c>
      <c r="AV87" t="s">
        <v>411</v>
      </c>
      <c r="AW87" t="s">
        <v>7345</v>
      </c>
    </row>
    <row r="88" spans="1:50">
      <c r="A88" s="1">
        <f>HYPERLINK("https://lsnyc.legalserver.org/matter/dynamic-profile/view/1869507","18-1869507")</f>
        <v>0</v>
      </c>
      <c r="B88" t="s">
        <v>50</v>
      </c>
      <c r="C88" t="s">
        <v>104</v>
      </c>
      <c r="D88" t="s">
        <v>171</v>
      </c>
      <c r="E88" t="s">
        <v>485</v>
      </c>
      <c r="F88" t="s">
        <v>759</v>
      </c>
      <c r="G88" t="s">
        <v>1632</v>
      </c>
      <c r="H88" t="s">
        <v>2518</v>
      </c>
      <c r="I88">
        <v>84</v>
      </c>
      <c r="J88" t="s">
        <v>3604</v>
      </c>
      <c r="K88">
        <v>10027</v>
      </c>
      <c r="L88" t="s">
        <v>3609</v>
      </c>
      <c r="M88" t="s">
        <v>3609</v>
      </c>
      <c r="Q88" t="s">
        <v>4250</v>
      </c>
      <c r="R88" t="s">
        <v>4258</v>
      </c>
      <c r="U88" t="s">
        <v>4267</v>
      </c>
      <c r="X88">
        <v>0</v>
      </c>
      <c r="Y88" t="s">
        <v>4351</v>
      </c>
      <c r="AA88" t="s">
        <v>4382</v>
      </c>
      <c r="AB88" t="s">
        <v>4464</v>
      </c>
      <c r="AD88" t="s">
        <v>5902</v>
      </c>
      <c r="AE88">
        <v>0</v>
      </c>
      <c r="AH88">
        <v>0</v>
      </c>
      <c r="AI88">
        <v>1</v>
      </c>
      <c r="AJ88">
        <v>0</v>
      </c>
      <c r="AK88">
        <v>0</v>
      </c>
      <c r="AN88" t="s">
        <v>7138</v>
      </c>
      <c r="AO88">
        <v>0</v>
      </c>
      <c r="AU88">
        <v>2.4</v>
      </c>
      <c r="AV88" t="s">
        <v>7289</v>
      </c>
      <c r="AW88" t="s">
        <v>7340</v>
      </c>
    </row>
    <row r="89" spans="1:50">
      <c r="A89" s="1">
        <f>HYPERLINK("https://lsnyc.legalserver.org/matter/dynamic-profile/view/0825888","17-0825888")</f>
        <v>0</v>
      </c>
      <c r="B89" t="s">
        <v>72</v>
      </c>
      <c r="C89" t="s">
        <v>104</v>
      </c>
      <c r="D89" t="s">
        <v>172</v>
      </c>
      <c r="E89" t="s">
        <v>662</v>
      </c>
      <c r="F89" t="s">
        <v>760</v>
      </c>
      <c r="G89" t="s">
        <v>1633</v>
      </c>
      <c r="H89" t="s">
        <v>2519</v>
      </c>
      <c r="I89" t="s">
        <v>3317</v>
      </c>
      <c r="J89" t="s">
        <v>3604</v>
      </c>
      <c r="K89">
        <v>10025</v>
      </c>
      <c r="L89" t="s">
        <v>3610</v>
      </c>
      <c r="M89" t="s">
        <v>3610</v>
      </c>
      <c r="N89" t="s">
        <v>3647</v>
      </c>
      <c r="O89" t="s">
        <v>4213</v>
      </c>
      <c r="P89" t="s">
        <v>4241</v>
      </c>
      <c r="Q89" t="s">
        <v>4248</v>
      </c>
      <c r="R89" t="s">
        <v>4258</v>
      </c>
      <c r="S89" t="s">
        <v>3611</v>
      </c>
      <c r="T89" t="s">
        <v>4259</v>
      </c>
      <c r="U89" t="s">
        <v>4268</v>
      </c>
      <c r="W89" t="s">
        <v>566</v>
      </c>
      <c r="X89">
        <v>0</v>
      </c>
      <c r="Y89" t="s">
        <v>4351</v>
      </c>
      <c r="AA89" t="s">
        <v>4379</v>
      </c>
      <c r="AB89" t="s">
        <v>4465</v>
      </c>
      <c r="AD89" t="s">
        <v>5903</v>
      </c>
      <c r="AE89">
        <v>20</v>
      </c>
      <c r="AF89" t="s">
        <v>7101</v>
      </c>
      <c r="AG89" t="s">
        <v>7118</v>
      </c>
      <c r="AH89">
        <v>54</v>
      </c>
      <c r="AI89">
        <v>2</v>
      </c>
      <c r="AJ89">
        <v>0</v>
      </c>
      <c r="AK89">
        <v>0</v>
      </c>
      <c r="AN89" t="s">
        <v>7138</v>
      </c>
      <c r="AO89">
        <v>0</v>
      </c>
      <c r="AU89">
        <v>6.05</v>
      </c>
      <c r="AV89" t="s">
        <v>329</v>
      </c>
      <c r="AW89" t="s">
        <v>7346</v>
      </c>
    </row>
    <row r="90" spans="1:50">
      <c r="A90" s="1">
        <f>HYPERLINK("https://lsnyc.legalserver.org/matter/dynamic-profile/view/1874185","18-1874185")</f>
        <v>0</v>
      </c>
      <c r="B90" t="s">
        <v>73</v>
      </c>
      <c r="C90" t="s">
        <v>104</v>
      </c>
      <c r="D90" t="s">
        <v>173</v>
      </c>
      <c r="E90" t="s">
        <v>468</v>
      </c>
      <c r="F90" t="s">
        <v>761</v>
      </c>
      <c r="G90" t="s">
        <v>1634</v>
      </c>
      <c r="H90" t="s">
        <v>2520</v>
      </c>
      <c r="I90" t="s">
        <v>3318</v>
      </c>
      <c r="J90" t="s">
        <v>3604</v>
      </c>
      <c r="K90">
        <v>10025</v>
      </c>
      <c r="L90" t="s">
        <v>3610</v>
      </c>
      <c r="M90" t="s">
        <v>3610</v>
      </c>
      <c r="O90" t="s">
        <v>4211</v>
      </c>
      <c r="P90" t="s">
        <v>4242</v>
      </c>
      <c r="Q90" t="s">
        <v>4250</v>
      </c>
      <c r="R90" t="s">
        <v>4258</v>
      </c>
      <c r="S90" t="s">
        <v>3611</v>
      </c>
      <c r="U90" t="s">
        <v>4268</v>
      </c>
      <c r="W90" t="s">
        <v>173</v>
      </c>
      <c r="X90">
        <v>723.04</v>
      </c>
      <c r="Y90" t="s">
        <v>4351</v>
      </c>
      <c r="Z90" t="s">
        <v>4352</v>
      </c>
      <c r="AA90" t="s">
        <v>4373</v>
      </c>
      <c r="AB90" t="s">
        <v>4466</v>
      </c>
      <c r="AE90">
        <v>403</v>
      </c>
      <c r="AF90" t="s">
        <v>7101</v>
      </c>
      <c r="AG90" t="s">
        <v>3745</v>
      </c>
      <c r="AH90">
        <v>50</v>
      </c>
      <c r="AI90">
        <v>2</v>
      </c>
      <c r="AJ90">
        <v>0</v>
      </c>
      <c r="AK90">
        <v>0</v>
      </c>
      <c r="AN90" t="s">
        <v>7138</v>
      </c>
      <c r="AO90">
        <v>0</v>
      </c>
      <c r="AU90">
        <v>0.9</v>
      </c>
      <c r="AV90" t="s">
        <v>4306</v>
      </c>
      <c r="AW90" t="s">
        <v>7342</v>
      </c>
    </row>
    <row r="91" spans="1:50">
      <c r="A91" s="1">
        <f>HYPERLINK("https://lsnyc.legalserver.org/matter/dynamic-profile/view/1878345","18-1878345")</f>
        <v>0</v>
      </c>
      <c r="B91" t="s">
        <v>74</v>
      </c>
      <c r="C91" t="s">
        <v>105</v>
      </c>
      <c r="D91" t="s">
        <v>110</v>
      </c>
      <c r="F91" t="s">
        <v>762</v>
      </c>
      <c r="G91" t="s">
        <v>1635</v>
      </c>
      <c r="H91" t="s">
        <v>2521</v>
      </c>
      <c r="I91" t="s">
        <v>3319</v>
      </c>
      <c r="J91" t="s">
        <v>3604</v>
      </c>
      <c r="K91">
        <v>10024</v>
      </c>
      <c r="L91" t="s">
        <v>3610</v>
      </c>
      <c r="M91" t="s">
        <v>3609</v>
      </c>
      <c r="N91" t="s">
        <v>3648</v>
      </c>
      <c r="O91" t="s">
        <v>4209</v>
      </c>
      <c r="P91" t="s">
        <v>4241</v>
      </c>
      <c r="R91" t="s">
        <v>4258</v>
      </c>
      <c r="S91" t="s">
        <v>3611</v>
      </c>
      <c r="U91" t="s">
        <v>4268</v>
      </c>
      <c r="W91" t="s">
        <v>110</v>
      </c>
      <c r="X91">
        <v>1344</v>
      </c>
      <c r="Y91" t="s">
        <v>4351</v>
      </c>
      <c r="Z91" t="s">
        <v>4354</v>
      </c>
      <c r="AB91" t="s">
        <v>4467</v>
      </c>
      <c r="AD91" t="s">
        <v>5904</v>
      </c>
      <c r="AE91">
        <v>64</v>
      </c>
      <c r="AF91" t="s">
        <v>7101</v>
      </c>
      <c r="AG91" t="s">
        <v>4228</v>
      </c>
      <c r="AH91">
        <v>38</v>
      </c>
      <c r="AI91">
        <v>1</v>
      </c>
      <c r="AJ91">
        <v>0</v>
      </c>
      <c r="AK91">
        <v>0</v>
      </c>
      <c r="AN91" t="s">
        <v>7138</v>
      </c>
      <c r="AO91">
        <v>0</v>
      </c>
      <c r="AU91">
        <v>76.5</v>
      </c>
      <c r="AV91" t="s">
        <v>7287</v>
      </c>
      <c r="AW91" t="s">
        <v>7341</v>
      </c>
    </row>
    <row r="92" spans="1:50">
      <c r="A92" s="1">
        <f>HYPERLINK("https://lsnyc.legalserver.org/matter/dynamic-profile/view/1888169","19-1888169")</f>
        <v>0</v>
      </c>
      <c r="B92" t="s">
        <v>63</v>
      </c>
      <c r="C92" t="s">
        <v>104</v>
      </c>
      <c r="D92" t="s">
        <v>174</v>
      </c>
      <c r="E92" t="s">
        <v>663</v>
      </c>
      <c r="F92" t="s">
        <v>763</v>
      </c>
      <c r="G92" t="s">
        <v>1636</v>
      </c>
      <c r="H92" t="s">
        <v>2522</v>
      </c>
      <c r="J92" t="s">
        <v>3604</v>
      </c>
      <c r="K92">
        <v>10023</v>
      </c>
      <c r="L92" t="s">
        <v>3610</v>
      </c>
      <c r="M92" t="s">
        <v>3611</v>
      </c>
      <c r="N92" t="s">
        <v>3649</v>
      </c>
      <c r="O92" t="s">
        <v>4222</v>
      </c>
      <c r="P92" t="s">
        <v>4241</v>
      </c>
      <c r="Q92" t="s">
        <v>4253</v>
      </c>
      <c r="R92" t="s">
        <v>4258</v>
      </c>
      <c r="S92" t="s">
        <v>3611</v>
      </c>
      <c r="U92" t="s">
        <v>4268</v>
      </c>
      <c r="W92" t="s">
        <v>663</v>
      </c>
      <c r="X92">
        <v>3600</v>
      </c>
      <c r="Y92" t="s">
        <v>4351</v>
      </c>
      <c r="Z92" t="s">
        <v>4355</v>
      </c>
      <c r="AA92" t="s">
        <v>4374</v>
      </c>
      <c r="AB92" t="s">
        <v>4468</v>
      </c>
      <c r="AD92" t="s">
        <v>5905</v>
      </c>
      <c r="AE92">
        <v>0</v>
      </c>
      <c r="AF92" t="s">
        <v>7101</v>
      </c>
      <c r="AG92" t="s">
        <v>3745</v>
      </c>
      <c r="AH92">
        <v>1</v>
      </c>
      <c r="AI92">
        <v>1</v>
      </c>
      <c r="AJ92">
        <v>0</v>
      </c>
      <c r="AK92">
        <v>0</v>
      </c>
      <c r="AN92" t="s">
        <v>7138</v>
      </c>
      <c r="AO92">
        <v>0</v>
      </c>
      <c r="AU92">
        <v>68.59999999999999</v>
      </c>
      <c r="AV92" t="s">
        <v>663</v>
      </c>
      <c r="AW92" t="s">
        <v>7342</v>
      </c>
      <c r="AX92" t="s">
        <v>7377</v>
      </c>
    </row>
    <row r="93" spans="1:50">
      <c r="A93" s="1">
        <f>HYPERLINK("https://lsnyc.legalserver.org/matter/dynamic-profile/view/1884428","18-1884428")</f>
        <v>0</v>
      </c>
      <c r="B93" t="s">
        <v>75</v>
      </c>
      <c r="C93" t="s">
        <v>105</v>
      </c>
      <c r="D93" t="s">
        <v>175</v>
      </c>
      <c r="F93" t="s">
        <v>764</v>
      </c>
      <c r="G93" t="s">
        <v>1637</v>
      </c>
      <c r="H93" t="s">
        <v>2523</v>
      </c>
      <c r="I93" t="s">
        <v>3320</v>
      </c>
      <c r="J93" t="s">
        <v>3604</v>
      </c>
      <c r="K93">
        <v>10021</v>
      </c>
      <c r="L93" t="s">
        <v>3610</v>
      </c>
      <c r="M93" t="s">
        <v>3610</v>
      </c>
      <c r="N93" t="s">
        <v>3650</v>
      </c>
      <c r="O93" t="s">
        <v>4210</v>
      </c>
      <c r="P93" t="s">
        <v>4245</v>
      </c>
      <c r="R93" t="s">
        <v>4258</v>
      </c>
      <c r="S93" t="s">
        <v>3611</v>
      </c>
      <c r="U93" t="s">
        <v>4268</v>
      </c>
      <c r="W93" t="s">
        <v>175</v>
      </c>
      <c r="X93">
        <v>2250</v>
      </c>
      <c r="Y93" t="s">
        <v>4351</v>
      </c>
      <c r="Z93" t="s">
        <v>4353</v>
      </c>
      <c r="AB93" t="s">
        <v>4469</v>
      </c>
      <c r="AD93" t="s">
        <v>5906</v>
      </c>
      <c r="AE93">
        <v>53</v>
      </c>
      <c r="AG93" t="s">
        <v>3745</v>
      </c>
      <c r="AH93">
        <v>10</v>
      </c>
      <c r="AI93">
        <v>1</v>
      </c>
      <c r="AJ93">
        <v>0</v>
      </c>
      <c r="AK93">
        <v>0</v>
      </c>
      <c r="AN93" t="s">
        <v>7138</v>
      </c>
      <c r="AO93">
        <v>0</v>
      </c>
      <c r="AU93">
        <v>0.65</v>
      </c>
      <c r="AV93" t="s">
        <v>329</v>
      </c>
      <c r="AW93" t="s">
        <v>7347</v>
      </c>
    </row>
    <row r="94" spans="1:50">
      <c r="A94" s="1">
        <f>HYPERLINK("https://lsnyc.legalserver.org/matter/dynamic-profile/view/1854368","17-1854368")</f>
        <v>0</v>
      </c>
      <c r="B94" t="s">
        <v>53</v>
      </c>
      <c r="C94" t="s">
        <v>104</v>
      </c>
      <c r="D94" t="s">
        <v>176</v>
      </c>
      <c r="E94" t="s">
        <v>335</v>
      </c>
      <c r="F94" t="s">
        <v>765</v>
      </c>
      <c r="G94" t="s">
        <v>1638</v>
      </c>
      <c r="H94" t="s">
        <v>2524</v>
      </c>
      <c r="J94" t="s">
        <v>3604</v>
      </c>
      <c r="K94">
        <v>10018</v>
      </c>
      <c r="L94" t="s">
        <v>3610</v>
      </c>
      <c r="M94" t="s">
        <v>3611</v>
      </c>
      <c r="N94" t="s">
        <v>3651</v>
      </c>
      <c r="O94" t="s">
        <v>4223</v>
      </c>
      <c r="P94" t="s">
        <v>4241</v>
      </c>
      <c r="Q94" t="s">
        <v>4253</v>
      </c>
      <c r="R94" t="s">
        <v>4257</v>
      </c>
      <c r="S94" t="s">
        <v>3611</v>
      </c>
      <c r="U94" t="s">
        <v>4268</v>
      </c>
      <c r="V94" t="s">
        <v>4277</v>
      </c>
      <c r="W94" t="s">
        <v>176</v>
      </c>
      <c r="X94">
        <v>6000</v>
      </c>
      <c r="Y94" t="s">
        <v>4351</v>
      </c>
      <c r="Z94" t="s">
        <v>4355</v>
      </c>
      <c r="AA94" t="s">
        <v>4375</v>
      </c>
      <c r="AB94" t="s">
        <v>4470</v>
      </c>
      <c r="AD94" t="s">
        <v>5907</v>
      </c>
      <c r="AE94">
        <v>26</v>
      </c>
      <c r="AF94" t="s">
        <v>7107</v>
      </c>
      <c r="AG94" t="s">
        <v>3745</v>
      </c>
      <c r="AH94">
        <v>7</v>
      </c>
      <c r="AI94">
        <v>1</v>
      </c>
      <c r="AJ94">
        <v>0</v>
      </c>
      <c r="AK94">
        <v>0</v>
      </c>
      <c r="AL94" t="s">
        <v>369</v>
      </c>
      <c r="AN94" t="s">
        <v>7138</v>
      </c>
      <c r="AO94">
        <v>0</v>
      </c>
      <c r="AP94" t="s">
        <v>7160</v>
      </c>
      <c r="AQ94" t="s">
        <v>7198</v>
      </c>
      <c r="AR94" t="s">
        <v>4228</v>
      </c>
      <c r="AS94" t="s">
        <v>7232</v>
      </c>
      <c r="AT94" t="s">
        <v>7238</v>
      </c>
      <c r="AU94">
        <v>14.9</v>
      </c>
      <c r="AV94" t="s">
        <v>7290</v>
      </c>
      <c r="AW94" t="s">
        <v>102</v>
      </c>
    </row>
    <row r="95" spans="1:50">
      <c r="A95" s="1">
        <f>HYPERLINK("https://lsnyc.legalserver.org/matter/dynamic-profile/view/1872937","18-1872937")</f>
        <v>0</v>
      </c>
      <c r="B95" t="s">
        <v>76</v>
      </c>
      <c r="C95" t="s">
        <v>104</v>
      </c>
      <c r="D95" t="s">
        <v>177</v>
      </c>
      <c r="E95" t="s">
        <v>424</v>
      </c>
      <c r="F95" t="s">
        <v>766</v>
      </c>
      <c r="G95" t="s">
        <v>1639</v>
      </c>
      <c r="H95" t="s">
        <v>2525</v>
      </c>
      <c r="I95">
        <v>306</v>
      </c>
      <c r="J95" t="s">
        <v>3604</v>
      </c>
      <c r="K95">
        <v>10016</v>
      </c>
      <c r="L95" t="s">
        <v>3609</v>
      </c>
      <c r="M95" t="s">
        <v>3609</v>
      </c>
      <c r="P95" t="s">
        <v>4245</v>
      </c>
      <c r="Q95" t="s">
        <v>4250</v>
      </c>
      <c r="R95" t="s">
        <v>4257</v>
      </c>
      <c r="U95" t="s">
        <v>4268</v>
      </c>
      <c r="X95">
        <v>3400</v>
      </c>
      <c r="Y95" t="s">
        <v>4351</v>
      </c>
      <c r="Z95" t="s">
        <v>4355</v>
      </c>
      <c r="AA95" t="s">
        <v>4373</v>
      </c>
      <c r="AB95" t="s">
        <v>4471</v>
      </c>
      <c r="AD95" t="s">
        <v>5908</v>
      </c>
      <c r="AE95">
        <v>0</v>
      </c>
      <c r="AH95">
        <v>1</v>
      </c>
      <c r="AI95">
        <v>1</v>
      </c>
      <c r="AJ95">
        <v>0</v>
      </c>
      <c r="AK95">
        <v>0</v>
      </c>
      <c r="AN95" t="s">
        <v>7138</v>
      </c>
      <c r="AO95">
        <v>0</v>
      </c>
      <c r="AU95">
        <v>0.5</v>
      </c>
      <c r="AV95" t="s">
        <v>4345</v>
      </c>
      <c r="AW95" t="s">
        <v>76</v>
      </c>
    </row>
    <row r="96" spans="1:50">
      <c r="A96" s="1">
        <f>HYPERLINK("https://lsnyc.legalserver.org/matter/dynamic-profile/view/1859019","18-1859019")</f>
        <v>0</v>
      </c>
      <c r="B96" t="s">
        <v>77</v>
      </c>
      <c r="C96" t="s">
        <v>105</v>
      </c>
      <c r="D96" t="s">
        <v>178</v>
      </c>
      <c r="F96" t="s">
        <v>767</v>
      </c>
      <c r="G96" t="s">
        <v>1640</v>
      </c>
      <c r="H96" t="s">
        <v>2526</v>
      </c>
      <c r="J96" t="s">
        <v>3604</v>
      </c>
      <c r="K96">
        <v>10013</v>
      </c>
      <c r="L96" t="s">
        <v>3609</v>
      </c>
      <c r="M96" t="s">
        <v>3609</v>
      </c>
      <c r="R96" t="s">
        <v>4258</v>
      </c>
      <c r="U96" t="s">
        <v>4267</v>
      </c>
      <c r="X96">
        <v>0</v>
      </c>
      <c r="Y96" t="s">
        <v>4351</v>
      </c>
      <c r="AA96" t="s">
        <v>4383</v>
      </c>
      <c r="AB96" t="s">
        <v>4472</v>
      </c>
      <c r="AE96">
        <v>0</v>
      </c>
      <c r="AH96">
        <v>0</v>
      </c>
      <c r="AI96">
        <v>1</v>
      </c>
      <c r="AJ96">
        <v>1</v>
      </c>
      <c r="AK96">
        <v>0</v>
      </c>
      <c r="AN96" t="s">
        <v>7141</v>
      </c>
      <c r="AO96">
        <v>0</v>
      </c>
      <c r="AU96">
        <v>0</v>
      </c>
      <c r="AV96" t="s">
        <v>517</v>
      </c>
      <c r="AW96" t="s">
        <v>77</v>
      </c>
    </row>
    <row r="97" spans="1:50">
      <c r="A97" s="1">
        <f>HYPERLINK("https://lsnyc.legalserver.org/matter/dynamic-profile/view/1895429","19-1895429")</f>
        <v>0</v>
      </c>
      <c r="B97" t="s">
        <v>61</v>
      </c>
      <c r="C97" t="s">
        <v>105</v>
      </c>
      <c r="D97" t="s">
        <v>179</v>
      </c>
      <c r="F97" t="s">
        <v>727</v>
      </c>
      <c r="G97" t="s">
        <v>1641</v>
      </c>
      <c r="H97" t="s">
        <v>2527</v>
      </c>
      <c r="I97" t="s">
        <v>3321</v>
      </c>
      <c r="J97" t="s">
        <v>3604</v>
      </c>
      <c r="K97">
        <v>10012</v>
      </c>
      <c r="L97" t="s">
        <v>3611</v>
      </c>
      <c r="M97" t="s">
        <v>3609</v>
      </c>
      <c r="N97" t="s">
        <v>3652</v>
      </c>
      <c r="O97" t="s">
        <v>4209</v>
      </c>
      <c r="P97" t="s">
        <v>4245</v>
      </c>
      <c r="R97" t="s">
        <v>4257</v>
      </c>
      <c r="S97" t="s">
        <v>3611</v>
      </c>
      <c r="U97" t="s">
        <v>4268</v>
      </c>
      <c r="V97" t="s">
        <v>4274</v>
      </c>
      <c r="X97">
        <v>757.71</v>
      </c>
      <c r="Y97" t="s">
        <v>4351</v>
      </c>
      <c r="Z97" t="s">
        <v>4355</v>
      </c>
      <c r="AB97" t="s">
        <v>4473</v>
      </c>
      <c r="AD97" t="s">
        <v>5909</v>
      </c>
      <c r="AE97">
        <v>92</v>
      </c>
      <c r="AF97" t="s">
        <v>7105</v>
      </c>
      <c r="AG97" t="s">
        <v>3745</v>
      </c>
      <c r="AH97">
        <v>12</v>
      </c>
      <c r="AI97">
        <v>2</v>
      </c>
      <c r="AJ97">
        <v>0</v>
      </c>
      <c r="AK97">
        <v>0</v>
      </c>
      <c r="AN97" t="s">
        <v>7138</v>
      </c>
      <c r="AO97">
        <v>0</v>
      </c>
      <c r="AU97">
        <v>23.8</v>
      </c>
      <c r="AV97" t="s">
        <v>678</v>
      </c>
      <c r="AW97" t="s">
        <v>7341</v>
      </c>
      <c r="AX97" t="s">
        <v>3745</v>
      </c>
    </row>
    <row r="98" spans="1:50">
      <c r="A98" s="1">
        <f>HYPERLINK("https://lsnyc.legalserver.org/matter/dynamic-profile/view/1895431","19-1895431")</f>
        <v>0</v>
      </c>
      <c r="B98" t="s">
        <v>61</v>
      </c>
      <c r="C98" t="s">
        <v>105</v>
      </c>
      <c r="D98" t="s">
        <v>179</v>
      </c>
      <c r="F98" t="s">
        <v>727</v>
      </c>
      <c r="G98" t="s">
        <v>1641</v>
      </c>
      <c r="H98" t="s">
        <v>2527</v>
      </c>
      <c r="I98" t="s">
        <v>3321</v>
      </c>
      <c r="J98" t="s">
        <v>3604</v>
      </c>
      <c r="K98">
        <v>10012</v>
      </c>
      <c r="L98" t="s">
        <v>3609</v>
      </c>
      <c r="M98" t="s">
        <v>3609</v>
      </c>
      <c r="O98" t="s">
        <v>4212</v>
      </c>
      <c r="P98" t="s">
        <v>4246</v>
      </c>
      <c r="R98" t="s">
        <v>4258</v>
      </c>
      <c r="S98" t="s">
        <v>3611</v>
      </c>
      <c r="U98" t="s">
        <v>4270</v>
      </c>
      <c r="V98" t="s">
        <v>4274</v>
      </c>
      <c r="X98">
        <v>757.71</v>
      </c>
      <c r="Y98" t="s">
        <v>4351</v>
      </c>
      <c r="Z98" t="s">
        <v>4356</v>
      </c>
      <c r="AB98" t="s">
        <v>4473</v>
      </c>
      <c r="AD98" t="s">
        <v>5909</v>
      </c>
      <c r="AE98">
        <v>92</v>
      </c>
      <c r="AF98" t="s">
        <v>7105</v>
      </c>
      <c r="AG98" t="s">
        <v>3745</v>
      </c>
      <c r="AH98">
        <v>0</v>
      </c>
      <c r="AI98">
        <v>2</v>
      </c>
      <c r="AJ98">
        <v>0</v>
      </c>
      <c r="AK98">
        <v>0</v>
      </c>
      <c r="AN98" t="s">
        <v>7138</v>
      </c>
      <c r="AO98">
        <v>0</v>
      </c>
      <c r="AU98">
        <v>4.1</v>
      </c>
      <c r="AV98" t="s">
        <v>678</v>
      </c>
      <c r="AW98" t="s">
        <v>7341</v>
      </c>
    </row>
    <row r="99" spans="1:50">
      <c r="A99" s="1">
        <f>HYPERLINK("https://lsnyc.legalserver.org/matter/dynamic-profile/view/1846070","17-1846070")</f>
        <v>0</v>
      </c>
      <c r="B99" t="s">
        <v>64</v>
      </c>
      <c r="C99" t="s">
        <v>104</v>
      </c>
      <c r="D99" t="s">
        <v>180</v>
      </c>
      <c r="E99" t="s">
        <v>664</v>
      </c>
      <c r="F99" t="s">
        <v>768</v>
      </c>
      <c r="G99" t="s">
        <v>1642</v>
      </c>
      <c r="H99" t="s">
        <v>2528</v>
      </c>
      <c r="I99" t="s">
        <v>3322</v>
      </c>
      <c r="J99" t="s">
        <v>3604</v>
      </c>
      <c r="K99">
        <v>10009</v>
      </c>
      <c r="L99" t="s">
        <v>3610</v>
      </c>
      <c r="M99" t="s">
        <v>3609</v>
      </c>
      <c r="O99" t="s">
        <v>4221</v>
      </c>
      <c r="P99" t="s">
        <v>4244</v>
      </c>
      <c r="Q99" t="s">
        <v>4249</v>
      </c>
      <c r="R99" t="s">
        <v>4257</v>
      </c>
      <c r="S99" t="s">
        <v>3611</v>
      </c>
      <c r="U99" t="s">
        <v>4273</v>
      </c>
      <c r="W99" t="s">
        <v>183</v>
      </c>
      <c r="X99">
        <v>1411</v>
      </c>
      <c r="Y99" t="s">
        <v>4351</v>
      </c>
      <c r="Z99" t="s">
        <v>4355</v>
      </c>
      <c r="AA99" t="s">
        <v>4373</v>
      </c>
      <c r="AB99" t="s">
        <v>4474</v>
      </c>
      <c r="AD99" t="s">
        <v>5910</v>
      </c>
      <c r="AE99">
        <v>743</v>
      </c>
      <c r="AF99" t="s">
        <v>7108</v>
      </c>
      <c r="AG99" t="s">
        <v>3745</v>
      </c>
      <c r="AH99">
        <v>21</v>
      </c>
      <c r="AI99">
        <v>1</v>
      </c>
      <c r="AJ99">
        <v>0</v>
      </c>
      <c r="AK99">
        <v>0</v>
      </c>
      <c r="AL99" t="s">
        <v>369</v>
      </c>
      <c r="AN99" t="s">
        <v>7138</v>
      </c>
      <c r="AO99">
        <v>0</v>
      </c>
      <c r="AU99">
        <v>4.05</v>
      </c>
      <c r="AV99" t="s">
        <v>456</v>
      </c>
      <c r="AW99" t="s">
        <v>102</v>
      </c>
    </row>
    <row r="100" spans="1:50">
      <c r="A100" s="1">
        <f>HYPERLINK("https://lsnyc.legalserver.org/matter/dynamic-profile/view/1856395","18-1856395")</f>
        <v>0</v>
      </c>
      <c r="B100" t="s">
        <v>78</v>
      </c>
      <c r="C100" t="s">
        <v>104</v>
      </c>
      <c r="D100" t="s">
        <v>181</v>
      </c>
      <c r="E100" t="s">
        <v>335</v>
      </c>
      <c r="F100" t="s">
        <v>769</v>
      </c>
      <c r="G100" t="s">
        <v>1643</v>
      </c>
      <c r="H100" t="s">
        <v>2529</v>
      </c>
      <c r="I100" t="s">
        <v>3323</v>
      </c>
      <c r="J100" t="s">
        <v>3604</v>
      </c>
      <c r="K100">
        <v>10001</v>
      </c>
      <c r="L100" t="s">
        <v>3610</v>
      </c>
      <c r="M100" t="s">
        <v>3610</v>
      </c>
      <c r="N100" t="s">
        <v>3653</v>
      </c>
      <c r="O100" t="s">
        <v>4210</v>
      </c>
      <c r="P100" t="s">
        <v>4242</v>
      </c>
      <c r="Q100" t="s">
        <v>4250</v>
      </c>
      <c r="R100" t="s">
        <v>4258</v>
      </c>
      <c r="S100" t="s">
        <v>3611</v>
      </c>
      <c r="T100" t="s">
        <v>4259</v>
      </c>
      <c r="U100" t="s">
        <v>4268</v>
      </c>
      <c r="W100" t="s">
        <v>428</v>
      </c>
      <c r="X100">
        <v>1900</v>
      </c>
      <c r="Y100" t="s">
        <v>4351</v>
      </c>
      <c r="Z100" t="s">
        <v>4353</v>
      </c>
      <c r="AA100" t="s">
        <v>4373</v>
      </c>
      <c r="AB100" t="s">
        <v>4475</v>
      </c>
      <c r="AD100" t="s">
        <v>5911</v>
      </c>
      <c r="AE100">
        <v>26</v>
      </c>
      <c r="AF100" t="s">
        <v>7103</v>
      </c>
      <c r="AG100" t="s">
        <v>7119</v>
      </c>
      <c r="AH100">
        <v>1</v>
      </c>
      <c r="AI100">
        <v>1</v>
      </c>
      <c r="AJ100">
        <v>0</v>
      </c>
      <c r="AK100">
        <v>0</v>
      </c>
      <c r="AN100" t="s">
        <v>7138</v>
      </c>
      <c r="AO100">
        <v>0</v>
      </c>
      <c r="AU100">
        <v>2.4</v>
      </c>
      <c r="AV100" t="s">
        <v>173</v>
      </c>
      <c r="AW100" t="s">
        <v>7344</v>
      </c>
    </row>
    <row r="101" spans="1:50">
      <c r="A101" s="1">
        <f>HYPERLINK("https://lsnyc.legalserver.org/matter/dynamic-profile/view/1833594","17-1833594")</f>
        <v>0</v>
      </c>
      <c r="B101" t="s">
        <v>50</v>
      </c>
      <c r="C101" t="s">
        <v>104</v>
      </c>
      <c r="D101" t="s">
        <v>182</v>
      </c>
      <c r="E101" t="s">
        <v>262</v>
      </c>
      <c r="F101" t="s">
        <v>739</v>
      </c>
      <c r="G101" t="s">
        <v>1265</v>
      </c>
      <c r="H101" t="s">
        <v>2530</v>
      </c>
      <c r="J101" t="s">
        <v>3604</v>
      </c>
      <c r="K101">
        <v>7601</v>
      </c>
      <c r="L101" t="s">
        <v>3609</v>
      </c>
      <c r="M101" t="s">
        <v>3609</v>
      </c>
      <c r="Q101" t="s">
        <v>4255</v>
      </c>
      <c r="R101" t="s">
        <v>4258</v>
      </c>
      <c r="U101" t="s">
        <v>4267</v>
      </c>
      <c r="X101">
        <v>0</v>
      </c>
      <c r="Y101" t="s">
        <v>4351</v>
      </c>
      <c r="AA101" t="s">
        <v>4372</v>
      </c>
      <c r="AB101" t="s">
        <v>4476</v>
      </c>
      <c r="AE101">
        <v>0</v>
      </c>
      <c r="AH101">
        <v>0</v>
      </c>
      <c r="AI101">
        <v>2</v>
      </c>
      <c r="AJ101">
        <v>1</v>
      </c>
      <c r="AK101">
        <v>0</v>
      </c>
      <c r="AN101" t="s">
        <v>7138</v>
      </c>
      <c r="AO101">
        <v>0</v>
      </c>
      <c r="AU101">
        <v>31.8</v>
      </c>
      <c r="AV101" t="s">
        <v>269</v>
      </c>
      <c r="AW101" t="s">
        <v>7340</v>
      </c>
    </row>
    <row r="102" spans="1:50">
      <c r="A102" s="1">
        <f>HYPERLINK("https://lsnyc.legalserver.org/matter/dynamic-profile/view/1864740","18-1864740")</f>
        <v>0</v>
      </c>
      <c r="B102" t="s">
        <v>53</v>
      </c>
      <c r="C102" t="s">
        <v>105</v>
      </c>
      <c r="D102" t="s">
        <v>151</v>
      </c>
      <c r="F102" t="s">
        <v>770</v>
      </c>
      <c r="G102" t="s">
        <v>1644</v>
      </c>
      <c r="H102" t="s">
        <v>2508</v>
      </c>
      <c r="I102">
        <v>812</v>
      </c>
      <c r="J102" t="s">
        <v>3604</v>
      </c>
      <c r="K102">
        <v>10029</v>
      </c>
      <c r="L102" t="s">
        <v>3610</v>
      </c>
      <c r="M102" t="s">
        <v>3610</v>
      </c>
      <c r="N102" t="s">
        <v>3642</v>
      </c>
      <c r="O102" t="s">
        <v>4213</v>
      </c>
      <c r="P102" t="s">
        <v>4241</v>
      </c>
      <c r="R102" t="s">
        <v>4258</v>
      </c>
      <c r="S102" t="s">
        <v>3610</v>
      </c>
      <c r="U102" t="s">
        <v>4268</v>
      </c>
      <c r="V102" t="s">
        <v>4274</v>
      </c>
      <c r="W102" t="s">
        <v>151</v>
      </c>
      <c r="X102">
        <v>0</v>
      </c>
      <c r="Y102" t="s">
        <v>4351</v>
      </c>
      <c r="Z102" t="s">
        <v>4352</v>
      </c>
      <c r="AB102" t="s">
        <v>4477</v>
      </c>
      <c r="AC102">
        <v>5261582</v>
      </c>
      <c r="AE102">
        <v>108</v>
      </c>
      <c r="AF102" t="s">
        <v>7106</v>
      </c>
      <c r="AG102" t="s">
        <v>7116</v>
      </c>
      <c r="AH102">
        <v>14</v>
      </c>
      <c r="AI102">
        <v>1</v>
      </c>
      <c r="AJ102">
        <v>4</v>
      </c>
      <c r="AK102">
        <v>4.08</v>
      </c>
      <c r="AN102" t="s">
        <v>7138</v>
      </c>
      <c r="AO102">
        <v>1200</v>
      </c>
      <c r="AU102">
        <v>0.5</v>
      </c>
      <c r="AV102" t="s">
        <v>688</v>
      </c>
      <c r="AW102" t="s">
        <v>7341</v>
      </c>
    </row>
    <row r="103" spans="1:50">
      <c r="A103" s="1">
        <f>HYPERLINK("https://lsnyc.legalserver.org/matter/dynamic-profile/view/1872502","18-1872502")</f>
        <v>0</v>
      </c>
      <c r="B103" t="s">
        <v>63</v>
      </c>
      <c r="C103" t="s">
        <v>104</v>
      </c>
      <c r="D103" t="s">
        <v>137</v>
      </c>
      <c r="E103" t="s">
        <v>320</v>
      </c>
      <c r="F103" t="s">
        <v>771</v>
      </c>
      <c r="G103" t="s">
        <v>1645</v>
      </c>
      <c r="H103" t="s">
        <v>2473</v>
      </c>
      <c r="I103" t="s">
        <v>3316</v>
      </c>
      <c r="J103" t="s">
        <v>3604</v>
      </c>
      <c r="K103">
        <v>10034</v>
      </c>
      <c r="L103" t="s">
        <v>3610</v>
      </c>
      <c r="M103" t="s">
        <v>3610</v>
      </c>
      <c r="P103" t="s">
        <v>4245</v>
      </c>
      <c r="Q103" t="s">
        <v>4249</v>
      </c>
      <c r="R103" t="s">
        <v>4258</v>
      </c>
      <c r="S103" t="s">
        <v>3611</v>
      </c>
      <c r="U103" t="s">
        <v>4268</v>
      </c>
      <c r="W103" t="s">
        <v>137</v>
      </c>
      <c r="X103">
        <v>0</v>
      </c>
      <c r="Y103" t="s">
        <v>4351</v>
      </c>
      <c r="Z103" t="s">
        <v>4354</v>
      </c>
      <c r="AA103" t="s">
        <v>4377</v>
      </c>
      <c r="AB103" t="s">
        <v>4478</v>
      </c>
      <c r="AE103">
        <v>17</v>
      </c>
      <c r="AF103" t="s">
        <v>7101</v>
      </c>
      <c r="AG103" t="s">
        <v>3745</v>
      </c>
      <c r="AH103">
        <v>9</v>
      </c>
      <c r="AI103">
        <v>1</v>
      </c>
      <c r="AJ103">
        <v>0</v>
      </c>
      <c r="AK103">
        <v>5.93</v>
      </c>
      <c r="AN103" t="s">
        <v>7139</v>
      </c>
      <c r="AO103">
        <v>720</v>
      </c>
      <c r="AU103">
        <v>0.1</v>
      </c>
      <c r="AV103" t="s">
        <v>320</v>
      </c>
      <c r="AW103" t="s">
        <v>7342</v>
      </c>
    </row>
    <row r="104" spans="1:50">
      <c r="A104" s="1">
        <f>HYPERLINK("https://lsnyc.legalserver.org/matter/dynamic-profile/view/1846300","17-1846300")</f>
        <v>0</v>
      </c>
      <c r="B104" t="s">
        <v>67</v>
      </c>
      <c r="C104" t="s">
        <v>105</v>
      </c>
      <c r="D104" t="s">
        <v>183</v>
      </c>
      <c r="F104" t="s">
        <v>772</v>
      </c>
      <c r="G104" t="s">
        <v>1646</v>
      </c>
      <c r="H104" t="s">
        <v>2531</v>
      </c>
      <c r="I104" t="s">
        <v>3324</v>
      </c>
      <c r="J104" t="s">
        <v>3604</v>
      </c>
      <c r="K104">
        <v>10035</v>
      </c>
      <c r="L104" t="s">
        <v>3610</v>
      </c>
      <c r="M104" t="s">
        <v>3609</v>
      </c>
      <c r="N104" t="s">
        <v>3654</v>
      </c>
      <c r="O104" t="s">
        <v>4213</v>
      </c>
      <c r="P104" t="s">
        <v>4241</v>
      </c>
      <c r="R104" t="s">
        <v>4258</v>
      </c>
      <c r="S104" t="s">
        <v>3610</v>
      </c>
      <c r="U104" t="s">
        <v>4268</v>
      </c>
      <c r="W104" t="s">
        <v>183</v>
      </c>
      <c r="X104">
        <v>1205.47</v>
      </c>
      <c r="Y104" t="s">
        <v>4351</v>
      </c>
      <c r="Z104" t="s">
        <v>4352</v>
      </c>
      <c r="AB104" t="s">
        <v>4479</v>
      </c>
      <c r="AC104" t="s">
        <v>5789</v>
      </c>
      <c r="AE104">
        <v>35</v>
      </c>
      <c r="AF104" t="s">
        <v>7101</v>
      </c>
      <c r="AG104" t="s">
        <v>3745</v>
      </c>
      <c r="AH104">
        <v>15</v>
      </c>
      <c r="AI104">
        <v>1</v>
      </c>
      <c r="AJ104">
        <v>2</v>
      </c>
      <c r="AK104">
        <v>7.35</v>
      </c>
      <c r="AN104" t="s">
        <v>7139</v>
      </c>
      <c r="AO104">
        <v>1500</v>
      </c>
      <c r="AP104" t="s">
        <v>7161</v>
      </c>
      <c r="AU104">
        <v>5.4</v>
      </c>
      <c r="AV104" t="s">
        <v>7291</v>
      </c>
      <c r="AW104" t="s">
        <v>7341</v>
      </c>
    </row>
    <row r="105" spans="1:50">
      <c r="A105" s="1">
        <f>HYPERLINK("https://lsnyc.legalserver.org/matter/dynamic-profile/view/1863409","18-1863409")</f>
        <v>0</v>
      </c>
      <c r="B105" t="s">
        <v>57</v>
      </c>
      <c r="C105" t="s">
        <v>104</v>
      </c>
      <c r="D105" t="s">
        <v>184</v>
      </c>
      <c r="E105" t="s">
        <v>372</v>
      </c>
      <c r="F105" t="s">
        <v>773</v>
      </c>
      <c r="G105" t="s">
        <v>1647</v>
      </c>
      <c r="H105" t="s">
        <v>2532</v>
      </c>
      <c r="I105">
        <v>427</v>
      </c>
      <c r="J105" t="s">
        <v>3604</v>
      </c>
      <c r="K105">
        <v>10029</v>
      </c>
      <c r="L105" t="s">
        <v>3610</v>
      </c>
      <c r="M105" t="s">
        <v>3609</v>
      </c>
      <c r="O105" t="s">
        <v>4212</v>
      </c>
      <c r="P105" t="s">
        <v>4243</v>
      </c>
      <c r="Q105" t="s">
        <v>4252</v>
      </c>
      <c r="R105" t="s">
        <v>4258</v>
      </c>
      <c r="S105" t="s">
        <v>3611</v>
      </c>
      <c r="U105" t="s">
        <v>4270</v>
      </c>
      <c r="W105" t="s">
        <v>184</v>
      </c>
      <c r="X105">
        <v>2000</v>
      </c>
      <c r="Y105" t="s">
        <v>4351</v>
      </c>
      <c r="Z105" t="s">
        <v>4356</v>
      </c>
      <c r="AA105" t="s">
        <v>4376</v>
      </c>
      <c r="AB105" t="s">
        <v>4480</v>
      </c>
      <c r="AD105" t="s">
        <v>5912</v>
      </c>
      <c r="AE105">
        <v>135</v>
      </c>
      <c r="AF105" t="s">
        <v>7106</v>
      </c>
      <c r="AG105" t="s">
        <v>7116</v>
      </c>
      <c r="AH105">
        <v>31</v>
      </c>
      <c r="AI105">
        <v>1</v>
      </c>
      <c r="AJ105">
        <v>2</v>
      </c>
      <c r="AK105">
        <v>7.51</v>
      </c>
      <c r="AN105" t="s">
        <v>7138</v>
      </c>
      <c r="AO105">
        <v>1560</v>
      </c>
      <c r="AU105">
        <v>6</v>
      </c>
      <c r="AV105" t="s">
        <v>360</v>
      </c>
      <c r="AW105" t="s">
        <v>7341</v>
      </c>
    </row>
    <row r="106" spans="1:50">
      <c r="A106" s="1">
        <f>HYPERLINK("https://lsnyc.legalserver.org/matter/dynamic-profile/view/1844798","17-1844798")</f>
        <v>0</v>
      </c>
      <c r="B106" t="s">
        <v>72</v>
      </c>
      <c r="C106" t="s">
        <v>104</v>
      </c>
      <c r="D106" t="s">
        <v>185</v>
      </c>
      <c r="E106" t="s">
        <v>426</v>
      </c>
      <c r="F106" t="s">
        <v>774</v>
      </c>
      <c r="G106" t="s">
        <v>1648</v>
      </c>
      <c r="H106" t="s">
        <v>2533</v>
      </c>
      <c r="I106">
        <v>9</v>
      </c>
      <c r="J106" t="s">
        <v>3604</v>
      </c>
      <c r="K106">
        <v>10029</v>
      </c>
      <c r="L106" t="s">
        <v>3610</v>
      </c>
      <c r="M106" t="s">
        <v>3610</v>
      </c>
      <c r="N106" t="s">
        <v>3655</v>
      </c>
      <c r="O106" t="s">
        <v>4210</v>
      </c>
      <c r="P106" t="s">
        <v>4241</v>
      </c>
      <c r="Q106" t="s">
        <v>4248</v>
      </c>
      <c r="R106" t="s">
        <v>4258</v>
      </c>
      <c r="S106" t="s">
        <v>3611</v>
      </c>
      <c r="U106" t="s">
        <v>4268</v>
      </c>
      <c r="V106" t="s">
        <v>4275</v>
      </c>
      <c r="W106" t="s">
        <v>185</v>
      </c>
      <c r="X106">
        <v>1976.87</v>
      </c>
      <c r="Y106" t="s">
        <v>4351</v>
      </c>
      <c r="Z106" t="s">
        <v>4354</v>
      </c>
      <c r="AA106" t="s">
        <v>4375</v>
      </c>
      <c r="AB106" t="s">
        <v>4481</v>
      </c>
      <c r="AD106" t="s">
        <v>5913</v>
      </c>
      <c r="AE106">
        <v>26</v>
      </c>
      <c r="AF106" t="s">
        <v>7101</v>
      </c>
      <c r="AG106" t="s">
        <v>3745</v>
      </c>
      <c r="AH106">
        <v>9</v>
      </c>
      <c r="AI106">
        <v>1</v>
      </c>
      <c r="AJ106">
        <v>0</v>
      </c>
      <c r="AK106">
        <v>8.289999999999999</v>
      </c>
      <c r="AN106" t="s">
        <v>7138</v>
      </c>
      <c r="AO106">
        <v>1000</v>
      </c>
      <c r="AU106">
        <v>41</v>
      </c>
      <c r="AV106" t="s">
        <v>377</v>
      </c>
      <c r="AW106" t="s">
        <v>7341</v>
      </c>
      <c r="AX106" t="s">
        <v>7377</v>
      </c>
    </row>
    <row r="107" spans="1:50">
      <c r="A107" s="1">
        <f>HYPERLINK("https://lsnyc.legalserver.org/matter/dynamic-profile/view/1864126","18-1864126")</f>
        <v>0</v>
      </c>
      <c r="B107" t="s">
        <v>56</v>
      </c>
      <c r="C107" t="s">
        <v>105</v>
      </c>
      <c r="D107" t="s">
        <v>161</v>
      </c>
      <c r="F107" t="s">
        <v>775</v>
      </c>
      <c r="G107" t="s">
        <v>1649</v>
      </c>
      <c r="H107" t="s">
        <v>2534</v>
      </c>
      <c r="I107" t="s">
        <v>3325</v>
      </c>
      <c r="J107" t="s">
        <v>3604</v>
      </c>
      <c r="K107">
        <v>10040</v>
      </c>
      <c r="L107" t="s">
        <v>3611</v>
      </c>
      <c r="M107" t="s">
        <v>3609</v>
      </c>
      <c r="N107" t="s">
        <v>3656</v>
      </c>
      <c r="O107" t="s">
        <v>4213</v>
      </c>
      <c r="P107" t="s">
        <v>4241</v>
      </c>
      <c r="R107" t="s">
        <v>4258</v>
      </c>
      <c r="S107" t="s">
        <v>3610</v>
      </c>
      <c r="U107" t="s">
        <v>4268</v>
      </c>
      <c r="W107" t="s">
        <v>161</v>
      </c>
      <c r="X107">
        <v>169.04</v>
      </c>
      <c r="Y107" t="s">
        <v>4351</v>
      </c>
      <c r="Z107" t="s">
        <v>4357</v>
      </c>
      <c r="AB107" t="s">
        <v>4482</v>
      </c>
      <c r="AD107" t="s">
        <v>5914</v>
      </c>
      <c r="AE107">
        <v>44</v>
      </c>
      <c r="AF107" t="s">
        <v>7101</v>
      </c>
      <c r="AG107" t="s">
        <v>7117</v>
      </c>
      <c r="AH107">
        <v>19</v>
      </c>
      <c r="AI107">
        <v>1</v>
      </c>
      <c r="AJ107">
        <v>2</v>
      </c>
      <c r="AK107">
        <v>8.949999999999999</v>
      </c>
      <c r="AL107" t="s">
        <v>246</v>
      </c>
      <c r="AN107" t="s">
        <v>7139</v>
      </c>
      <c r="AO107">
        <v>1860</v>
      </c>
      <c r="AU107">
        <v>0.01</v>
      </c>
      <c r="AV107" t="s">
        <v>131</v>
      </c>
      <c r="AW107" t="s">
        <v>7342</v>
      </c>
    </row>
    <row r="108" spans="1:50">
      <c r="A108" s="1">
        <f>HYPERLINK("https://lsnyc.legalserver.org/matter/dynamic-profile/view/0832854","17-0832854")</f>
        <v>0</v>
      </c>
      <c r="B108" t="s">
        <v>78</v>
      </c>
      <c r="C108" t="s">
        <v>104</v>
      </c>
      <c r="D108" t="s">
        <v>186</v>
      </c>
      <c r="E108" t="s">
        <v>129</v>
      </c>
      <c r="F108" t="s">
        <v>776</v>
      </c>
      <c r="G108" t="s">
        <v>1650</v>
      </c>
      <c r="H108" t="s">
        <v>2535</v>
      </c>
      <c r="I108">
        <v>43</v>
      </c>
      <c r="J108" t="s">
        <v>3604</v>
      </c>
      <c r="K108">
        <v>10034</v>
      </c>
      <c r="L108" t="s">
        <v>3611</v>
      </c>
      <c r="M108" t="s">
        <v>3609</v>
      </c>
      <c r="N108" t="s">
        <v>3657</v>
      </c>
      <c r="O108" t="s">
        <v>4223</v>
      </c>
      <c r="P108" t="s">
        <v>4241</v>
      </c>
      <c r="Q108" t="s">
        <v>4256</v>
      </c>
      <c r="R108" t="s">
        <v>4258</v>
      </c>
      <c r="S108" t="s">
        <v>3611</v>
      </c>
      <c r="U108" t="s">
        <v>4268</v>
      </c>
      <c r="V108" t="s">
        <v>4275</v>
      </c>
      <c r="W108" t="s">
        <v>638</v>
      </c>
      <c r="X108">
        <v>1450</v>
      </c>
      <c r="Y108" t="s">
        <v>4351</v>
      </c>
      <c r="Z108" t="s">
        <v>4357</v>
      </c>
      <c r="AA108" t="s">
        <v>4384</v>
      </c>
      <c r="AB108" t="s">
        <v>4483</v>
      </c>
      <c r="AD108" t="s">
        <v>5915</v>
      </c>
      <c r="AE108">
        <v>51</v>
      </c>
      <c r="AF108" t="s">
        <v>7101</v>
      </c>
      <c r="AG108" t="s">
        <v>3745</v>
      </c>
      <c r="AH108">
        <v>0</v>
      </c>
      <c r="AI108">
        <v>1</v>
      </c>
      <c r="AJ108">
        <v>1</v>
      </c>
      <c r="AK108">
        <v>8.970000000000001</v>
      </c>
      <c r="AN108" t="s">
        <v>7138</v>
      </c>
      <c r="AO108">
        <v>1456</v>
      </c>
      <c r="AQ108" t="s">
        <v>7197</v>
      </c>
      <c r="AR108" t="s">
        <v>7205</v>
      </c>
      <c r="AS108" t="s">
        <v>7231</v>
      </c>
      <c r="AT108" t="s">
        <v>7239</v>
      </c>
      <c r="AU108">
        <v>7.05</v>
      </c>
      <c r="AV108" t="s">
        <v>443</v>
      </c>
      <c r="AW108" t="s">
        <v>7341</v>
      </c>
    </row>
    <row r="109" spans="1:50">
      <c r="A109" s="1">
        <f>HYPERLINK("https://lsnyc.legalserver.org/matter/dynamic-profile/view/0807221","16-0807221")</f>
        <v>0</v>
      </c>
      <c r="B109" t="s">
        <v>78</v>
      </c>
      <c r="C109" t="s">
        <v>105</v>
      </c>
      <c r="D109" t="s">
        <v>187</v>
      </c>
      <c r="F109" t="s">
        <v>776</v>
      </c>
      <c r="G109" t="s">
        <v>1650</v>
      </c>
      <c r="H109" t="s">
        <v>2535</v>
      </c>
      <c r="I109">
        <v>43</v>
      </c>
      <c r="J109" t="s">
        <v>3604</v>
      </c>
      <c r="K109">
        <v>10034</v>
      </c>
      <c r="L109" t="s">
        <v>3610</v>
      </c>
      <c r="M109" t="s">
        <v>3609</v>
      </c>
      <c r="N109" t="s">
        <v>3658</v>
      </c>
      <c r="O109" t="s">
        <v>4209</v>
      </c>
      <c r="P109" t="s">
        <v>4241</v>
      </c>
      <c r="R109" t="s">
        <v>4258</v>
      </c>
      <c r="S109" t="s">
        <v>3611</v>
      </c>
      <c r="U109" t="s">
        <v>4268</v>
      </c>
      <c r="W109" t="s">
        <v>187</v>
      </c>
      <c r="X109">
        <v>1450</v>
      </c>
      <c r="Y109" t="s">
        <v>4351</v>
      </c>
      <c r="Z109" t="s">
        <v>4362</v>
      </c>
      <c r="AB109" t="s">
        <v>4483</v>
      </c>
      <c r="AD109" t="s">
        <v>5915</v>
      </c>
      <c r="AE109">
        <v>50</v>
      </c>
      <c r="AF109" t="s">
        <v>7103</v>
      </c>
      <c r="AG109" t="s">
        <v>3745</v>
      </c>
      <c r="AH109">
        <v>5</v>
      </c>
      <c r="AI109">
        <v>1</v>
      </c>
      <c r="AJ109">
        <v>1</v>
      </c>
      <c r="AK109">
        <v>9.09</v>
      </c>
      <c r="AN109" t="s">
        <v>7138</v>
      </c>
      <c r="AO109">
        <v>1456</v>
      </c>
      <c r="AU109">
        <v>179.98</v>
      </c>
      <c r="AV109" t="s">
        <v>689</v>
      </c>
      <c r="AW109" t="s">
        <v>7345</v>
      </c>
    </row>
    <row r="110" spans="1:50">
      <c r="A110" s="1">
        <f>HYPERLINK("https://lsnyc.legalserver.org/matter/dynamic-profile/view/1843588","17-1843588")</f>
        <v>0</v>
      </c>
      <c r="B110" t="s">
        <v>63</v>
      </c>
      <c r="C110" t="s">
        <v>105</v>
      </c>
      <c r="D110" t="s">
        <v>188</v>
      </c>
      <c r="F110" t="s">
        <v>777</v>
      </c>
      <c r="G110" t="s">
        <v>1642</v>
      </c>
      <c r="H110" t="s">
        <v>2534</v>
      </c>
      <c r="I110">
        <v>39</v>
      </c>
      <c r="J110" t="s">
        <v>3604</v>
      </c>
      <c r="K110">
        <v>10040</v>
      </c>
      <c r="L110" t="s">
        <v>3611</v>
      </c>
      <c r="M110" t="s">
        <v>3609</v>
      </c>
      <c r="O110" t="s">
        <v>4213</v>
      </c>
      <c r="P110" t="s">
        <v>4241</v>
      </c>
      <c r="R110" t="s">
        <v>4258</v>
      </c>
      <c r="S110" t="s">
        <v>3610</v>
      </c>
      <c r="U110" t="s">
        <v>4268</v>
      </c>
      <c r="X110">
        <v>1300</v>
      </c>
      <c r="Y110" t="s">
        <v>4351</v>
      </c>
      <c r="Z110" t="s">
        <v>4354</v>
      </c>
      <c r="AB110" t="s">
        <v>4484</v>
      </c>
      <c r="AD110" t="s">
        <v>5916</v>
      </c>
      <c r="AE110">
        <v>44</v>
      </c>
      <c r="AF110" t="s">
        <v>7101</v>
      </c>
      <c r="AG110" t="s">
        <v>3745</v>
      </c>
      <c r="AH110">
        <v>25</v>
      </c>
      <c r="AI110">
        <v>1</v>
      </c>
      <c r="AJ110">
        <v>0</v>
      </c>
      <c r="AK110">
        <v>9.1</v>
      </c>
      <c r="AL110" t="s">
        <v>246</v>
      </c>
      <c r="AN110" t="s">
        <v>7139</v>
      </c>
      <c r="AO110">
        <v>1098</v>
      </c>
      <c r="AU110">
        <v>0.21</v>
      </c>
      <c r="AV110" t="s">
        <v>131</v>
      </c>
      <c r="AW110" t="s">
        <v>7342</v>
      </c>
    </row>
    <row r="111" spans="1:50">
      <c r="A111" s="1">
        <f>HYPERLINK("https://lsnyc.legalserver.org/matter/dynamic-profile/view/1838659","17-1838659")</f>
        <v>0</v>
      </c>
      <c r="B111" t="s">
        <v>56</v>
      </c>
      <c r="C111" t="s">
        <v>105</v>
      </c>
      <c r="D111" t="s">
        <v>189</v>
      </c>
      <c r="F111" t="s">
        <v>775</v>
      </c>
      <c r="G111" t="s">
        <v>1649</v>
      </c>
      <c r="H111" t="s">
        <v>2534</v>
      </c>
      <c r="I111" t="s">
        <v>3325</v>
      </c>
      <c r="J111" t="s">
        <v>3604</v>
      </c>
      <c r="K111">
        <v>10040</v>
      </c>
      <c r="L111" t="s">
        <v>3609</v>
      </c>
      <c r="M111" t="s">
        <v>3609</v>
      </c>
      <c r="O111" t="s">
        <v>4213</v>
      </c>
      <c r="P111" t="s">
        <v>4243</v>
      </c>
      <c r="R111" t="s">
        <v>4258</v>
      </c>
      <c r="S111" t="s">
        <v>3610</v>
      </c>
      <c r="U111" t="s">
        <v>4268</v>
      </c>
      <c r="W111" t="s">
        <v>355</v>
      </c>
      <c r="X111">
        <v>169.04</v>
      </c>
      <c r="Y111" t="s">
        <v>4351</v>
      </c>
      <c r="Z111" t="s">
        <v>4352</v>
      </c>
      <c r="AB111" t="s">
        <v>4482</v>
      </c>
      <c r="AD111" t="s">
        <v>5914</v>
      </c>
      <c r="AE111">
        <v>0</v>
      </c>
      <c r="AF111" t="s">
        <v>7104</v>
      </c>
      <c r="AG111" t="s">
        <v>7117</v>
      </c>
      <c r="AH111">
        <v>19</v>
      </c>
      <c r="AI111">
        <v>1</v>
      </c>
      <c r="AJ111">
        <v>2</v>
      </c>
      <c r="AK111">
        <v>9.109999999999999</v>
      </c>
      <c r="AN111" t="s">
        <v>7139</v>
      </c>
      <c r="AO111">
        <v>1860</v>
      </c>
      <c r="AU111">
        <v>0.01</v>
      </c>
      <c r="AV111" t="s">
        <v>131</v>
      </c>
      <c r="AW111" t="s">
        <v>7342</v>
      </c>
    </row>
    <row r="112" spans="1:50">
      <c r="A112" s="1">
        <f>HYPERLINK("https://lsnyc.legalserver.org/matter/dynamic-profile/view/1892732","19-1892732")</f>
        <v>0</v>
      </c>
      <c r="B112" t="s">
        <v>70</v>
      </c>
      <c r="C112" t="s">
        <v>104</v>
      </c>
      <c r="D112" t="s">
        <v>190</v>
      </c>
      <c r="E112" t="s">
        <v>390</v>
      </c>
      <c r="F112" t="s">
        <v>778</v>
      </c>
      <c r="G112" t="s">
        <v>1651</v>
      </c>
      <c r="H112" t="s">
        <v>2536</v>
      </c>
      <c r="I112" t="s">
        <v>3326</v>
      </c>
      <c r="J112" t="s">
        <v>3604</v>
      </c>
      <c r="K112">
        <v>10029</v>
      </c>
      <c r="L112" t="s">
        <v>3610</v>
      </c>
      <c r="M112" t="s">
        <v>3610</v>
      </c>
      <c r="O112" t="s">
        <v>4224</v>
      </c>
      <c r="P112" t="s">
        <v>4242</v>
      </c>
      <c r="Q112" t="s">
        <v>4250</v>
      </c>
      <c r="R112" t="s">
        <v>4258</v>
      </c>
      <c r="S112" t="s">
        <v>3611</v>
      </c>
      <c r="U112" t="s">
        <v>4268</v>
      </c>
      <c r="V112" t="s">
        <v>4274</v>
      </c>
      <c r="W112" t="s">
        <v>318</v>
      </c>
      <c r="X112">
        <v>1400</v>
      </c>
      <c r="Y112" t="s">
        <v>4351</v>
      </c>
      <c r="Z112" t="s">
        <v>4361</v>
      </c>
      <c r="AA112" t="s">
        <v>4373</v>
      </c>
      <c r="AB112" t="s">
        <v>4485</v>
      </c>
      <c r="AD112" t="s">
        <v>5917</v>
      </c>
      <c r="AE112">
        <v>120</v>
      </c>
      <c r="AF112" t="s">
        <v>7105</v>
      </c>
      <c r="AG112" t="s">
        <v>3745</v>
      </c>
      <c r="AH112">
        <v>3</v>
      </c>
      <c r="AI112">
        <v>1</v>
      </c>
      <c r="AJ112">
        <v>0</v>
      </c>
      <c r="AK112">
        <v>9.609999999999999</v>
      </c>
      <c r="AN112" t="s">
        <v>7138</v>
      </c>
      <c r="AO112">
        <v>1200</v>
      </c>
      <c r="AU112">
        <v>2.5</v>
      </c>
      <c r="AV112" t="s">
        <v>118</v>
      </c>
      <c r="AW112" t="s">
        <v>7352</v>
      </c>
      <c r="AX112" t="s">
        <v>7377</v>
      </c>
    </row>
    <row r="113" spans="1:50">
      <c r="A113" s="1">
        <f>HYPERLINK("https://lsnyc.legalserver.org/matter/dynamic-profile/view/1861676","18-1861676")</f>
        <v>0</v>
      </c>
      <c r="B113" t="s">
        <v>56</v>
      </c>
      <c r="C113" t="s">
        <v>105</v>
      </c>
      <c r="D113" t="s">
        <v>153</v>
      </c>
      <c r="F113" t="s">
        <v>779</v>
      </c>
      <c r="G113" t="s">
        <v>1652</v>
      </c>
      <c r="H113" t="s">
        <v>2537</v>
      </c>
      <c r="I113">
        <v>22</v>
      </c>
      <c r="J113" t="s">
        <v>3604</v>
      </c>
      <c r="K113">
        <v>10034</v>
      </c>
      <c r="L113" t="s">
        <v>3610</v>
      </c>
      <c r="M113" t="s">
        <v>3609</v>
      </c>
      <c r="N113" t="s">
        <v>3659</v>
      </c>
      <c r="O113" t="s">
        <v>4209</v>
      </c>
      <c r="P113" t="s">
        <v>4241</v>
      </c>
      <c r="R113" t="s">
        <v>4258</v>
      </c>
      <c r="S113" t="s">
        <v>3611</v>
      </c>
      <c r="U113" t="s">
        <v>4268</v>
      </c>
      <c r="W113" t="s">
        <v>161</v>
      </c>
      <c r="X113">
        <v>2000</v>
      </c>
      <c r="Y113" t="s">
        <v>4351</v>
      </c>
      <c r="Z113" t="s">
        <v>4363</v>
      </c>
      <c r="AB113" t="s">
        <v>4486</v>
      </c>
      <c r="AE113">
        <v>30</v>
      </c>
      <c r="AG113" t="s">
        <v>7117</v>
      </c>
      <c r="AH113">
        <v>24</v>
      </c>
      <c r="AI113">
        <v>1</v>
      </c>
      <c r="AJ113">
        <v>0</v>
      </c>
      <c r="AK113">
        <v>9.880000000000001</v>
      </c>
      <c r="AN113" t="s">
        <v>7138</v>
      </c>
      <c r="AO113">
        <v>1200</v>
      </c>
      <c r="AU113">
        <v>156.61</v>
      </c>
      <c r="AV113" t="s">
        <v>612</v>
      </c>
      <c r="AW113" t="s">
        <v>7353</v>
      </c>
    </row>
    <row r="114" spans="1:50">
      <c r="A114" s="1">
        <f>HYPERLINK("https://lsnyc.legalserver.org/matter/dynamic-profile/view/1874744","18-1874744")</f>
        <v>0</v>
      </c>
      <c r="B114" t="s">
        <v>57</v>
      </c>
      <c r="C114" t="s">
        <v>105</v>
      </c>
      <c r="D114" t="s">
        <v>144</v>
      </c>
      <c r="F114" t="s">
        <v>780</v>
      </c>
      <c r="G114" t="s">
        <v>1653</v>
      </c>
      <c r="H114" t="s">
        <v>2538</v>
      </c>
      <c r="I114" t="s">
        <v>3276</v>
      </c>
      <c r="J114" t="s">
        <v>3604</v>
      </c>
      <c r="K114">
        <v>10035</v>
      </c>
      <c r="L114" t="s">
        <v>3610</v>
      </c>
      <c r="M114" t="s">
        <v>3610</v>
      </c>
      <c r="O114" t="s">
        <v>4212</v>
      </c>
      <c r="P114" t="s">
        <v>4243</v>
      </c>
      <c r="R114" t="s">
        <v>4258</v>
      </c>
      <c r="S114" t="s">
        <v>3611</v>
      </c>
      <c r="U114" t="s">
        <v>4270</v>
      </c>
      <c r="V114" t="s">
        <v>4274</v>
      </c>
      <c r="W114" t="s">
        <v>144</v>
      </c>
      <c r="X114">
        <v>550</v>
      </c>
      <c r="Y114" t="s">
        <v>4351</v>
      </c>
      <c r="Z114" t="s">
        <v>4356</v>
      </c>
      <c r="AB114" t="s">
        <v>4487</v>
      </c>
      <c r="AC114" t="s">
        <v>5790</v>
      </c>
      <c r="AD114" t="s">
        <v>5918</v>
      </c>
      <c r="AE114">
        <v>30</v>
      </c>
      <c r="AF114" t="s">
        <v>7101</v>
      </c>
      <c r="AG114" t="s">
        <v>3745</v>
      </c>
      <c r="AH114">
        <v>20</v>
      </c>
      <c r="AI114">
        <v>1</v>
      </c>
      <c r="AJ114">
        <v>2</v>
      </c>
      <c r="AK114">
        <v>10.97</v>
      </c>
      <c r="AN114" t="s">
        <v>7138</v>
      </c>
      <c r="AO114">
        <v>2280</v>
      </c>
      <c r="AU114">
        <v>16.3</v>
      </c>
      <c r="AV114" t="s">
        <v>150</v>
      </c>
      <c r="AW114" t="s">
        <v>7341</v>
      </c>
    </row>
    <row r="115" spans="1:50">
      <c r="A115" s="1">
        <f>HYPERLINK("https://lsnyc.legalserver.org/matter/dynamic-profile/view/1834324","17-1834324")</f>
        <v>0</v>
      </c>
      <c r="B115" t="s">
        <v>61</v>
      </c>
      <c r="C115" t="s">
        <v>105</v>
      </c>
      <c r="D115" t="s">
        <v>191</v>
      </c>
      <c r="F115" t="s">
        <v>733</v>
      </c>
      <c r="G115" t="s">
        <v>1654</v>
      </c>
      <c r="H115" t="s">
        <v>2539</v>
      </c>
      <c r="J115" t="s">
        <v>3604</v>
      </c>
      <c r="K115">
        <v>10028</v>
      </c>
      <c r="L115" t="s">
        <v>3610</v>
      </c>
      <c r="M115" t="s">
        <v>3609</v>
      </c>
      <c r="O115" t="s">
        <v>4209</v>
      </c>
      <c r="P115" t="s">
        <v>4241</v>
      </c>
      <c r="R115" t="s">
        <v>4257</v>
      </c>
      <c r="S115" t="s">
        <v>3611</v>
      </c>
      <c r="U115" t="s">
        <v>4268</v>
      </c>
      <c r="W115" t="s">
        <v>133</v>
      </c>
      <c r="X115">
        <v>2150</v>
      </c>
      <c r="Y115" t="s">
        <v>4351</v>
      </c>
      <c r="Z115" t="s">
        <v>4355</v>
      </c>
      <c r="AB115" t="s">
        <v>4488</v>
      </c>
      <c r="AD115" t="s">
        <v>5919</v>
      </c>
      <c r="AE115">
        <v>10</v>
      </c>
      <c r="AF115" t="s">
        <v>7101</v>
      </c>
      <c r="AG115" t="s">
        <v>3745</v>
      </c>
      <c r="AH115">
        <v>1</v>
      </c>
      <c r="AI115">
        <v>2</v>
      </c>
      <c r="AJ115">
        <v>0</v>
      </c>
      <c r="AK115">
        <v>11.08</v>
      </c>
      <c r="AL115" t="s">
        <v>369</v>
      </c>
      <c r="AN115" t="s">
        <v>7142</v>
      </c>
      <c r="AO115">
        <v>1800</v>
      </c>
      <c r="AU115">
        <v>113.1</v>
      </c>
      <c r="AV115" t="s">
        <v>689</v>
      </c>
      <c r="AW115" t="s">
        <v>7341</v>
      </c>
    </row>
    <row r="116" spans="1:50">
      <c r="A116" s="1">
        <f>HYPERLINK("https://lsnyc.legalserver.org/matter/dynamic-profile/view/1882716","18-1882716")</f>
        <v>0</v>
      </c>
      <c r="B116" t="s">
        <v>56</v>
      </c>
      <c r="C116" t="s">
        <v>104</v>
      </c>
      <c r="D116" t="s">
        <v>192</v>
      </c>
      <c r="E116" t="s">
        <v>636</v>
      </c>
      <c r="F116" t="s">
        <v>781</v>
      </c>
      <c r="G116" t="s">
        <v>1579</v>
      </c>
      <c r="H116" t="s">
        <v>2540</v>
      </c>
      <c r="I116">
        <v>24</v>
      </c>
      <c r="J116" t="s">
        <v>3604</v>
      </c>
      <c r="K116">
        <v>10034</v>
      </c>
      <c r="L116" t="s">
        <v>3610</v>
      </c>
      <c r="M116" t="s">
        <v>3610</v>
      </c>
      <c r="P116" t="s">
        <v>4242</v>
      </c>
      <c r="Q116" t="s">
        <v>4250</v>
      </c>
      <c r="R116" t="s">
        <v>4258</v>
      </c>
      <c r="S116" t="s">
        <v>3611</v>
      </c>
      <c r="U116" t="s">
        <v>4268</v>
      </c>
      <c r="W116" t="s">
        <v>192</v>
      </c>
      <c r="X116">
        <v>1264.81</v>
      </c>
      <c r="Y116" t="s">
        <v>4351</v>
      </c>
      <c r="Z116" t="s">
        <v>4354</v>
      </c>
      <c r="AA116" t="s">
        <v>4373</v>
      </c>
      <c r="AB116" t="s">
        <v>4489</v>
      </c>
      <c r="AE116">
        <v>31</v>
      </c>
      <c r="AF116" t="s">
        <v>7101</v>
      </c>
      <c r="AG116" t="s">
        <v>3745</v>
      </c>
      <c r="AH116">
        <v>31</v>
      </c>
      <c r="AI116">
        <v>5</v>
      </c>
      <c r="AJ116">
        <v>1</v>
      </c>
      <c r="AK116">
        <v>11.74</v>
      </c>
      <c r="AN116" t="s">
        <v>7139</v>
      </c>
      <c r="AO116">
        <v>3960</v>
      </c>
      <c r="AU116">
        <v>0.25</v>
      </c>
      <c r="AV116" t="s">
        <v>636</v>
      </c>
      <c r="AW116" t="s">
        <v>7342</v>
      </c>
    </row>
    <row r="117" spans="1:50">
      <c r="A117" s="1">
        <f>HYPERLINK("https://lsnyc.legalserver.org/matter/dynamic-profile/view/1853736","17-1853736")</f>
        <v>0</v>
      </c>
      <c r="B117" t="s">
        <v>57</v>
      </c>
      <c r="C117" t="s">
        <v>105</v>
      </c>
      <c r="D117" t="s">
        <v>193</v>
      </c>
      <c r="F117" t="s">
        <v>733</v>
      </c>
      <c r="G117" t="s">
        <v>1655</v>
      </c>
      <c r="H117" t="s">
        <v>2541</v>
      </c>
      <c r="I117" t="s">
        <v>3327</v>
      </c>
      <c r="J117" t="s">
        <v>3604</v>
      </c>
      <c r="K117">
        <v>10035</v>
      </c>
      <c r="L117" t="s">
        <v>3610</v>
      </c>
      <c r="M117" t="s">
        <v>3609</v>
      </c>
      <c r="O117" t="s">
        <v>4212</v>
      </c>
      <c r="P117" t="s">
        <v>4244</v>
      </c>
      <c r="R117" t="s">
        <v>4258</v>
      </c>
      <c r="S117" t="s">
        <v>3611</v>
      </c>
      <c r="U117" t="s">
        <v>4270</v>
      </c>
      <c r="W117" t="s">
        <v>193</v>
      </c>
      <c r="X117">
        <v>645</v>
      </c>
      <c r="Y117" t="s">
        <v>4351</v>
      </c>
      <c r="Z117" t="s">
        <v>4356</v>
      </c>
      <c r="AB117" t="s">
        <v>4490</v>
      </c>
      <c r="AE117">
        <v>8</v>
      </c>
      <c r="AF117" t="s">
        <v>7101</v>
      </c>
      <c r="AG117" t="s">
        <v>3745</v>
      </c>
      <c r="AH117">
        <v>20</v>
      </c>
      <c r="AI117">
        <v>1</v>
      </c>
      <c r="AJ117">
        <v>2</v>
      </c>
      <c r="AK117">
        <v>11.75</v>
      </c>
      <c r="AN117" t="s">
        <v>7139</v>
      </c>
      <c r="AO117">
        <v>2400</v>
      </c>
      <c r="AP117" t="s">
        <v>7162</v>
      </c>
      <c r="AU117">
        <v>29.2</v>
      </c>
      <c r="AV117" t="s">
        <v>501</v>
      </c>
      <c r="AW117" t="s">
        <v>7341</v>
      </c>
    </row>
    <row r="118" spans="1:50">
      <c r="A118" s="1">
        <f>HYPERLINK("https://lsnyc.legalserver.org/matter/dynamic-profile/view/1887787","19-1887787")</f>
        <v>0</v>
      </c>
      <c r="B118" t="s">
        <v>64</v>
      </c>
      <c r="C118" t="s">
        <v>104</v>
      </c>
      <c r="D118" t="s">
        <v>194</v>
      </c>
      <c r="E118" t="s">
        <v>341</v>
      </c>
      <c r="F118" t="s">
        <v>782</v>
      </c>
      <c r="G118" t="s">
        <v>1656</v>
      </c>
      <c r="H118" t="s">
        <v>2542</v>
      </c>
      <c r="I118">
        <v>51</v>
      </c>
      <c r="J118" t="s">
        <v>3604</v>
      </c>
      <c r="K118">
        <v>10033</v>
      </c>
      <c r="L118" t="s">
        <v>3610</v>
      </c>
      <c r="M118" t="s">
        <v>3610</v>
      </c>
      <c r="P118" t="s">
        <v>4242</v>
      </c>
      <c r="Q118" t="s">
        <v>4250</v>
      </c>
      <c r="R118" t="s">
        <v>4258</v>
      </c>
      <c r="S118" t="s">
        <v>3611</v>
      </c>
      <c r="U118" t="s">
        <v>4268</v>
      </c>
      <c r="W118" t="s">
        <v>194</v>
      </c>
      <c r="X118">
        <v>942.42</v>
      </c>
      <c r="Y118" t="s">
        <v>4351</v>
      </c>
      <c r="Z118" t="s">
        <v>4354</v>
      </c>
      <c r="AA118" t="s">
        <v>4373</v>
      </c>
      <c r="AB118" t="s">
        <v>4491</v>
      </c>
      <c r="AD118" t="s">
        <v>5920</v>
      </c>
      <c r="AE118">
        <v>0</v>
      </c>
      <c r="AF118" t="s">
        <v>7101</v>
      </c>
      <c r="AG118" t="s">
        <v>3745</v>
      </c>
      <c r="AH118">
        <v>35</v>
      </c>
      <c r="AI118">
        <v>1</v>
      </c>
      <c r="AJ118">
        <v>0</v>
      </c>
      <c r="AK118">
        <v>11.86</v>
      </c>
      <c r="AN118" t="s">
        <v>7139</v>
      </c>
      <c r="AO118">
        <v>1440</v>
      </c>
      <c r="AU118">
        <v>0.1</v>
      </c>
      <c r="AV118" t="s">
        <v>174</v>
      </c>
      <c r="AW118" t="s">
        <v>7342</v>
      </c>
    </row>
    <row r="119" spans="1:50">
      <c r="A119" s="1">
        <f>HYPERLINK("https://lsnyc.legalserver.org/matter/dynamic-profile/view/0824707","17-0824707")</f>
        <v>0</v>
      </c>
      <c r="B119" t="s">
        <v>69</v>
      </c>
      <c r="C119" t="s">
        <v>105</v>
      </c>
      <c r="D119" t="s">
        <v>195</v>
      </c>
      <c r="F119" t="s">
        <v>733</v>
      </c>
      <c r="G119" t="s">
        <v>1655</v>
      </c>
      <c r="H119" t="s">
        <v>2541</v>
      </c>
      <c r="I119" t="s">
        <v>3327</v>
      </c>
      <c r="J119" t="s">
        <v>3604</v>
      </c>
      <c r="K119">
        <v>10035</v>
      </c>
      <c r="L119" t="s">
        <v>3610</v>
      </c>
      <c r="M119" t="s">
        <v>3609</v>
      </c>
      <c r="O119" t="s">
        <v>4211</v>
      </c>
      <c r="P119" t="s">
        <v>4244</v>
      </c>
      <c r="R119" t="s">
        <v>4258</v>
      </c>
      <c r="S119" t="s">
        <v>3611</v>
      </c>
      <c r="U119" t="s">
        <v>4268</v>
      </c>
      <c r="W119" t="s">
        <v>4283</v>
      </c>
      <c r="X119">
        <v>645</v>
      </c>
      <c r="Y119" t="s">
        <v>4351</v>
      </c>
      <c r="Z119" t="s">
        <v>4361</v>
      </c>
      <c r="AB119" t="s">
        <v>4490</v>
      </c>
      <c r="AE119">
        <v>8</v>
      </c>
      <c r="AF119" t="s">
        <v>7101</v>
      </c>
      <c r="AG119" t="s">
        <v>3745</v>
      </c>
      <c r="AH119">
        <v>20</v>
      </c>
      <c r="AI119">
        <v>1</v>
      </c>
      <c r="AJ119">
        <v>2</v>
      </c>
      <c r="AK119">
        <v>11.9</v>
      </c>
      <c r="AN119" t="s">
        <v>7139</v>
      </c>
      <c r="AO119">
        <v>2400</v>
      </c>
      <c r="AP119" t="s">
        <v>7163</v>
      </c>
      <c r="AU119">
        <v>59.95</v>
      </c>
      <c r="AV119" t="s">
        <v>666</v>
      </c>
      <c r="AW119" t="s">
        <v>7354</v>
      </c>
    </row>
    <row r="120" spans="1:50">
      <c r="A120" s="1">
        <f>HYPERLINK("https://lsnyc.legalserver.org/matter/dynamic-profile/view/1900521","19-1900521")</f>
        <v>0</v>
      </c>
      <c r="B120" t="s">
        <v>70</v>
      </c>
      <c r="C120" t="s">
        <v>105</v>
      </c>
      <c r="D120" t="s">
        <v>196</v>
      </c>
      <c r="F120" t="s">
        <v>783</v>
      </c>
      <c r="G120" t="s">
        <v>1657</v>
      </c>
      <c r="H120" t="s">
        <v>2543</v>
      </c>
      <c r="I120" t="s">
        <v>3328</v>
      </c>
      <c r="J120" t="s">
        <v>3604</v>
      </c>
      <c r="K120">
        <v>10035</v>
      </c>
      <c r="L120" t="s">
        <v>3610</v>
      </c>
      <c r="M120" t="s">
        <v>3609</v>
      </c>
      <c r="N120" t="s">
        <v>3660</v>
      </c>
      <c r="O120" t="s">
        <v>4210</v>
      </c>
      <c r="P120" t="s">
        <v>4241</v>
      </c>
      <c r="R120" t="s">
        <v>4258</v>
      </c>
      <c r="S120" t="s">
        <v>3611</v>
      </c>
      <c r="U120" t="s">
        <v>4268</v>
      </c>
      <c r="V120" t="s">
        <v>4278</v>
      </c>
      <c r="W120" t="s">
        <v>196</v>
      </c>
      <c r="X120">
        <v>1390</v>
      </c>
      <c r="Y120" t="s">
        <v>4351</v>
      </c>
      <c r="Z120" t="s">
        <v>4352</v>
      </c>
      <c r="AB120" t="s">
        <v>4492</v>
      </c>
      <c r="AC120">
        <v>230649601</v>
      </c>
      <c r="AD120" t="s">
        <v>5921</v>
      </c>
      <c r="AE120">
        <v>96</v>
      </c>
      <c r="AF120" t="s">
        <v>7101</v>
      </c>
      <c r="AG120" t="s">
        <v>4228</v>
      </c>
      <c r="AH120">
        <v>19</v>
      </c>
      <c r="AI120">
        <v>1</v>
      </c>
      <c r="AJ120">
        <v>0</v>
      </c>
      <c r="AK120">
        <v>12.49</v>
      </c>
      <c r="AN120" t="s">
        <v>7138</v>
      </c>
      <c r="AO120">
        <v>1560</v>
      </c>
      <c r="AU120">
        <v>16.65</v>
      </c>
      <c r="AV120" t="s">
        <v>477</v>
      </c>
      <c r="AW120" t="s">
        <v>7347</v>
      </c>
      <c r="AX120" t="s">
        <v>7378</v>
      </c>
    </row>
    <row r="121" spans="1:50">
      <c r="A121" s="1">
        <f>HYPERLINK("https://lsnyc.legalserver.org/matter/dynamic-profile/view/1860850","18-1860850")</f>
        <v>0</v>
      </c>
      <c r="B121" t="s">
        <v>61</v>
      </c>
      <c r="C121" t="s">
        <v>104</v>
      </c>
      <c r="D121" t="s">
        <v>127</v>
      </c>
      <c r="E121" t="s">
        <v>201</v>
      </c>
      <c r="F121" t="s">
        <v>784</v>
      </c>
      <c r="G121" t="s">
        <v>1658</v>
      </c>
      <c r="H121" t="s">
        <v>2544</v>
      </c>
      <c r="I121" t="s">
        <v>3329</v>
      </c>
      <c r="J121" t="s">
        <v>3604</v>
      </c>
      <c r="K121">
        <v>10034</v>
      </c>
      <c r="L121" t="s">
        <v>3610</v>
      </c>
      <c r="M121" t="s">
        <v>3610</v>
      </c>
      <c r="O121" t="s">
        <v>4217</v>
      </c>
      <c r="P121" t="s">
        <v>4245</v>
      </c>
      <c r="Q121" t="s">
        <v>4249</v>
      </c>
      <c r="R121" t="s">
        <v>4258</v>
      </c>
      <c r="S121" t="s">
        <v>3611</v>
      </c>
      <c r="U121" t="s">
        <v>4268</v>
      </c>
      <c r="W121" t="s">
        <v>549</v>
      </c>
      <c r="X121">
        <v>913.12</v>
      </c>
      <c r="Y121" t="s">
        <v>4351</v>
      </c>
      <c r="Z121" t="s">
        <v>4364</v>
      </c>
      <c r="AA121" t="s">
        <v>4377</v>
      </c>
      <c r="AB121" t="s">
        <v>4493</v>
      </c>
      <c r="AC121" t="s">
        <v>5791</v>
      </c>
      <c r="AD121" t="s">
        <v>5922</v>
      </c>
      <c r="AE121">
        <v>65</v>
      </c>
      <c r="AG121" t="s">
        <v>7118</v>
      </c>
      <c r="AH121">
        <v>43</v>
      </c>
      <c r="AI121">
        <v>1</v>
      </c>
      <c r="AJ121">
        <v>0</v>
      </c>
      <c r="AK121">
        <v>12.85</v>
      </c>
      <c r="AN121" t="s">
        <v>7138</v>
      </c>
      <c r="AO121">
        <v>1560</v>
      </c>
      <c r="AU121">
        <v>16.6</v>
      </c>
      <c r="AV121" t="s">
        <v>306</v>
      </c>
      <c r="AW121" t="s">
        <v>7352</v>
      </c>
    </row>
    <row r="122" spans="1:50">
      <c r="A122" s="1">
        <f>HYPERLINK("https://lsnyc.legalserver.org/matter/dynamic-profile/view/0800355","16-0800355")</f>
        <v>0</v>
      </c>
      <c r="B122" t="s">
        <v>51</v>
      </c>
      <c r="C122" t="s">
        <v>104</v>
      </c>
      <c r="D122" t="s">
        <v>197</v>
      </c>
      <c r="E122" t="s">
        <v>385</v>
      </c>
      <c r="F122" t="s">
        <v>785</v>
      </c>
      <c r="G122" t="s">
        <v>1659</v>
      </c>
      <c r="H122" t="s">
        <v>2545</v>
      </c>
      <c r="I122" t="s">
        <v>3330</v>
      </c>
      <c r="J122" t="s">
        <v>3604</v>
      </c>
      <c r="K122">
        <v>10034</v>
      </c>
      <c r="L122" t="s">
        <v>3611</v>
      </c>
      <c r="M122" t="s">
        <v>3609</v>
      </c>
      <c r="N122" t="s">
        <v>3661</v>
      </c>
      <c r="O122" t="s">
        <v>4209</v>
      </c>
      <c r="P122" t="s">
        <v>4241</v>
      </c>
      <c r="Q122" t="s">
        <v>4250</v>
      </c>
      <c r="R122" t="s">
        <v>4258</v>
      </c>
      <c r="U122" t="s">
        <v>4268</v>
      </c>
      <c r="V122" t="s">
        <v>4275</v>
      </c>
      <c r="W122" t="s">
        <v>197</v>
      </c>
      <c r="X122">
        <v>1200</v>
      </c>
      <c r="Y122" t="s">
        <v>4351</v>
      </c>
      <c r="Z122" t="s">
        <v>4365</v>
      </c>
      <c r="AA122" t="s">
        <v>4374</v>
      </c>
      <c r="AB122" t="s">
        <v>4494</v>
      </c>
      <c r="AC122">
        <v>36932503</v>
      </c>
      <c r="AD122" t="s">
        <v>5923</v>
      </c>
      <c r="AE122">
        <v>43</v>
      </c>
      <c r="AF122" t="s">
        <v>7101</v>
      </c>
      <c r="AG122" t="s">
        <v>7119</v>
      </c>
      <c r="AH122">
        <v>3</v>
      </c>
      <c r="AI122">
        <v>1</v>
      </c>
      <c r="AJ122">
        <v>0</v>
      </c>
      <c r="AK122">
        <v>14.34</v>
      </c>
      <c r="AN122" t="s">
        <v>7138</v>
      </c>
      <c r="AO122">
        <v>1704</v>
      </c>
      <c r="AU122">
        <v>26.6</v>
      </c>
      <c r="AV122" t="s">
        <v>327</v>
      </c>
      <c r="AW122" t="s">
        <v>57</v>
      </c>
    </row>
    <row r="123" spans="1:50">
      <c r="A123" s="1">
        <f>HYPERLINK("https://lsnyc.legalserver.org/matter/dynamic-profile/view/1877019","18-1877019")</f>
        <v>0</v>
      </c>
      <c r="B123" t="s">
        <v>74</v>
      </c>
      <c r="C123" t="s">
        <v>105</v>
      </c>
      <c r="D123" t="s">
        <v>198</v>
      </c>
      <c r="F123" t="s">
        <v>786</v>
      </c>
      <c r="G123" t="s">
        <v>1660</v>
      </c>
      <c r="H123" t="s">
        <v>2546</v>
      </c>
      <c r="I123" t="s">
        <v>3306</v>
      </c>
      <c r="J123" t="s">
        <v>3604</v>
      </c>
      <c r="K123">
        <v>10030</v>
      </c>
      <c r="L123" t="s">
        <v>3610</v>
      </c>
      <c r="M123" t="s">
        <v>3609</v>
      </c>
      <c r="N123" t="s">
        <v>3662</v>
      </c>
      <c r="O123" t="s">
        <v>4209</v>
      </c>
      <c r="P123" t="s">
        <v>4245</v>
      </c>
      <c r="R123" t="s">
        <v>4258</v>
      </c>
      <c r="S123" t="s">
        <v>3611</v>
      </c>
      <c r="U123" t="s">
        <v>4268</v>
      </c>
      <c r="W123" t="s">
        <v>198</v>
      </c>
      <c r="X123">
        <v>1950</v>
      </c>
      <c r="Y123" t="s">
        <v>4351</v>
      </c>
      <c r="Z123" t="s">
        <v>4354</v>
      </c>
      <c r="AB123" t="s">
        <v>242</v>
      </c>
      <c r="AD123" t="s">
        <v>5924</v>
      </c>
      <c r="AE123">
        <v>30</v>
      </c>
      <c r="AF123" t="s">
        <v>7101</v>
      </c>
      <c r="AG123" t="s">
        <v>3745</v>
      </c>
      <c r="AH123">
        <v>13</v>
      </c>
      <c r="AI123">
        <v>2</v>
      </c>
      <c r="AJ123">
        <v>4</v>
      </c>
      <c r="AK123">
        <v>14.95</v>
      </c>
      <c r="AN123" t="s">
        <v>7138</v>
      </c>
      <c r="AO123">
        <v>5044</v>
      </c>
      <c r="AU123">
        <v>10.65</v>
      </c>
      <c r="AV123" t="s">
        <v>362</v>
      </c>
      <c r="AW123" t="s">
        <v>7341</v>
      </c>
    </row>
    <row r="124" spans="1:50">
      <c r="A124" s="1">
        <f>HYPERLINK("https://lsnyc.legalserver.org/matter/dynamic-profile/view/1872924","18-1872924")</f>
        <v>0</v>
      </c>
      <c r="B124" t="s">
        <v>79</v>
      </c>
      <c r="C124" t="s">
        <v>104</v>
      </c>
      <c r="D124" t="s">
        <v>177</v>
      </c>
      <c r="E124" t="s">
        <v>665</v>
      </c>
      <c r="F124" t="s">
        <v>787</v>
      </c>
      <c r="G124" t="s">
        <v>1661</v>
      </c>
      <c r="H124" t="s">
        <v>2547</v>
      </c>
      <c r="I124" t="s">
        <v>3331</v>
      </c>
      <c r="J124" t="s">
        <v>3604</v>
      </c>
      <c r="K124">
        <v>10030</v>
      </c>
      <c r="L124" t="s">
        <v>3610</v>
      </c>
      <c r="M124" t="s">
        <v>3611</v>
      </c>
      <c r="N124" t="s">
        <v>3663</v>
      </c>
      <c r="O124" t="s">
        <v>4209</v>
      </c>
      <c r="P124" t="s">
        <v>4242</v>
      </c>
      <c r="Q124" t="s">
        <v>4250</v>
      </c>
      <c r="R124" t="s">
        <v>4258</v>
      </c>
      <c r="S124" t="s">
        <v>3611</v>
      </c>
      <c r="U124" t="s">
        <v>4268</v>
      </c>
      <c r="W124" t="s">
        <v>573</v>
      </c>
      <c r="X124">
        <v>988.66</v>
      </c>
      <c r="Y124" t="s">
        <v>4351</v>
      </c>
      <c r="Z124" t="s">
        <v>4354</v>
      </c>
      <c r="AA124" t="s">
        <v>4373</v>
      </c>
      <c r="AB124" t="s">
        <v>4495</v>
      </c>
      <c r="AD124" t="s">
        <v>5925</v>
      </c>
      <c r="AE124">
        <v>52</v>
      </c>
      <c r="AF124" t="s">
        <v>7101</v>
      </c>
      <c r="AH124">
        <v>18</v>
      </c>
      <c r="AI124">
        <v>1</v>
      </c>
      <c r="AJ124">
        <v>0</v>
      </c>
      <c r="AK124">
        <v>14.99</v>
      </c>
      <c r="AN124" t="s">
        <v>7138</v>
      </c>
      <c r="AO124">
        <v>1820</v>
      </c>
      <c r="AU124">
        <v>1.4</v>
      </c>
      <c r="AV124" t="s">
        <v>665</v>
      </c>
      <c r="AW124" t="s">
        <v>7355</v>
      </c>
    </row>
    <row r="125" spans="1:50">
      <c r="A125" s="1">
        <f>HYPERLINK("https://lsnyc.legalserver.org/matter/dynamic-profile/view/1875333","18-1875333")</f>
        <v>0</v>
      </c>
      <c r="B125" t="s">
        <v>78</v>
      </c>
      <c r="C125" t="s">
        <v>104</v>
      </c>
      <c r="D125" t="s">
        <v>199</v>
      </c>
      <c r="E125" t="s">
        <v>666</v>
      </c>
      <c r="F125" t="s">
        <v>788</v>
      </c>
      <c r="G125" t="s">
        <v>1662</v>
      </c>
      <c r="H125" t="s">
        <v>2548</v>
      </c>
      <c r="I125" t="s">
        <v>3332</v>
      </c>
      <c r="J125" t="s">
        <v>3604</v>
      </c>
      <c r="K125">
        <v>10039</v>
      </c>
      <c r="L125" t="s">
        <v>3610</v>
      </c>
      <c r="M125" t="s">
        <v>3610</v>
      </c>
      <c r="N125" t="s">
        <v>3664</v>
      </c>
      <c r="O125" t="s">
        <v>4213</v>
      </c>
      <c r="P125" t="s">
        <v>4242</v>
      </c>
      <c r="Q125" t="s">
        <v>4250</v>
      </c>
      <c r="R125" t="s">
        <v>4258</v>
      </c>
      <c r="S125" t="s">
        <v>3611</v>
      </c>
      <c r="U125" t="s">
        <v>4268</v>
      </c>
      <c r="W125" t="s">
        <v>199</v>
      </c>
      <c r="X125">
        <v>831</v>
      </c>
      <c r="Y125" t="s">
        <v>4351</v>
      </c>
      <c r="Z125" t="s">
        <v>4354</v>
      </c>
      <c r="AA125" t="s">
        <v>4373</v>
      </c>
      <c r="AB125" t="s">
        <v>4496</v>
      </c>
      <c r="AD125" t="s">
        <v>5926</v>
      </c>
      <c r="AE125">
        <v>312</v>
      </c>
      <c r="AF125" t="s">
        <v>7102</v>
      </c>
      <c r="AG125" t="s">
        <v>3745</v>
      </c>
      <c r="AH125">
        <v>29</v>
      </c>
      <c r="AI125">
        <v>1</v>
      </c>
      <c r="AJ125">
        <v>0</v>
      </c>
      <c r="AK125">
        <v>15.33</v>
      </c>
      <c r="AN125" t="s">
        <v>7138</v>
      </c>
      <c r="AO125">
        <v>1861.6</v>
      </c>
      <c r="AU125">
        <v>1.5</v>
      </c>
      <c r="AV125" t="s">
        <v>199</v>
      </c>
      <c r="AW125" t="s">
        <v>7341</v>
      </c>
      <c r="AX125" t="s">
        <v>7377</v>
      </c>
    </row>
    <row r="126" spans="1:50">
      <c r="A126" s="1">
        <f>HYPERLINK("https://lsnyc.legalserver.org/matter/dynamic-profile/view/1844128","17-1844128")</f>
        <v>0</v>
      </c>
      <c r="B126" t="s">
        <v>53</v>
      </c>
      <c r="C126" t="s">
        <v>104</v>
      </c>
      <c r="D126" t="s">
        <v>200</v>
      </c>
      <c r="E126" t="s">
        <v>260</v>
      </c>
      <c r="F126" t="s">
        <v>789</v>
      </c>
      <c r="G126" t="s">
        <v>1663</v>
      </c>
      <c r="H126" t="s">
        <v>2549</v>
      </c>
      <c r="I126" t="s">
        <v>3333</v>
      </c>
      <c r="J126" t="s">
        <v>3604</v>
      </c>
      <c r="K126">
        <v>10034</v>
      </c>
      <c r="L126" t="s">
        <v>3610</v>
      </c>
      <c r="M126" t="s">
        <v>3609</v>
      </c>
      <c r="O126" t="s">
        <v>4211</v>
      </c>
      <c r="P126" t="s">
        <v>4244</v>
      </c>
      <c r="Q126" t="s">
        <v>4251</v>
      </c>
      <c r="R126" t="s">
        <v>4258</v>
      </c>
      <c r="S126" t="s">
        <v>3611</v>
      </c>
      <c r="T126" t="s">
        <v>4258</v>
      </c>
      <c r="U126" t="s">
        <v>4268</v>
      </c>
      <c r="W126" t="s">
        <v>379</v>
      </c>
      <c r="X126">
        <v>215</v>
      </c>
      <c r="Y126" t="s">
        <v>4351</v>
      </c>
      <c r="Z126" t="s">
        <v>4354</v>
      </c>
      <c r="AA126" t="s">
        <v>4385</v>
      </c>
      <c r="AB126" t="s">
        <v>4497</v>
      </c>
      <c r="AC126">
        <v>9609676</v>
      </c>
      <c r="AD126" t="s">
        <v>5927</v>
      </c>
      <c r="AE126">
        <v>33</v>
      </c>
      <c r="AF126" t="s">
        <v>7105</v>
      </c>
      <c r="AG126" t="s">
        <v>3745</v>
      </c>
      <c r="AH126">
        <v>2</v>
      </c>
      <c r="AI126">
        <v>1</v>
      </c>
      <c r="AJ126">
        <v>0</v>
      </c>
      <c r="AK126">
        <v>15.52</v>
      </c>
      <c r="AN126" t="s">
        <v>7138</v>
      </c>
      <c r="AO126">
        <v>1872</v>
      </c>
      <c r="AU126">
        <v>6.72</v>
      </c>
      <c r="AV126" t="s">
        <v>381</v>
      </c>
      <c r="AW126" t="s">
        <v>7356</v>
      </c>
    </row>
    <row r="127" spans="1:50">
      <c r="A127" s="1">
        <f>HYPERLINK("https://lsnyc.legalserver.org/matter/dynamic-profile/view/1885698","18-1885698")</f>
        <v>0</v>
      </c>
      <c r="B127" t="s">
        <v>53</v>
      </c>
      <c r="C127" t="s">
        <v>104</v>
      </c>
      <c r="D127" t="s">
        <v>201</v>
      </c>
      <c r="E127" t="s">
        <v>335</v>
      </c>
      <c r="F127" t="s">
        <v>790</v>
      </c>
      <c r="G127" t="s">
        <v>1664</v>
      </c>
      <c r="H127" t="s">
        <v>2550</v>
      </c>
      <c r="I127">
        <v>510</v>
      </c>
      <c r="J127" t="s">
        <v>3604</v>
      </c>
      <c r="K127">
        <v>10035</v>
      </c>
      <c r="L127" t="s">
        <v>3610</v>
      </c>
      <c r="M127" t="s">
        <v>3610</v>
      </c>
      <c r="O127" t="s">
        <v>4221</v>
      </c>
      <c r="P127" t="s">
        <v>4244</v>
      </c>
      <c r="Q127" t="s">
        <v>4254</v>
      </c>
      <c r="R127" t="s">
        <v>4258</v>
      </c>
      <c r="S127" t="s">
        <v>3611</v>
      </c>
      <c r="U127" t="s">
        <v>4270</v>
      </c>
      <c r="V127" t="s">
        <v>4277</v>
      </c>
      <c r="W127" t="s">
        <v>201</v>
      </c>
      <c r="X127">
        <v>1361</v>
      </c>
      <c r="Y127" t="s">
        <v>4351</v>
      </c>
      <c r="Z127" t="s">
        <v>4354</v>
      </c>
      <c r="AA127" t="s">
        <v>4376</v>
      </c>
      <c r="AB127" t="s">
        <v>4498</v>
      </c>
      <c r="AD127" t="s">
        <v>5928</v>
      </c>
      <c r="AE127">
        <v>87</v>
      </c>
      <c r="AF127" t="s">
        <v>7101</v>
      </c>
      <c r="AG127" t="s">
        <v>7116</v>
      </c>
      <c r="AH127">
        <v>3</v>
      </c>
      <c r="AI127">
        <v>2</v>
      </c>
      <c r="AJ127">
        <v>0</v>
      </c>
      <c r="AK127">
        <v>15.67</v>
      </c>
      <c r="AN127" t="s">
        <v>7138</v>
      </c>
      <c r="AO127">
        <v>2580</v>
      </c>
      <c r="AR127" t="s">
        <v>7205</v>
      </c>
      <c r="AS127" t="s">
        <v>7231</v>
      </c>
      <c r="AT127" t="s">
        <v>7240</v>
      </c>
      <c r="AU127">
        <v>0.2</v>
      </c>
      <c r="AV127" t="s">
        <v>201</v>
      </c>
      <c r="AW127" t="s">
        <v>53</v>
      </c>
    </row>
    <row r="128" spans="1:50">
      <c r="A128" s="1">
        <f>HYPERLINK("https://lsnyc.legalserver.org/matter/dynamic-profile/view/1853078","17-1853078")</f>
        <v>0</v>
      </c>
      <c r="B128" t="s">
        <v>80</v>
      </c>
      <c r="C128" t="s">
        <v>104</v>
      </c>
      <c r="D128" t="s">
        <v>202</v>
      </c>
      <c r="E128" t="s">
        <v>220</v>
      </c>
      <c r="F128" t="s">
        <v>791</v>
      </c>
      <c r="G128" t="s">
        <v>1665</v>
      </c>
      <c r="H128" t="s">
        <v>2551</v>
      </c>
      <c r="I128" t="s">
        <v>3334</v>
      </c>
      <c r="J128" t="s">
        <v>3604</v>
      </c>
      <c r="K128">
        <v>10031</v>
      </c>
      <c r="L128" t="s">
        <v>3610</v>
      </c>
      <c r="M128" t="s">
        <v>3609</v>
      </c>
      <c r="N128" t="s">
        <v>3665</v>
      </c>
      <c r="O128" t="s">
        <v>4210</v>
      </c>
      <c r="P128" t="s">
        <v>4242</v>
      </c>
      <c r="Q128" t="s">
        <v>4250</v>
      </c>
      <c r="R128" t="s">
        <v>4258</v>
      </c>
      <c r="S128" t="s">
        <v>3611</v>
      </c>
      <c r="T128" t="s">
        <v>4259</v>
      </c>
      <c r="U128" t="s">
        <v>4268</v>
      </c>
      <c r="W128" t="s">
        <v>428</v>
      </c>
      <c r="X128">
        <v>686.67</v>
      </c>
      <c r="Y128" t="s">
        <v>4351</v>
      </c>
      <c r="Z128" t="s">
        <v>4357</v>
      </c>
      <c r="AA128" t="s">
        <v>4373</v>
      </c>
      <c r="AB128" t="s">
        <v>4499</v>
      </c>
      <c r="AD128" t="s">
        <v>5929</v>
      </c>
      <c r="AE128">
        <v>24</v>
      </c>
      <c r="AF128" t="s">
        <v>7101</v>
      </c>
      <c r="AG128" t="s">
        <v>4228</v>
      </c>
      <c r="AH128">
        <v>45</v>
      </c>
      <c r="AI128">
        <v>1</v>
      </c>
      <c r="AJ128">
        <v>0</v>
      </c>
      <c r="AK128">
        <v>15.92</v>
      </c>
      <c r="AN128" t="s">
        <v>7138</v>
      </c>
      <c r="AO128">
        <v>1920</v>
      </c>
      <c r="AU128">
        <v>1.5</v>
      </c>
      <c r="AV128" t="s">
        <v>484</v>
      </c>
      <c r="AW128" t="s">
        <v>7344</v>
      </c>
    </row>
    <row r="129" spans="1:50">
      <c r="A129" s="1">
        <f>HYPERLINK("https://lsnyc.legalserver.org/matter/dynamic-profile/view/1881881","18-1881881")</f>
        <v>0</v>
      </c>
      <c r="B129" t="s">
        <v>64</v>
      </c>
      <c r="C129" t="s">
        <v>105</v>
      </c>
      <c r="D129" t="s">
        <v>203</v>
      </c>
      <c r="F129" t="s">
        <v>792</v>
      </c>
      <c r="G129" t="s">
        <v>1666</v>
      </c>
      <c r="H129" t="s">
        <v>2552</v>
      </c>
      <c r="I129" t="s">
        <v>3335</v>
      </c>
      <c r="J129" t="s">
        <v>3604</v>
      </c>
      <c r="K129">
        <v>10032</v>
      </c>
      <c r="L129" t="s">
        <v>3610</v>
      </c>
      <c r="M129" t="s">
        <v>3610</v>
      </c>
      <c r="O129" t="s">
        <v>4213</v>
      </c>
      <c r="P129" t="s">
        <v>4241</v>
      </c>
      <c r="R129" t="s">
        <v>4258</v>
      </c>
      <c r="S129" t="s">
        <v>3611</v>
      </c>
      <c r="U129" t="s">
        <v>4268</v>
      </c>
      <c r="W129" t="s">
        <v>203</v>
      </c>
      <c r="X129">
        <v>762.59</v>
      </c>
      <c r="Y129" t="s">
        <v>4351</v>
      </c>
      <c r="Z129" t="s">
        <v>4366</v>
      </c>
      <c r="AB129" t="s">
        <v>4500</v>
      </c>
      <c r="AD129" t="s">
        <v>5930</v>
      </c>
      <c r="AE129">
        <v>20</v>
      </c>
      <c r="AF129" t="s">
        <v>7101</v>
      </c>
      <c r="AG129" t="s">
        <v>3745</v>
      </c>
      <c r="AH129">
        <v>35</v>
      </c>
      <c r="AI129">
        <v>3</v>
      </c>
      <c r="AJ129">
        <v>2</v>
      </c>
      <c r="AK129">
        <v>15.95</v>
      </c>
      <c r="AN129" t="s">
        <v>7138</v>
      </c>
      <c r="AO129">
        <v>4692</v>
      </c>
      <c r="AU129">
        <v>1.6</v>
      </c>
      <c r="AV129" t="s">
        <v>582</v>
      </c>
      <c r="AW129" t="s">
        <v>7342</v>
      </c>
    </row>
    <row r="130" spans="1:50">
      <c r="A130" s="1">
        <f>HYPERLINK("https://lsnyc.legalserver.org/matter/dynamic-profile/view/1876972","18-1876972")</f>
        <v>0</v>
      </c>
      <c r="B130" t="s">
        <v>63</v>
      </c>
      <c r="C130" t="s">
        <v>104</v>
      </c>
      <c r="D130" t="s">
        <v>204</v>
      </c>
      <c r="E130" t="s">
        <v>425</v>
      </c>
      <c r="F130" t="s">
        <v>793</v>
      </c>
      <c r="G130" t="s">
        <v>1667</v>
      </c>
      <c r="H130" t="s">
        <v>2553</v>
      </c>
      <c r="I130" t="s">
        <v>3336</v>
      </c>
      <c r="J130" t="s">
        <v>3604</v>
      </c>
      <c r="K130">
        <v>10034</v>
      </c>
      <c r="L130" t="s">
        <v>3610</v>
      </c>
      <c r="M130" t="s">
        <v>3610</v>
      </c>
      <c r="O130" t="s">
        <v>4209</v>
      </c>
      <c r="P130" t="s">
        <v>4245</v>
      </c>
      <c r="Q130" t="s">
        <v>4249</v>
      </c>
      <c r="R130" t="s">
        <v>4258</v>
      </c>
      <c r="S130" t="s">
        <v>3611</v>
      </c>
      <c r="U130" t="s">
        <v>4268</v>
      </c>
      <c r="V130" t="s">
        <v>4277</v>
      </c>
      <c r="W130" t="s">
        <v>204</v>
      </c>
      <c r="X130">
        <v>1409</v>
      </c>
      <c r="Y130" t="s">
        <v>4351</v>
      </c>
      <c r="Z130" t="s">
        <v>4354</v>
      </c>
      <c r="AA130" t="s">
        <v>4377</v>
      </c>
      <c r="AB130" t="s">
        <v>4501</v>
      </c>
      <c r="AD130" t="s">
        <v>5931</v>
      </c>
      <c r="AE130">
        <v>228</v>
      </c>
      <c r="AF130" t="s">
        <v>7101</v>
      </c>
      <c r="AG130" t="s">
        <v>3745</v>
      </c>
      <c r="AH130">
        <v>18</v>
      </c>
      <c r="AI130">
        <v>1</v>
      </c>
      <c r="AJ130">
        <v>0</v>
      </c>
      <c r="AK130">
        <v>16.06</v>
      </c>
      <c r="AN130" t="s">
        <v>7138</v>
      </c>
      <c r="AO130">
        <v>1950</v>
      </c>
      <c r="AU130">
        <v>3.7</v>
      </c>
      <c r="AV130" t="s">
        <v>657</v>
      </c>
      <c r="AW130" t="s">
        <v>7342</v>
      </c>
    </row>
    <row r="131" spans="1:50">
      <c r="A131" s="1">
        <f>HYPERLINK("https://lsnyc.legalserver.org/matter/dynamic-profile/view/1863821","18-1863821")</f>
        <v>0</v>
      </c>
      <c r="B131" t="s">
        <v>61</v>
      </c>
      <c r="C131" t="s">
        <v>105</v>
      </c>
      <c r="D131" t="s">
        <v>160</v>
      </c>
      <c r="F131" t="s">
        <v>794</v>
      </c>
      <c r="G131" t="s">
        <v>1668</v>
      </c>
      <c r="H131" t="s">
        <v>2554</v>
      </c>
      <c r="I131">
        <v>10</v>
      </c>
      <c r="J131" t="s">
        <v>3604</v>
      </c>
      <c r="K131">
        <v>10031</v>
      </c>
      <c r="L131" t="s">
        <v>3610</v>
      </c>
      <c r="M131" t="s">
        <v>3609</v>
      </c>
      <c r="O131" t="s">
        <v>4211</v>
      </c>
      <c r="P131" t="s">
        <v>4244</v>
      </c>
      <c r="R131" t="s">
        <v>4257</v>
      </c>
      <c r="U131" t="s">
        <v>4268</v>
      </c>
      <c r="W131" t="s">
        <v>492</v>
      </c>
      <c r="X131">
        <v>1681</v>
      </c>
      <c r="Y131" t="s">
        <v>4351</v>
      </c>
      <c r="Z131" t="s">
        <v>4355</v>
      </c>
      <c r="AB131" t="s">
        <v>4502</v>
      </c>
      <c r="AC131" t="s">
        <v>5792</v>
      </c>
      <c r="AE131">
        <v>25</v>
      </c>
      <c r="AF131" t="s">
        <v>7101</v>
      </c>
      <c r="AG131" t="s">
        <v>3745</v>
      </c>
      <c r="AH131">
        <v>14</v>
      </c>
      <c r="AI131">
        <v>1</v>
      </c>
      <c r="AJ131">
        <v>2</v>
      </c>
      <c r="AK131">
        <v>16.75</v>
      </c>
      <c r="AL131" t="s">
        <v>369</v>
      </c>
      <c r="AN131" t="s">
        <v>7139</v>
      </c>
      <c r="AO131">
        <v>3480</v>
      </c>
      <c r="AU131">
        <v>118.75</v>
      </c>
      <c r="AV131" t="s">
        <v>689</v>
      </c>
      <c r="AW131" t="s">
        <v>7349</v>
      </c>
    </row>
    <row r="132" spans="1:50">
      <c r="A132" s="1">
        <f>HYPERLINK("https://lsnyc.legalserver.org/matter/dynamic-profile/view/1867515","18-1867515")</f>
        <v>0</v>
      </c>
      <c r="B132" t="s">
        <v>56</v>
      </c>
      <c r="C132" t="s">
        <v>104</v>
      </c>
      <c r="D132" t="s">
        <v>205</v>
      </c>
      <c r="E132" t="s">
        <v>659</v>
      </c>
      <c r="F132" t="s">
        <v>795</v>
      </c>
      <c r="G132" t="s">
        <v>1669</v>
      </c>
      <c r="H132" t="s">
        <v>2555</v>
      </c>
      <c r="I132" t="s">
        <v>3337</v>
      </c>
      <c r="J132" t="s">
        <v>3604</v>
      </c>
      <c r="K132">
        <v>10035</v>
      </c>
      <c r="L132" t="s">
        <v>3609</v>
      </c>
      <c r="M132" t="s">
        <v>3609</v>
      </c>
      <c r="O132" t="s">
        <v>4211</v>
      </c>
      <c r="P132" t="s">
        <v>4242</v>
      </c>
      <c r="Q132" t="s">
        <v>4250</v>
      </c>
      <c r="R132" t="s">
        <v>4258</v>
      </c>
      <c r="T132" t="s">
        <v>4259</v>
      </c>
      <c r="U132" t="s">
        <v>4268</v>
      </c>
      <c r="X132">
        <v>215</v>
      </c>
      <c r="Y132" t="s">
        <v>4351</v>
      </c>
      <c r="Z132" t="s">
        <v>4357</v>
      </c>
      <c r="AA132" t="s">
        <v>4373</v>
      </c>
      <c r="AB132" t="s">
        <v>4503</v>
      </c>
      <c r="AD132" t="s">
        <v>5932</v>
      </c>
      <c r="AE132">
        <v>48</v>
      </c>
      <c r="AF132" t="s">
        <v>7105</v>
      </c>
      <c r="AG132" t="s">
        <v>3745</v>
      </c>
      <c r="AH132">
        <v>9</v>
      </c>
      <c r="AI132">
        <v>1</v>
      </c>
      <c r="AJ132">
        <v>0</v>
      </c>
      <c r="AK132">
        <v>18.09</v>
      </c>
      <c r="AN132" t="s">
        <v>7138</v>
      </c>
      <c r="AO132">
        <v>2196</v>
      </c>
      <c r="AU132">
        <v>0.95</v>
      </c>
      <c r="AV132" t="s">
        <v>659</v>
      </c>
      <c r="AW132" t="s">
        <v>7344</v>
      </c>
    </row>
    <row r="133" spans="1:50">
      <c r="A133" s="1">
        <f>HYPERLINK("https://lsnyc.legalserver.org/matter/dynamic-profile/view/1874150","18-1874150")</f>
        <v>0</v>
      </c>
      <c r="B133" t="s">
        <v>61</v>
      </c>
      <c r="C133" t="s">
        <v>105</v>
      </c>
      <c r="D133" t="s">
        <v>173</v>
      </c>
      <c r="F133" t="s">
        <v>796</v>
      </c>
      <c r="G133" t="s">
        <v>1670</v>
      </c>
      <c r="H133" t="s">
        <v>2556</v>
      </c>
      <c r="I133">
        <v>44</v>
      </c>
      <c r="J133" t="s">
        <v>3604</v>
      </c>
      <c r="K133">
        <v>10034</v>
      </c>
      <c r="L133" t="s">
        <v>3610</v>
      </c>
      <c r="M133" t="s">
        <v>3610</v>
      </c>
      <c r="N133" t="s">
        <v>3666</v>
      </c>
      <c r="O133" t="s">
        <v>4209</v>
      </c>
      <c r="P133" t="s">
        <v>4241</v>
      </c>
      <c r="R133" t="s">
        <v>4258</v>
      </c>
      <c r="S133" t="s">
        <v>3611</v>
      </c>
      <c r="U133" t="s">
        <v>4268</v>
      </c>
      <c r="W133" t="s">
        <v>334</v>
      </c>
      <c r="X133">
        <v>1047.13</v>
      </c>
      <c r="Y133" t="s">
        <v>4351</v>
      </c>
      <c r="Z133" t="s">
        <v>4354</v>
      </c>
      <c r="AB133" t="s">
        <v>4504</v>
      </c>
      <c r="AD133" t="s">
        <v>5933</v>
      </c>
      <c r="AE133">
        <v>25</v>
      </c>
      <c r="AF133" t="s">
        <v>7101</v>
      </c>
      <c r="AG133" t="s">
        <v>3745</v>
      </c>
      <c r="AH133">
        <v>18</v>
      </c>
      <c r="AI133">
        <v>1</v>
      </c>
      <c r="AJ133">
        <v>0</v>
      </c>
      <c r="AK133">
        <v>18.09</v>
      </c>
      <c r="AN133" t="s">
        <v>7139</v>
      </c>
      <c r="AO133">
        <v>2196</v>
      </c>
      <c r="AU133">
        <v>31.38</v>
      </c>
      <c r="AV133" t="s">
        <v>678</v>
      </c>
      <c r="AW133" t="s">
        <v>7357</v>
      </c>
      <c r="AX133" t="s">
        <v>7377</v>
      </c>
    </row>
    <row r="134" spans="1:50">
      <c r="A134" s="1">
        <f>HYPERLINK("https://lsnyc.legalserver.org/matter/dynamic-profile/view/1839279","17-1839279")</f>
        <v>0</v>
      </c>
      <c r="B134" t="s">
        <v>64</v>
      </c>
      <c r="C134" t="s">
        <v>104</v>
      </c>
      <c r="D134" t="s">
        <v>206</v>
      </c>
      <c r="E134" t="s">
        <v>664</v>
      </c>
      <c r="F134" t="s">
        <v>797</v>
      </c>
      <c r="G134" t="s">
        <v>1671</v>
      </c>
      <c r="H134" t="s">
        <v>2557</v>
      </c>
      <c r="I134" t="s">
        <v>3338</v>
      </c>
      <c r="J134" t="s">
        <v>3604</v>
      </c>
      <c r="K134">
        <v>10034</v>
      </c>
      <c r="L134" t="s">
        <v>3610</v>
      </c>
      <c r="M134" t="s">
        <v>3609</v>
      </c>
      <c r="O134" t="s">
        <v>4209</v>
      </c>
      <c r="P134" t="s">
        <v>4241</v>
      </c>
      <c r="Q134" t="s">
        <v>4248</v>
      </c>
      <c r="R134" t="s">
        <v>4258</v>
      </c>
      <c r="S134" t="s">
        <v>3611</v>
      </c>
      <c r="U134" t="s">
        <v>4268</v>
      </c>
      <c r="W134" t="s">
        <v>206</v>
      </c>
      <c r="X134">
        <v>1090.35</v>
      </c>
      <c r="Y134" t="s">
        <v>4351</v>
      </c>
      <c r="Z134" t="s">
        <v>4354</v>
      </c>
      <c r="AA134" t="s">
        <v>4374</v>
      </c>
      <c r="AB134" t="s">
        <v>4505</v>
      </c>
      <c r="AD134" t="s">
        <v>5934</v>
      </c>
      <c r="AE134">
        <v>70</v>
      </c>
      <c r="AF134" t="s">
        <v>7101</v>
      </c>
      <c r="AG134" t="s">
        <v>7118</v>
      </c>
      <c r="AH134">
        <v>46</v>
      </c>
      <c r="AI134">
        <v>1</v>
      </c>
      <c r="AJ134">
        <v>0</v>
      </c>
      <c r="AK134">
        <v>18.21</v>
      </c>
      <c r="AN134" t="s">
        <v>7138</v>
      </c>
      <c r="AO134">
        <v>2196</v>
      </c>
      <c r="AU134">
        <v>35.2</v>
      </c>
      <c r="AV134" t="s">
        <v>457</v>
      </c>
      <c r="AW134" t="s">
        <v>7342</v>
      </c>
    </row>
    <row r="135" spans="1:50">
      <c r="A135" s="1">
        <f>HYPERLINK("https://lsnyc.legalserver.org/matter/dynamic-profile/view/0807397","16-0807397")</f>
        <v>0</v>
      </c>
      <c r="B135" t="s">
        <v>55</v>
      </c>
      <c r="C135" t="s">
        <v>104</v>
      </c>
      <c r="D135" t="s">
        <v>207</v>
      </c>
      <c r="E135" t="s">
        <v>329</v>
      </c>
      <c r="F135" t="s">
        <v>798</v>
      </c>
      <c r="G135" t="s">
        <v>1672</v>
      </c>
      <c r="H135" t="s">
        <v>2558</v>
      </c>
      <c r="I135" t="s">
        <v>3315</v>
      </c>
      <c r="J135" t="s">
        <v>3604</v>
      </c>
      <c r="K135">
        <v>10029</v>
      </c>
      <c r="L135" t="s">
        <v>3610</v>
      </c>
      <c r="M135" t="s">
        <v>3610</v>
      </c>
      <c r="N135" t="s">
        <v>3667</v>
      </c>
      <c r="O135" t="s">
        <v>4210</v>
      </c>
      <c r="P135" t="s">
        <v>4241</v>
      </c>
      <c r="Q135" t="s">
        <v>4253</v>
      </c>
      <c r="R135" t="s">
        <v>4258</v>
      </c>
      <c r="S135" t="s">
        <v>3611</v>
      </c>
      <c r="U135" t="s">
        <v>4268</v>
      </c>
      <c r="V135" t="s">
        <v>4274</v>
      </c>
      <c r="W135" t="s">
        <v>207</v>
      </c>
      <c r="X135">
        <v>760</v>
      </c>
      <c r="Y135" t="s">
        <v>4351</v>
      </c>
      <c r="Z135" t="s">
        <v>4354</v>
      </c>
      <c r="AA135" t="s">
        <v>4378</v>
      </c>
      <c r="AB135" t="s">
        <v>4506</v>
      </c>
      <c r="AD135" t="s">
        <v>5935</v>
      </c>
      <c r="AE135">
        <v>20</v>
      </c>
      <c r="AF135" t="s">
        <v>7101</v>
      </c>
      <c r="AG135" t="s">
        <v>3745</v>
      </c>
      <c r="AH135">
        <v>2</v>
      </c>
      <c r="AI135">
        <v>1</v>
      </c>
      <c r="AJ135">
        <v>0</v>
      </c>
      <c r="AK135">
        <v>18.38</v>
      </c>
      <c r="AN135" t="s">
        <v>7138</v>
      </c>
      <c r="AO135">
        <v>2184</v>
      </c>
      <c r="AU135">
        <v>115.3</v>
      </c>
      <c r="AV135" t="s">
        <v>238</v>
      </c>
      <c r="AW135" t="s">
        <v>7341</v>
      </c>
    </row>
    <row r="136" spans="1:50">
      <c r="A136" s="1">
        <f>HYPERLINK("https://lsnyc.legalserver.org/matter/dynamic-profile/view/1864502","18-1864502")</f>
        <v>0</v>
      </c>
      <c r="B136" t="s">
        <v>53</v>
      </c>
      <c r="C136" t="s">
        <v>105</v>
      </c>
      <c r="D136" t="s">
        <v>157</v>
      </c>
      <c r="F136" t="s">
        <v>719</v>
      </c>
      <c r="G136" t="s">
        <v>1673</v>
      </c>
      <c r="H136" t="s">
        <v>2559</v>
      </c>
      <c r="I136">
        <v>704</v>
      </c>
      <c r="J136" t="s">
        <v>3604</v>
      </c>
      <c r="K136">
        <v>10029</v>
      </c>
      <c r="L136" t="s">
        <v>3610</v>
      </c>
      <c r="M136" t="s">
        <v>3610</v>
      </c>
      <c r="N136" t="s">
        <v>3642</v>
      </c>
      <c r="O136" t="s">
        <v>4213</v>
      </c>
      <c r="P136" t="s">
        <v>4241</v>
      </c>
      <c r="R136" t="s">
        <v>4258</v>
      </c>
      <c r="S136" t="s">
        <v>3610</v>
      </c>
      <c r="U136" t="s">
        <v>4268</v>
      </c>
      <c r="V136" t="s">
        <v>4274</v>
      </c>
      <c r="W136" t="s">
        <v>157</v>
      </c>
      <c r="X136">
        <v>0</v>
      </c>
      <c r="Y136" t="s">
        <v>4351</v>
      </c>
      <c r="Z136" t="s">
        <v>4352</v>
      </c>
      <c r="AB136" t="s">
        <v>4507</v>
      </c>
      <c r="AD136" t="s">
        <v>5936</v>
      </c>
      <c r="AE136">
        <v>108</v>
      </c>
      <c r="AF136" t="s">
        <v>7106</v>
      </c>
      <c r="AG136" t="s">
        <v>7116</v>
      </c>
      <c r="AH136">
        <v>34</v>
      </c>
      <c r="AI136">
        <v>1</v>
      </c>
      <c r="AJ136">
        <v>0</v>
      </c>
      <c r="AK136">
        <v>18.48</v>
      </c>
      <c r="AN136" t="s">
        <v>7138</v>
      </c>
      <c r="AO136">
        <v>2244</v>
      </c>
      <c r="AU136">
        <v>0</v>
      </c>
      <c r="AW136" t="s">
        <v>7341</v>
      </c>
    </row>
    <row r="137" spans="1:50">
      <c r="A137" s="1">
        <f>HYPERLINK("https://lsnyc.legalserver.org/matter/dynamic-profile/view/1860000","18-1860000")</f>
        <v>0</v>
      </c>
      <c r="B137" t="s">
        <v>80</v>
      </c>
      <c r="C137" t="s">
        <v>104</v>
      </c>
      <c r="D137" t="s">
        <v>126</v>
      </c>
      <c r="E137" t="s">
        <v>548</v>
      </c>
      <c r="F137" t="s">
        <v>799</v>
      </c>
      <c r="G137" t="s">
        <v>1674</v>
      </c>
      <c r="H137" t="s">
        <v>2560</v>
      </c>
      <c r="I137" t="s">
        <v>3339</v>
      </c>
      <c r="J137" t="s">
        <v>3604</v>
      </c>
      <c r="K137">
        <v>10025</v>
      </c>
      <c r="L137" t="s">
        <v>3610</v>
      </c>
      <c r="M137" t="s">
        <v>3609</v>
      </c>
      <c r="N137" t="s">
        <v>3668</v>
      </c>
      <c r="O137" t="s">
        <v>4209</v>
      </c>
      <c r="P137" t="s">
        <v>4242</v>
      </c>
      <c r="Q137" t="s">
        <v>4250</v>
      </c>
      <c r="R137" t="s">
        <v>4258</v>
      </c>
      <c r="U137" t="s">
        <v>4268</v>
      </c>
      <c r="W137" t="s">
        <v>366</v>
      </c>
      <c r="X137">
        <v>2065</v>
      </c>
      <c r="Y137" t="s">
        <v>4351</v>
      </c>
      <c r="Z137" t="s">
        <v>4354</v>
      </c>
      <c r="AA137" t="s">
        <v>4373</v>
      </c>
      <c r="AB137" t="s">
        <v>4508</v>
      </c>
      <c r="AD137" t="s">
        <v>5937</v>
      </c>
      <c r="AE137">
        <v>133</v>
      </c>
      <c r="AF137" t="s">
        <v>7101</v>
      </c>
      <c r="AG137" t="s">
        <v>4228</v>
      </c>
      <c r="AH137">
        <v>35</v>
      </c>
      <c r="AI137">
        <v>1</v>
      </c>
      <c r="AJ137">
        <v>0</v>
      </c>
      <c r="AK137">
        <v>18.91</v>
      </c>
      <c r="AN137" t="s">
        <v>7138</v>
      </c>
      <c r="AO137">
        <v>2280</v>
      </c>
      <c r="AU137">
        <v>0.1</v>
      </c>
      <c r="AV137" t="s">
        <v>175</v>
      </c>
      <c r="AW137" t="s">
        <v>7350</v>
      </c>
    </row>
    <row r="138" spans="1:50">
      <c r="A138" s="1">
        <f>HYPERLINK("https://lsnyc.legalserver.org/matter/dynamic-profile/view/1895722","19-1895722")</f>
        <v>0</v>
      </c>
      <c r="B138" t="s">
        <v>53</v>
      </c>
      <c r="C138" t="s">
        <v>105</v>
      </c>
      <c r="D138" t="s">
        <v>208</v>
      </c>
      <c r="F138" t="s">
        <v>800</v>
      </c>
      <c r="G138" t="s">
        <v>1663</v>
      </c>
      <c r="H138" t="s">
        <v>2561</v>
      </c>
      <c r="I138" t="s">
        <v>3311</v>
      </c>
      <c r="J138" t="s">
        <v>3604</v>
      </c>
      <c r="K138">
        <v>10029</v>
      </c>
      <c r="L138" t="s">
        <v>3610</v>
      </c>
      <c r="M138" t="s">
        <v>3610</v>
      </c>
      <c r="O138" t="s">
        <v>4212</v>
      </c>
      <c r="P138" t="s">
        <v>4245</v>
      </c>
      <c r="R138" t="s">
        <v>4258</v>
      </c>
      <c r="S138" t="s">
        <v>3611</v>
      </c>
      <c r="U138" t="s">
        <v>4270</v>
      </c>
      <c r="V138" t="s">
        <v>4274</v>
      </c>
      <c r="W138" t="s">
        <v>208</v>
      </c>
      <c r="X138">
        <v>981</v>
      </c>
      <c r="Y138" t="s">
        <v>4351</v>
      </c>
      <c r="Z138" t="s">
        <v>4357</v>
      </c>
      <c r="AB138" t="s">
        <v>4509</v>
      </c>
      <c r="AD138" t="s">
        <v>5938</v>
      </c>
      <c r="AE138">
        <v>30</v>
      </c>
      <c r="AF138" t="s">
        <v>7101</v>
      </c>
      <c r="AH138">
        <v>19</v>
      </c>
      <c r="AI138">
        <v>1</v>
      </c>
      <c r="AJ138">
        <v>0</v>
      </c>
      <c r="AK138">
        <v>19.22</v>
      </c>
      <c r="AN138" t="s">
        <v>7138</v>
      </c>
      <c r="AO138">
        <v>2400</v>
      </c>
      <c r="AU138">
        <v>0</v>
      </c>
      <c r="AW138" t="s">
        <v>7341</v>
      </c>
    </row>
    <row r="139" spans="1:50">
      <c r="A139" s="1">
        <f>HYPERLINK("https://lsnyc.legalserver.org/matter/dynamic-profile/view/1885362","18-1885362")</f>
        <v>0</v>
      </c>
      <c r="B139" t="s">
        <v>62</v>
      </c>
      <c r="C139" t="s">
        <v>104</v>
      </c>
      <c r="D139" t="s">
        <v>209</v>
      </c>
      <c r="E139" t="s">
        <v>113</v>
      </c>
      <c r="F139" t="s">
        <v>801</v>
      </c>
      <c r="G139" t="s">
        <v>1675</v>
      </c>
      <c r="H139" t="s">
        <v>2562</v>
      </c>
      <c r="I139" t="s">
        <v>3340</v>
      </c>
      <c r="J139" t="s">
        <v>3604</v>
      </c>
      <c r="K139">
        <v>10034</v>
      </c>
      <c r="L139" t="s">
        <v>3610</v>
      </c>
      <c r="M139" t="s">
        <v>3610</v>
      </c>
      <c r="O139" t="s">
        <v>4219</v>
      </c>
      <c r="P139" t="s">
        <v>4242</v>
      </c>
      <c r="Q139" t="s">
        <v>4250</v>
      </c>
      <c r="R139" t="s">
        <v>4258</v>
      </c>
      <c r="S139" t="s">
        <v>3611</v>
      </c>
      <c r="U139" t="s">
        <v>4268</v>
      </c>
      <c r="W139" t="s">
        <v>209</v>
      </c>
      <c r="X139">
        <v>912.6900000000001</v>
      </c>
      <c r="Y139" t="s">
        <v>4351</v>
      </c>
      <c r="Z139" t="s">
        <v>4354</v>
      </c>
      <c r="AA139" t="s">
        <v>4373</v>
      </c>
      <c r="AB139" t="s">
        <v>4510</v>
      </c>
      <c r="AE139">
        <v>78</v>
      </c>
      <c r="AF139" t="s">
        <v>7101</v>
      </c>
      <c r="AG139" t="s">
        <v>3745</v>
      </c>
      <c r="AH139">
        <v>20</v>
      </c>
      <c r="AI139">
        <v>2</v>
      </c>
      <c r="AJ139">
        <v>3</v>
      </c>
      <c r="AK139">
        <v>19.39</v>
      </c>
      <c r="AN139" t="s">
        <v>7138</v>
      </c>
      <c r="AO139">
        <v>5706</v>
      </c>
      <c r="AU139">
        <v>4.8</v>
      </c>
      <c r="AV139" t="s">
        <v>109</v>
      </c>
      <c r="AW139" t="s">
        <v>7342</v>
      </c>
    </row>
    <row r="140" spans="1:50">
      <c r="A140" s="1">
        <f>HYPERLINK("https://lsnyc.legalserver.org/matter/dynamic-profile/view/1841873","17-1841873")</f>
        <v>0</v>
      </c>
      <c r="B140" t="s">
        <v>53</v>
      </c>
      <c r="C140" t="s">
        <v>104</v>
      </c>
      <c r="D140" t="s">
        <v>210</v>
      </c>
      <c r="E140" t="s">
        <v>271</v>
      </c>
      <c r="F140" t="s">
        <v>802</v>
      </c>
      <c r="G140" t="s">
        <v>1676</v>
      </c>
      <c r="H140" t="s">
        <v>2462</v>
      </c>
      <c r="I140" t="s">
        <v>3341</v>
      </c>
      <c r="J140" t="s">
        <v>3604</v>
      </c>
      <c r="K140">
        <v>10040</v>
      </c>
      <c r="L140" t="s">
        <v>3610</v>
      </c>
      <c r="M140" t="s">
        <v>3610</v>
      </c>
      <c r="N140" t="s">
        <v>3669</v>
      </c>
      <c r="O140" t="s">
        <v>4213</v>
      </c>
      <c r="P140" t="s">
        <v>4241</v>
      </c>
      <c r="Q140" t="s">
        <v>4248</v>
      </c>
      <c r="R140" t="s">
        <v>4258</v>
      </c>
      <c r="S140" t="s">
        <v>3610</v>
      </c>
      <c r="U140" t="s">
        <v>4268</v>
      </c>
      <c r="W140" t="s">
        <v>133</v>
      </c>
      <c r="X140">
        <v>658.52</v>
      </c>
      <c r="Y140" t="s">
        <v>4351</v>
      </c>
      <c r="Z140" t="s">
        <v>4354</v>
      </c>
      <c r="AA140" t="s">
        <v>4379</v>
      </c>
      <c r="AB140" t="s">
        <v>4511</v>
      </c>
      <c r="AD140" t="s">
        <v>5939</v>
      </c>
      <c r="AE140">
        <v>31</v>
      </c>
      <c r="AF140" t="s">
        <v>7101</v>
      </c>
      <c r="AG140" t="s">
        <v>3745</v>
      </c>
      <c r="AH140">
        <v>35</v>
      </c>
      <c r="AI140">
        <v>1</v>
      </c>
      <c r="AJ140">
        <v>0</v>
      </c>
      <c r="AK140">
        <v>19.4</v>
      </c>
      <c r="AN140" t="s">
        <v>7139</v>
      </c>
      <c r="AO140">
        <v>2340</v>
      </c>
      <c r="AQ140" t="s">
        <v>7197</v>
      </c>
      <c r="AR140" t="s">
        <v>7208</v>
      </c>
      <c r="AS140" t="s">
        <v>7231</v>
      </c>
      <c r="AT140" t="s">
        <v>7241</v>
      </c>
      <c r="AU140">
        <v>1.4</v>
      </c>
      <c r="AV140" t="s">
        <v>271</v>
      </c>
      <c r="AW140" t="s">
        <v>7342</v>
      </c>
    </row>
    <row r="141" spans="1:50">
      <c r="A141" s="1">
        <f>HYPERLINK("https://lsnyc.legalserver.org/matter/dynamic-profile/view/1868511","18-1868511")</f>
        <v>0</v>
      </c>
      <c r="B141" t="s">
        <v>78</v>
      </c>
      <c r="C141" t="s">
        <v>104</v>
      </c>
      <c r="D141" t="s">
        <v>211</v>
      </c>
      <c r="E141" t="s">
        <v>398</v>
      </c>
      <c r="F141" t="s">
        <v>803</v>
      </c>
      <c r="G141" t="s">
        <v>1677</v>
      </c>
      <c r="H141" t="s">
        <v>2563</v>
      </c>
      <c r="I141">
        <v>1514</v>
      </c>
      <c r="J141" t="s">
        <v>3604</v>
      </c>
      <c r="K141">
        <v>10065</v>
      </c>
      <c r="L141" t="s">
        <v>3610</v>
      </c>
      <c r="M141" t="s">
        <v>3610</v>
      </c>
      <c r="N141" t="s">
        <v>3670</v>
      </c>
      <c r="O141" t="s">
        <v>4209</v>
      </c>
      <c r="P141" t="s">
        <v>4242</v>
      </c>
      <c r="Q141" t="s">
        <v>4250</v>
      </c>
      <c r="R141" t="s">
        <v>4258</v>
      </c>
      <c r="S141" t="s">
        <v>3611</v>
      </c>
      <c r="T141" t="s">
        <v>4259</v>
      </c>
      <c r="U141" t="s">
        <v>4268</v>
      </c>
      <c r="W141" t="s">
        <v>112</v>
      </c>
      <c r="X141">
        <v>2214</v>
      </c>
      <c r="Y141" t="s">
        <v>4351</v>
      </c>
      <c r="Z141" t="s">
        <v>4353</v>
      </c>
      <c r="AA141" t="s">
        <v>4373</v>
      </c>
      <c r="AB141" t="s">
        <v>4512</v>
      </c>
      <c r="AD141" t="s">
        <v>5940</v>
      </c>
      <c r="AE141">
        <v>532</v>
      </c>
      <c r="AF141" t="s">
        <v>7101</v>
      </c>
      <c r="AG141" t="s">
        <v>4228</v>
      </c>
      <c r="AH141">
        <v>32</v>
      </c>
      <c r="AI141">
        <v>1</v>
      </c>
      <c r="AJ141">
        <v>0</v>
      </c>
      <c r="AK141">
        <v>19.49</v>
      </c>
      <c r="AN141" t="s">
        <v>7138</v>
      </c>
      <c r="AO141">
        <v>2366</v>
      </c>
      <c r="AU141">
        <v>1.1</v>
      </c>
      <c r="AV141" t="s">
        <v>173</v>
      </c>
      <c r="AW141" t="s">
        <v>7344</v>
      </c>
    </row>
    <row r="142" spans="1:50">
      <c r="A142" s="1">
        <f>HYPERLINK("https://lsnyc.legalserver.org/matter/dynamic-profile/view/1872111","18-1872111")</f>
        <v>0</v>
      </c>
      <c r="B142" t="s">
        <v>53</v>
      </c>
      <c r="C142" t="s">
        <v>105</v>
      </c>
      <c r="D142" t="s">
        <v>212</v>
      </c>
      <c r="F142" t="s">
        <v>800</v>
      </c>
      <c r="G142" t="s">
        <v>1663</v>
      </c>
      <c r="H142" t="s">
        <v>2561</v>
      </c>
      <c r="I142" t="s">
        <v>3311</v>
      </c>
      <c r="J142" t="s">
        <v>3604</v>
      </c>
      <c r="K142">
        <v>10029</v>
      </c>
      <c r="L142" t="s">
        <v>3610</v>
      </c>
      <c r="M142" t="s">
        <v>3610</v>
      </c>
      <c r="N142" t="s">
        <v>3671</v>
      </c>
      <c r="O142" t="s">
        <v>4209</v>
      </c>
      <c r="P142" t="s">
        <v>4241</v>
      </c>
      <c r="R142" t="s">
        <v>4258</v>
      </c>
      <c r="S142" t="s">
        <v>3611</v>
      </c>
      <c r="U142" t="s">
        <v>4268</v>
      </c>
      <c r="V142" t="s">
        <v>4274</v>
      </c>
      <c r="W142" t="s">
        <v>173</v>
      </c>
      <c r="X142">
        <v>981</v>
      </c>
      <c r="Y142" t="s">
        <v>4351</v>
      </c>
      <c r="Z142" t="s">
        <v>4363</v>
      </c>
      <c r="AB142" t="s">
        <v>4509</v>
      </c>
      <c r="AD142" t="s">
        <v>5938</v>
      </c>
      <c r="AE142">
        <v>30</v>
      </c>
      <c r="AF142" t="s">
        <v>7101</v>
      </c>
      <c r="AG142" t="s">
        <v>3745</v>
      </c>
      <c r="AH142">
        <v>19</v>
      </c>
      <c r="AI142">
        <v>1</v>
      </c>
      <c r="AJ142">
        <v>0</v>
      </c>
      <c r="AK142">
        <v>19.77</v>
      </c>
      <c r="AN142" t="s">
        <v>7138</v>
      </c>
      <c r="AO142">
        <v>2400</v>
      </c>
      <c r="AP142" t="s">
        <v>7164</v>
      </c>
      <c r="AU142">
        <v>25.05</v>
      </c>
      <c r="AV142" t="s">
        <v>678</v>
      </c>
      <c r="AW142" t="s">
        <v>7353</v>
      </c>
    </row>
    <row r="143" spans="1:50">
      <c r="A143" s="1">
        <f>HYPERLINK("https://lsnyc.legalserver.org/matter/dynamic-profile/view/1884001","18-1884001")</f>
        <v>0</v>
      </c>
      <c r="B143" t="s">
        <v>62</v>
      </c>
      <c r="C143" t="s">
        <v>104</v>
      </c>
      <c r="D143" t="s">
        <v>213</v>
      </c>
      <c r="E143" t="s">
        <v>145</v>
      </c>
      <c r="F143" t="s">
        <v>804</v>
      </c>
      <c r="G143" t="s">
        <v>1678</v>
      </c>
      <c r="H143" t="s">
        <v>2564</v>
      </c>
      <c r="I143" t="s">
        <v>3342</v>
      </c>
      <c r="J143" t="s">
        <v>3604</v>
      </c>
      <c r="K143">
        <v>10002</v>
      </c>
      <c r="L143" t="s">
        <v>3610</v>
      </c>
      <c r="M143" t="s">
        <v>3610</v>
      </c>
      <c r="O143" t="s">
        <v>4211</v>
      </c>
      <c r="P143" t="s">
        <v>4242</v>
      </c>
      <c r="Q143" t="s">
        <v>4250</v>
      </c>
      <c r="R143" t="s">
        <v>4258</v>
      </c>
      <c r="S143" t="s">
        <v>3611</v>
      </c>
      <c r="U143" t="s">
        <v>4268</v>
      </c>
      <c r="W143" t="s">
        <v>213</v>
      </c>
      <c r="X143">
        <v>756</v>
      </c>
      <c r="Y143" t="s">
        <v>4351</v>
      </c>
      <c r="Z143" t="s">
        <v>4354</v>
      </c>
      <c r="AA143" t="s">
        <v>4373</v>
      </c>
      <c r="AB143" t="s">
        <v>4513</v>
      </c>
      <c r="AC143" t="s">
        <v>5793</v>
      </c>
      <c r="AD143" t="s">
        <v>5941</v>
      </c>
      <c r="AE143">
        <v>20</v>
      </c>
      <c r="AF143" t="s">
        <v>7104</v>
      </c>
      <c r="AG143" t="s">
        <v>3745</v>
      </c>
      <c r="AH143">
        <v>8</v>
      </c>
      <c r="AI143">
        <v>1</v>
      </c>
      <c r="AJ143">
        <v>0</v>
      </c>
      <c r="AK143">
        <v>19.77</v>
      </c>
      <c r="AN143" t="s">
        <v>7138</v>
      </c>
      <c r="AO143">
        <v>2400</v>
      </c>
      <c r="AU143">
        <v>1.8</v>
      </c>
      <c r="AV143" t="s">
        <v>145</v>
      </c>
      <c r="AW143" t="s">
        <v>7342</v>
      </c>
    </row>
    <row r="144" spans="1:50">
      <c r="A144" s="1">
        <f>HYPERLINK("https://lsnyc.legalserver.org/matter/dynamic-profile/view/1882586","18-1882586")</f>
        <v>0</v>
      </c>
      <c r="B144" t="s">
        <v>53</v>
      </c>
      <c r="C144" t="s">
        <v>105</v>
      </c>
      <c r="D144" t="s">
        <v>192</v>
      </c>
      <c r="F144" t="s">
        <v>805</v>
      </c>
      <c r="G144" t="s">
        <v>1679</v>
      </c>
      <c r="H144" t="s">
        <v>2565</v>
      </c>
      <c r="I144" t="s">
        <v>3343</v>
      </c>
      <c r="J144" t="s">
        <v>3604</v>
      </c>
      <c r="K144">
        <v>10031</v>
      </c>
      <c r="L144" t="s">
        <v>3610</v>
      </c>
      <c r="M144" t="s">
        <v>3610</v>
      </c>
      <c r="N144" t="s">
        <v>3672</v>
      </c>
      <c r="O144" t="s">
        <v>4213</v>
      </c>
      <c r="P144" t="s">
        <v>4241</v>
      </c>
      <c r="R144" t="s">
        <v>4258</v>
      </c>
      <c r="S144" t="s">
        <v>3610</v>
      </c>
      <c r="U144" t="s">
        <v>4268</v>
      </c>
      <c r="V144" t="s">
        <v>4274</v>
      </c>
      <c r="W144" t="s">
        <v>203</v>
      </c>
      <c r="X144">
        <v>2697</v>
      </c>
      <c r="Y144" t="s">
        <v>4351</v>
      </c>
      <c r="Z144" t="s">
        <v>4352</v>
      </c>
      <c r="AB144" t="s">
        <v>4514</v>
      </c>
      <c r="AD144" t="s">
        <v>5942</v>
      </c>
      <c r="AE144">
        <v>44</v>
      </c>
      <c r="AF144" t="s">
        <v>7101</v>
      </c>
      <c r="AG144" t="s">
        <v>7116</v>
      </c>
      <c r="AH144">
        <v>10</v>
      </c>
      <c r="AI144">
        <v>2</v>
      </c>
      <c r="AJ144">
        <v>0</v>
      </c>
      <c r="AK144">
        <v>20.33</v>
      </c>
      <c r="AN144" t="s">
        <v>7138</v>
      </c>
      <c r="AO144">
        <v>3346.2</v>
      </c>
      <c r="AU144">
        <v>2</v>
      </c>
      <c r="AV144" t="s">
        <v>143</v>
      </c>
      <c r="AW144" t="s">
        <v>7341</v>
      </c>
    </row>
    <row r="145" spans="1:50">
      <c r="A145" s="1">
        <f>HYPERLINK("https://lsnyc.legalserver.org/matter/dynamic-profile/view/1890682","19-1890682")</f>
        <v>0</v>
      </c>
      <c r="B145" t="s">
        <v>61</v>
      </c>
      <c r="C145" t="s">
        <v>105</v>
      </c>
      <c r="D145" t="s">
        <v>214</v>
      </c>
      <c r="F145" t="s">
        <v>806</v>
      </c>
      <c r="G145" t="s">
        <v>1680</v>
      </c>
      <c r="H145" t="s">
        <v>2566</v>
      </c>
      <c r="I145">
        <v>65</v>
      </c>
      <c r="J145" t="s">
        <v>3604</v>
      </c>
      <c r="K145">
        <v>10040</v>
      </c>
      <c r="L145" t="s">
        <v>3610</v>
      </c>
      <c r="M145" t="s">
        <v>3610</v>
      </c>
      <c r="P145" t="s">
        <v>4242</v>
      </c>
      <c r="R145" t="s">
        <v>4258</v>
      </c>
      <c r="S145" t="s">
        <v>3611</v>
      </c>
      <c r="U145" t="s">
        <v>4268</v>
      </c>
      <c r="W145" t="s">
        <v>214</v>
      </c>
      <c r="X145">
        <v>167</v>
      </c>
      <c r="Y145" t="s">
        <v>4351</v>
      </c>
      <c r="Z145" t="s">
        <v>4354</v>
      </c>
      <c r="AB145" t="s">
        <v>4515</v>
      </c>
      <c r="AD145" t="s">
        <v>5943</v>
      </c>
      <c r="AE145">
        <v>42</v>
      </c>
      <c r="AF145" t="s">
        <v>7101</v>
      </c>
      <c r="AG145" t="s">
        <v>3745</v>
      </c>
      <c r="AH145">
        <v>40</v>
      </c>
      <c r="AI145">
        <v>1</v>
      </c>
      <c r="AJ145">
        <v>0</v>
      </c>
      <c r="AK145">
        <v>20.85</v>
      </c>
      <c r="AN145" t="s">
        <v>7138</v>
      </c>
      <c r="AO145">
        <v>2604</v>
      </c>
      <c r="AU145">
        <v>2</v>
      </c>
      <c r="AV145" t="s">
        <v>321</v>
      </c>
      <c r="AW145" t="s">
        <v>7342</v>
      </c>
      <c r="AX145" t="s">
        <v>7377</v>
      </c>
    </row>
    <row r="146" spans="1:50">
      <c r="A146" s="1">
        <f>HYPERLINK("https://lsnyc.legalserver.org/matter/dynamic-profile/view/1839583","17-1839583")</f>
        <v>0</v>
      </c>
      <c r="B146" t="s">
        <v>78</v>
      </c>
      <c r="C146" t="s">
        <v>104</v>
      </c>
      <c r="D146" t="s">
        <v>215</v>
      </c>
      <c r="E146" t="s">
        <v>658</v>
      </c>
      <c r="F146" t="s">
        <v>706</v>
      </c>
      <c r="G146" t="s">
        <v>1681</v>
      </c>
      <c r="H146" t="s">
        <v>2567</v>
      </c>
      <c r="I146" t="s">
        <v>3316</v>
      </c>
      <c r="J146" t="s">
        <v>3604</v>
      </c>
      <c r="K146">
        <v>10029</v>
      </c>
      <c r="L146" t="s">
        <v>3610</v>
      </c>
      <c r="M146" t="s">
        <v>3609</v>
      </c>
      <c r="N146" t="s">
        <v>3673</v>
      </c>
      <c r="O146" t="s">
        <v>4209</v>
      </c>
      <c r="P146" t="s">
        <v>4241</v>
      </c>
      <c r="Q146" t="s">
        <v>4248</v>
      </c>
      <c r="R146" t="s">
        <v>4258</v>
      </c>
      <c r="S146" t="s">
        <v>3611</v>
      </c>
      <c r="U146" t="s">
        <v>4268</v>
      </c>
      <c r="W146" t="s">
        <v>215</v>
      </c>
      <c r="X146">
        <v>0</v>
      </c>
      <c r="Y146" t="s">
        <v>4351</v>
      </c>
      <c r="Z146" t="s">
        <v>4367</v>
      </c>
      <c r="AA146" t="s">
        <v>4386</v>
      </c>
      <c r="AB146" t="s">
        <v>4516</v>
      </c>
      <c r="AD146" t="s">
        <v>5944</v>
      </c>
      <c r="AE146">
        <v>118</v>
      </c>
      <c r="AF146" t="s">
        <v>7102</v>
      </c>
      <c r="AG146" t="s">
        <v>7116</v>
      </c>
      <c r="AH146">
        <v>10</v>
      </c>
      <c r="AI146">
        <v>3</v>
      </c>
      <c r="AJ146">
        <v>0</v>
      </c>
      <c r="AK146">
        <v>20.86</v>
      </c>
      <c r="AN146" t="s">
        <v>7138</v>
      </c>
      <c r="AO146">
        <v>4260</v>
      </c>
      <c r="AU146">
        <v>59</v>
      </c>
      <c r="AV146" t="s">
        <v>7292</v>
      </c>
      <c r="AW146" t="s">
        <v>7341</v>
      </c>
    </row>
    <row r="147" spans="1:50">
      <c r="A147" s="1">
        <f>HYPERLINK("https://lsnyc.legalserver.org/matter/dynamic-profile/view/1877745","18-1877745")</f>
        <v>0</v>
      </c>
      <c r="B147" t="s">
        <v>52</v>
      </c>
      <c r="C147" t="s">
        <v>105</v>
      </c>
      <c r="D147" t="s">
        <v>216</v>
      </c>
      <c r="F147" t="s">
        <v>807</v>
      </c>
      <c r="G147" t="s">
        <v>1682</v>
      </c>
      <c r="H147" t="s">
        <v>2568</v>
      </c>
      <c r="I147" t="s">
        <v>3344</v>
      </c>
      <c r="J147" t="s">
        <v>3604</v>
      </c>
      <c r="K147">
        <v>10032</v>
      </c>
      <c r="L147" t="s">
        <v>3610</v>
      </c>
      <c r="M147" t="s">
        <v>3610</v>
      </c>
      <c r="O147" t="s">
        <v>4209</v>
      </c>
      <c r="P147" t="s">
        <v>4241</v>
      </c>
      <c r="R147" t="s">
        <v>4258</v>
      </c>
      <c r="S147" t="s">
        <v>3611</v>
      </c>
      <c r="U147" t="s">
        <v>4268</v>
      </c>
      <c r="W147" t="s">
        <v>216</v>
      </c>
      <c r="X147">
        <v>1258.6</v>
      </c>
      <c r="Y147" t="s">
        <v>4351</v>
      </c>
      <c r="Z147" t="s">
        <v>4353</v>
      </c>
      <c r="AB147" t="s">
        <v>4517</v>
      </c>
      <c r="AD147" t="s">
        <v>5945</v>
      </c>
      <c r="AE147">
        <v>0</v>
      </c>
      <c r="AF147" t="s">
        <v>7101</v>
      </c>
      <c r="AG147" t="s">
        <v>3745</v>
      </c>
      <c r="AH147">
        <v>39</v>
      </c>
      <c r="AI147">
        <v>1</v>
      </c>
      <c r="AJ147">
        <v>0</v>
      </c>
      <c r="AK147">
        <v>21.25</v>
      </c>
      <c r="AN147" t="s">
        <v>7138</v>
      </c>
      <c r="AO147">
        <v>2580</v>
      </c>
      <c r="AU147">
        <v>53.3</v>
      </c>
      <c r="AV147" t="s">
        <v>196</v>
      </c>
      <c r="AW147" t="s">
        <v>7342</v>
      </c>
    </row>
    <row r="148" spans="1:50">
      <c r="A148" s="1">
        <f>HYPERLINK("https://lsnyc.legalserver.org/matter/dynamic-profile/view/1853541","17-1853541")</f>
        <v>0</v>
      </c>
      <c r="B148" t="s">
        <v>56</v>
      </c>
      <c r="C148" t="s">
        <v>105</v>
      </c>
      <c r="D148" t="s">
        <v>217</v>
      </c>
      <c r="F148" t="s">
        <v>727</v>
      </c>
      <c r="G148" t="s">
        <v>1441</v>
      </c>
      <c r="H148" t="s">
        <v>2569</v>
      </c>
      <c r="I148" t="s">
        <v>3304</v>
      </c>
      <c r="J148" t="s">
        <v>3604</v>
      </c>
      <c r="K148">
        <v>10034</v>
      </c>
      <c r="L148" t="s">
        <v>3610</v>
      </c>
      <c r="M148" t="s">
        <v>3609</v>
      </c>
      <c r="N148" t="s">
        <v>3674</v>
      </c>
      <c r="O148" t="s">
        <v>4209</v>
      </c>
      <c r="P148" t="s">
        <v>4241</v>
      </c>
      <c r="R148" t="s">
        <v>4258</v>
      </c>
      <c r="S148" t="s">
        <v>3611</v>
      </c>
      <c r="U148" t="s">
        <v>4268</v>
      </c>
      <c r="W148" t="s">
        <v>507</v>
      </c>
      <c r="X148">
        <v>972.72</v>
      </c>
      <c r="Y148" t="s">
        <v>4351</v>
      </c>
      <c r="Z148" t="s">
        <v>4354</v>
      </c>
      <c r="AB148" t="s">
        <v>4518</v>
      </c>
      <c r="AD148" t="s">
        <v>5946</v>
      </c>
      <c r="AE148">
        <v>121</v>
      </c>
      <c r="AF148" t="s">
        <v>7101</v>
      </c>
      <c r="AG148" t="s">
        <v>3745</v>
      </c>
      <c r="AH148">
        <v>32</v>
      </c>
      <c r="AI148">
        <v>1</v>
      </c>
      <c r="AJ148">
        <v>0</v>
      </c>
      <c r="AK148">
        <v>21.39</v>
      </c>
      <c r="AN148" t="s">
        <v>7139</v>
      </c>
      <c r="AO148">
        <v>2580</v>
      </c>
      <c r="AU148">
        <v>105.63</v>
      </c>
      <c r="AV148" t="s">
        <v>689</v>
      </c>
      <c r="AW148" t="s">
        <v>7342</v>
      </c>
    </row>
    <row r="149" spans="1:50">
      <c r="A149" s="1">
        <f>HYPERLINK("https://lsnyc.legalserver.org/matter/dynamic-profile/view/1863429","18-1863429")</f>
        <v>0</v>
      </c>
      <c r="B149" t="s">
        <v>57</v>
      </c>
      <c r="C149" t="s">
        <v>105</v>
      </c>
      <c r="D149" t="s">
        <v>184</v>
      </c>
      <c r="F149" t="s">
        <v>808</v>
      </c>
      <c r="G149" t="s">
        <v>1683</v>
      </c>
      <c r="H149" t="s">
        <v>2570</v>
      </c>
      <c r="I149" t="s">
        <v>3274</v>
      </c>
      <c r="J149" t="s">
        <v>3604</v>
      </c>
      <c r="K149">
        <v>10029</v>
      </c>
      <c r="L149" t="s">
        <v>3610</v>
      </c>
      <c r="M149" t="s">
        <v>3609</v>
      </c>
      <c r="O149" t="s">
        <v>4212</v>
      </c>
      <c r="P149" t="s">
        <v>4243</v>
      </c>
      <c r="R149" t="s">
        <v>4258</v>
      </c>
      <c r="S149" t="s">
        <v>3611</v>
      </c>
      <c r="U149" t="s">
        <v>4270</v>
      </c>
      <c r="W149" t="s">
        <v>184</v>
      </c>
      <c r="X149">
        <v>2065</v>
      </c>
      <c r="Y149" t="s">
        <v>4351</v>
      </c>
      <c r="Z149" t="s">
        <v>4356</v>
      </c>
      <c r="AB149" t="s">
        <v>4519</v>
      </c>
      <c r="AD149" t="s">
        <v>5947</v>
      </c>
      <c r="AE149">
        <v>32</v>
      </c>
      <c r="AF149" t="s">
        <v>7101</v>
      </c>
      <c r="AG149" t="s">
        <v>3745</v>
      </c>
      <c r="AH149">
        <v>8</v>
      </c>
      <c r="AI149">
        <v>1</v>
      </c>
      <c r="AJ149">
        <v>1</v>
      </c>
      <c r="AK149">
        <v>21.73</v>
      </c>
      <c r="AN149" t="s">
        <v>7138</v>
      </c>
      <c r="AO149">
        <v>3576</v>
      </c>
      <c r="AU149">
        <v>15</v>
      </c>
      <c r="AV149" t="s">
        <v>196</v>
      </c>
      <c r="AW149" t="s">
        <v>7341</v>
      </c>
    </row>
    <row r="150" spans="1:50">
      <c r="A150" s="1">
        <f>HYPERLINK("https://lsnyc.legalserver.org/matter/dynamic-profile/view/1858519","18-1858519")</f>
        <v>0</v>
      </c>
      <c r="B150" t="s">
        <v>70</v>
      </c>
      <c r="C150" t="s">
        <v>104</v>
      </c>
      <c r="D150" t="s">
        <v>218</v>
      </c>
      <c r="E150" t="s">
        <v>667</v>
      </c>
      <c r="F150" t="s">
        <v>808</v>
      </c>
      <c r="G150" t="s">
        <v>1683</v>
      </c>
      <c r="H150" t="s">
        <v>2570</v>
      </c>
      <c r="I150" t="s">
        <v>3274</v>
      </c>
      <c r="J150" t="s">
        <v>3604</v>
      </c>
      <c r="K150">
        <v>10029</v>
      </c>
      <c r="L150" t="s">
        <v>3610</v>
      </c>
      <c r="M150" t="s">
        <v>3609</v>
      </c>
      <c r="N150" t="s">
        <v>3675</v>
      </c>
      <c r="O150" t="s">
        <v>4209</v>
      </c>
      <c r="P150" t="s">
        <v>4241</v>
      </c>
      <c r="Q150" t="s">
        <v>4248</v>
      </c>
      <c r="R150" t="s">
        <v>4258</v>
      </c>
      <c r="S150" t="s">
        <v>3611</v>
      </c>
      <c r="U150" t="s">
        <v>4268</v>
      </c>
      <c r="W150" t="s">
        <v>130</v>
      </c>
      <c r="X150">
        <v>2065</v>
      </c>
      <c r="Y150" t="s">
        <v>4351</v>
      </c>
      <c r="Z150" t="s">
        <v>4354</v>
      </c>
      <c r="AA150" t="s">
        <v>4387</v>
      </c>
      <c r="AB150" t="s">
        <v>4519</v>
      </c>
      <c r="AD150" t="s">
        <v>5947</v>
      </c>
      <c r="AE150">
        <v>32</v>
      </c>
      <c r="AF150" t="s">
        <v>7101</v>
      </c>
      <c r="AG150" t="s">
        <v>3745</v>
      </c>
      <c r="AH150">
        <v>8</v>
      </c>
      <c r="AI150">
        <v>1</v>
      </c>
      <c r="AJ150">
        <v>1</v>
      </c>
      <c r="AK150">
        <v>22.02</v>
      </c>
      <c r="AN150" t="s">
        <v>7138</v>
      </c>
      <c r="AO150">
        <v>3576</v>
      </c>
      <c r="AQ150" t="s">
        <v>7199</v>
      </c>
      <c r="AR150" t="s">
        <v>7209</v>
      </c>
      <c r="AS150" t="s">
        <v>7231</v>
      </c>
      <c r="AT150" t="s">
        <v>7242</v>
      </c>
      <c r="AU150">
        <v>170.7</v>
      </c>
      <c r="AV150" t="s">
        <v>7293</v>
      </c>
      <c r="AW150" t="s">
        <v>7350</v>
      </c>
    </row>
    <row r="151" spans="1:50">
      <c r="A151" s="1">
        <f>HYPERLINK("https://lsnyc.legalserver.org/matter/dynamic-profile/view/1841494","17-1841494")</f>
        <v>0</v>
      </c>
      <c r="B151" t="s">
        <v>72</v>
      </c>
      <c r="C151" t="s">
        <v>105</v>
      </c>
      <c r="D151" t="s">
        <v>219</v>
      </c>
      <c r="F151" t="s">
        <v>809</v>
      </c>
      <c r="G151" t="s">
        <v>1684</v>
      </c>
      <c r="H151" t="s">
        <v>2571</v>
      </c>
      <c r="I151" t="s">
        <v>3279</v>
      </c>
      <c r="J151" t="s">
        <v>3604</v>
      </c>
      <c r="K151">
        <v>10029</v>
      </c>
      <c r="L151" t="s">
        <v>3610</v>
      </c>
      <c r="M151" t="s">
        <v>3609</v>
      </c>
      <c r="O151" t="s">
        <v>4211</v>
      </c>
      <c r="P151" t="s">
        <v>4245</v>
      </c>
      <c r="R151" t="s">
        <v>4258</v>
      </c>
      <c r="S151" t="s">
        <v>3610</v>
      </c>
      <c r="U151" t="s">
        <v>4268</v>
      </c>
      <c r="W151" t="s">
        <v>133</v>
      </c>
      <c r="X151">
        <v>677.6</v>
      </c>
      <c r="Y151" t="s">
        <v>4351</v>
      </c>
      <c r="Z151" t="s">
        <v>4352</v>
      </c>
      <c r="AB151" t="s">
        <v>4520</v>
      </c>
      <c r="AD151" t="s">
        <v>5948</v>
      </c>
      <c r="AE151">
        <v>13</v>
      </c>
      <c r="AF151" t="s">
        <v>7101</v>
      </c>
      <c r="AG151" t="s">
        <v>3745</v>
      </c>
      <c r="AH151">
        <v>40</v>
      </c>
      <c r="AI151">
        <v>1</v>
      </c>
      <c r="AJ151">
        <v>1</v>
      </c>
      <c r="AK151">
        <v>22.17</v>
      </c>
      <c r="AN151" t="s">
        <v>7138</v>
      </c>
      <c r="AO151">
        <v>3600</v>
      </c>
      <c r="AU151">
        <v>3.45</v>
      </c>
      <c r="AV151" t="s">
        <v>476</v>
      </c>
      <c r="AW151" t="s">
        <v>7341</v>
      </c>
      <c r="AX151" t="s">
        <v>7377</v>
      </c>
    </row>
    <row r="152" spans="1:50">
      <c r="A152" s="1">
        <f>HYPERLINK("https://lsnyc.legalserver.org/matter/dynamic-profile/view/1881397","18-1881397")</f>
        <v>0</v>
      </c>
      <c r="B152" t="s">
        <v>53</v>
      </c>
      <c r="C152" t="s">
        <v>105</v>
      </c>
      <c r="D152" t="s">
        <v>220</v>
      </c>
      <c r="F152" t="s">
        <v>810</v>
      </c>
      <c r="G152" t="s">
        <v>1685</v>
      </c>
      <c r="H152" t="s">
        <v>2565</v>
      </c>
      <c r="I152" t="s">
        <v>3345</v>
      </c>
      <c r="J152" t="s">
        <v>3604</v>
      </c>
      <c r="K152">
        <v>10031</v>
      </c>
      <c r="L152" t="s">
        <v>3610</v>
      </c>
      <c r="M152" t="s">
        <v>3610</v>
      </c>
      <c r="N152" t="s">
        <v>3676</v>
      </c>
      <c r="O152" t="s">
        <v>4213</v>
      </c>
      <c r="P152" t="s">
        <v>4241</v>
      </c>
      <c r="R152" t="s">
        <v>4258</v>
      </c>
      <c r="S152" t="s">
        <v>3610</v>
      </c>
      <c r="U152" t="s">
        <v>4268</v>
      </c>
      <c r="V152" t="s">
        <v>4274</v>
      </c>
      <c r="W152" t="s">
        <v>293</v>
      </c>
      <c r="X152">
        <v>457</v>
      </c>
      <c r="Y152" t="s">
        <v>4351</v>
      </c>
      <c r="Z152" t="s">
        <v>4352</v>
      </c>
      <c r="AB152" t="s">
        <v>4521</v>
      </c>
      <c r="AD152" t="s">
        <v>5949</v>
      </c>
      <c r="AE152">
        <v>44</v>
      </c>
      <c r="AF152" t="s">
        <v>7101</v>
      </c>
      <c r="AG152" t="s">
        <v>7116</v>
      </c>
      <c r="AH152">
        <v>14</v>
      </c>
      <c r="AI152">
        <v>2</v>
      </c>
      <c r="AJ152">
        <v>0</v>
      </c>
      <c r="AK152">
        <v>22.38</v>
      </c>
      <c r="AN152" t="s">
        <v>7138</v>
      </c>
      <c r="AO152">
        <v>3684</v>
      </c>
      <c r="AU152">
        <v>0.25</v>
      </c>
      <c r="AV152" t="s">
        <v>175</v>
      </c>
      <c r="AW152" t="s">
        <v>7341</v>
      </c>
    </row>
    <row r="153" spans="1:50">
      <c r="A153" s="1">
        <f>HYPERLINK("https://lsnyc.legalserver.org/matter/dynamic-profile/view/1855135","18-1855135")</f>
        <v>0</v>
      </c>
      <c r="B153" t="s">
        <v>66</v>
      </c>
      <c r="C153" t="s">
        <v>104</v>
      </c>
      <c r="D153" t="s">
        <v>221</v>
      </c>
      <c r="E153" t="s">
        <v>485</v>
      </c>
      <c r="F153" t="s">
        <v>811</v>
      </c>
      <c r="G153" t="s">
        <v>1686</v>
      </c>
      <c r="H153" t="s">
        <v>2572</v>
      </c>
      <c r="I153" t="s">
        <v>3346</v>
      </c>
      <c r="J153" t="s">
        <v>3604</v>
      </c>
      <c r="K153">
        <v>10031</v>
      </c>
      <c r="L153" t="s">
        <v>3610</v>
      </c>
      <c r="M153" t="s">
        <v>3610</v>
      </c>
      <c r="N153" t="s">
        <v>3677</v>
      </c>
      <c r="O153" t="s">
        <v>4210</v>
      </c>
      <c r="P153" t="s">
        <v>4242</v>
      </c>
      <c r="Q153" t="s">
        <v>4250</v>
      </c>
      <c r="R153" t="s">
        <v>4258</v>
      </c>
      <c r="S153" t="s">
        <v>3611</v>
      </c>
      <c r="U153" t="s">
        <v>4268</v>
      </c>
      <c r="W153" t="s">
        <v>473</v>
      </c>
      <c r="X153">
        <v>500</v>
      </c>
      <c r="Y153" t="s">
        <v>4351</v>
      </c>
      <c r="Z153" t="s">
        <v>4228</v>
      </c>
      <c r="AA153" t="s">
        <v>4373</v>
      </c>
      <c r="AB153" t="s">
        <v>4522</v>
      </c>
      <c r="AD153" t="s">
        <v>5950</v>
      </c>
      <c r="AE153">
        <v>42</v>
      </c>
      <c r="AG153" t="s">
        <v>7118</v>
      </c>
      <c r="AH153">
        <v>50</v>
      </c>
      <c r="AI153">
        <v>1</v>
      </c>
      <c r="AJ153">
        <v>0</v>
      </c>
      <c r="AK153">
        <v>22.79</v>
      </c>
      <c r="AN153" t="s">
        <v>7138</v>
      </c>
      <c r="AO153">
        <v>2748</v>
      </c>
      <c r="AU153">
        <v>2.8</v>
      </c>
      <c r="AV153" t="s">
        <v>400</v>
      </c>
      <c r="AW153" t="s">
        <v>7358</v>
      </c>
    </row>
    <row r="154" spans="1:50">
      <c r="A154" s="1">
        <f>HYPERLINK("https://lsnyc.legalserver.org/matter/dynamic-profile/view/1850763","17-1850763")</f>
        <v>0</v>
      </c>
      <c r="B154" t="s">
        <v>55</v>
      </c>
      <c r="C154" t="s">
        <v>104</v>
      </c>
      <c r="D154" t="s">
        <v>222</v>
      </c>
      <c r="E154" t="s">
        <v>656</v>
      </c>
      <c r="F154" t="s">
        <v>812</v>
      </c>
      <c r="G154" t="s">
        <v>1687</v>
      </c>
      <c r="H154" t="s">
        <v>2573</v>
      </c>
      <c r="I154" t="s">
        <v>3347</v>
      </c>
      <c r="J154" t="s">
        <v>3604</v>
      </c>
      <c r="K154">
        <v>10035</v>
      </c>
      <c r="L154" t="s">
        <v>3610</v>
      </c>
      <c r="M154" t="s">
        <v>3610</v>
      </c>
      <c r="O154" t="s">
        <v>4211</v>
      </c>
      <c r="P154" t="s">
        <v>4245</v>
      </c>
      <c r="Q154" t="s">
        <v>4250</v>
      </c>
      <c r="R154" t="s">
        <v>4258</v>
      </c>
      <c r="S154" t="s">
        <v>3611</v>
      </c>
      <c r="U154" t="s">
        <v>4268</v>
      </c>
      <c r="V154" t="s">
        <v>4274</v>
      </c>
      <c r="W154" t="s">
        <v>391</v>
      </c>
      <c r="X154">
        <v>233</v>
      </c>
      <c r="Y154" t="s">
        <v>4351</v>
      </c>
      <c r="Z154" t="s">
        <v>4361</v>
      </c>
      <c r="AA154" t="s">
        <v>4373</v>
      </c>
      <c r="AB154" t="s">
        <v>4523</v>
      </c>
      <c r="AD154" t="s">
        <v>5951</v>
      </c>
      <c r="AE154">
        <v>20</v>
      </c>
      <c r="AF154" t="s">
        <v>7101</v>
      </c>
      <c r="AG154" t="s">
        <v>3745</v>
      </c>
      <c r="AH154">
        <v>5</v>
      </c>
      <c r="AI154">
        <v>1</v>
      </c>
      <c r="AJ154">
        <v>0</v>
      </c>
      <c r="AK154">
        <v>23.18</v>
      </c>
      <c r="AN154" t="s">
        <v>7138</v>
      </c>
      <c r="AO154">
        <v>2796</v>
      </c>
      <c r="AU154">
        <v>0.8</v>
      </c>
      <c r="AV154" t="s">
        <v>386</v>
      </c>
      <c r="AW154" t="s">
        <v>7357</v>
      </c>
    </row>
    <row r="155" spans="1:50">
      <c r="A155" s="1">
        <f>HYPERLINK("https://lsnyc.legalserver.org/matter/dynamic-profile/view/0818153","16-0818153")</f>
        <v>0</v>
      </c>
      <c r="B155" t="s">
        <v>61</v>
      </c>
      <c r="C155" t="s">
        <v>104</v>
      </c>
      <c r="D155" t="s">
        <v>223</v>
      </c>
      <c r="E155" t="s">
        <v>662</v>
      </c>
      <c r="F155" t="s">
        <v>813</v>
      </c>
      <c r="G155" t="s">
        <v>1688</v>
      </c>
      <c r="H155" t="s">
        <v>2574</v>
      </c>
      <c r="I155" t="s">
        <v>3348</v>
      </c>
      <c r="J155" t="s">
        <v>3604</v>
      </c>
      <c r="K155">
        <v>10034</v>
      </c>
      <c r="L155" t="s">
        <v>3610</v>
      </c>
      <c r="M155" t="s">
        <v>3610</v>
      </c>
      <c r="N155" t="s">
        <v>3678</v>
      </c>
      <c r="O155" t="s">
        <v>4210</v>
      </c>
      <c r="P155" t="s">
        <v>4241</v>
      </c>
      <c r="Q155" t="s">
        <v>4248</v>
      </c>
      <c r="R155" t="s">
        <v>4258</v>
      </c>
      <c r="S155" t="s">
        <v>3611</v>
      </c>
      <c r="U155" t="s">
        <v>4268</v>
      </c>
      <c r="W155" t="s">
        <v>4287</v>
      </c>
      <c r="X155">
        <v>1489</v>
      </c>
      <c r="Y155" t="s">
        <v>4351</v>
      </c>
      <c r="Z155" t="s">
        <v>4353</v>
      </c>
      <c r="AA155" t="s">
        <v>4375</v>
      </c>
      <c r="AB155" t="s">
        <v>4524</v>
      </c>
      <c r="AC155" t="s">
        <v>5794</v>
      </c>
      <c r="AD155" t="s">
        <v>5952</v>
      </c>
      <c r="AE155">
        <v>26</v>
      </c>
      <c r="AF155" t="s">
        <v>7101</v>
      </c>
      <c r="AG155" t="s">
        <v>3745</v>
      </c>
      <c r="AH155">
        <v>2</v>
      </c>
      <c r="AI155">
        <v>2</v>
      </c>
      <c r="AJ155">
        <v>0</v>
      </c>
      <c r="AK155">
        <v>23.53</v>
      </c>
      <c r="AN155" t="s">
        <v>7138</v>
      </c>
      <c r="AO155">
        <v>3770</v>
      </c>
      <c r="AU155">
        <v>72.59999999999999</v>
      </c>
      <c r="AV155" t="s">
        <v>615</v>
      </c>
      <c r="AW155" t="s">
        <v>7345</v>
      </c>
    </row>
    <row r="156" spans="1:50">
      <c r="A156" s="1">
        <f>HYPERLINK("https://lsnyc.legalserver.org/matter/dynamic-profile/view/1868101","18-1868101")</f>
        <v>0</v>
      </c>
      <c r="B156" t="s">
        <v>55</v>
      </c>
      <c r="C156" t="s">
        <v>104</v>
      </c>
      <c r="D156" t="s">
        <v>224</v>
      </c>
      <c r="E156" t="s">
        <v>329</v>
      </c>
      <c r="F156" t="s">
        <v>814</v>
      </c>
      <c r="G156" t="s">
        <v>1579</v>
      </c>
      <c r="H156" t="s">
        <v>2575</v>
      </c>
      <c r="I156" t="s">
        <v>3349</v>
      </c>
      <c r="J156" t="s">
        <v>3604</v>
      </c>
      <c r="K156">
        <v>10029</v>
      </c>
      <c r="L156" t="s">
        <v>3610</v>
      </c>
      <c r="M156" t="s">
        <v>3610</v>
      </c>
      <c r="O156" t="s">
        <v>4211</v>
      </c>
      <c r="P156" t="s">
        <v>4242</v>
      </c>
      <c r="Q156" t="s">
        <v>4250</v>
      </c>
      <c r="R156" t="s">
        <v>4258</v>
      </c>
      <c r="S156" t="s">
        <v>3610</v>
      </c>
      <c r="U156" t="s">
        <v>4268</v>
      </c>
      <c r="V156" t="s">
        <v>4274</v>
      </c>
      <c r="W156" t="s">
        <v>224</v>
      </c>
      <c r="X156">
        <v>1582.52</v>
      </c>
      <c r="Y156" t="s">
        <v>4351</v>
      </c>
      <c r="Z156" t="s">
        <v>4357</v>
      </c>
      <c r="AA156" t="s">
        <v>4373</v>
      </c>
      <c r="AB156" t="s">
        <v>4525</v>
      </c>
      <c r="AD156" t="s">
        <v>5953</v>
      </c>
      <c r="AE156">
        <v>81</v>
      </c>
      <c r="AF156" t="s">
        <v>7101</v>
      </c>
      <c r="AG156" t="s">
        <v>7116</v>
      </c>
      <c r="AH156">
        <v>6</v>
      </c>
      <c r="AI156">
        <v>2</v>
      </c>
      <c r="AJ156">
        <v>0</v>
      </c>
      <c r="AK156">
        <v>23.69</v>
      </c>
      <c r="AN156" t="s">
        <v>7138</v>
      </c>
      <c r="AO156">
        <v>3900</v>
      </c>
      <c r="AU156">
        <v>1.7</v>
      </c>
      <c r="AV156" t="s">
        <v>137</v>
      </c>
      <c r="AW156" t="s">
        <v>7358</v>
      </c>
    </row>
    <row r="157" spans="1:50">
      <c r="A157" s="1">
        <f>HYPERLINK("https://lsnyc.legalserver.org/matter/dynamic-profile/view/1867389","18-1867389")</f>
        <v>0</v>
      </c>
      <c r="B157" t="s">
        <v>62</v>
      </c>
      <c r="C157" t="s">
        <v>104</v>
      </c>
      <c r="D157" t="s">
        <v>225</v>
      </c>
      <c r="E157" t="s">
        <v>192</v>
      </c>
      <c r="F157" t="s">
        <v>815</v>
      </c>
      <c r="G157" t="s">
        <v>1689</v>
      </c>
      <c r="H157" t="s">
        <v>2576</v>
      </c>
      <c r="I157" t="s">
        <v>3350</v>
      </c>
      <c r="J157" t="s">
        <v>3604</v>
      </c>
      <c r="K157">
        <v>10040</v>
      </c>
      <c r="L157" t="s">
        <v>3610</v>
      </c>
      <c r="M157" t="s">
        <v>3610</v>
      </c>
      <c r="N157" t="s">
        <v>3679</v>
      </c>
      <c r="P157" t="s">
        <v>4241</v>
      </c>
      <c r="Q157" t="s">
        <v>4248</v>
      </c>
      <c r="R157" t="s">
        <v>4258</v>
      </c>
      <c r="S157" t="s">
        <v>3611</v>
      </c>
      <c r="U157" t="s">
        <v>4268</v>
      </c>
      <c r="W157" t="s">
        <v>225</v>
      </c>
      <c r="X157">
        <v>1155.06</v>
      </c>
      <c r="Y157" t="s">
        <v>4351</v>
      </c>
      <c r="Z157" t="s">
        <v>4353</v>
      </c>
      <c r="AA157" t="s">
        <v>4388</v>
      </c>
      <c r="AB157" t="s">
        <v>4526</v>
      </c>
      <c r="AC157" t="s">
        <v>5795</v>
      </c>
      <c r="AD157" t="s">
        <v>5954</v>
      </c>
      <c r="AE157">
        <v>88</v>
      </c>
      <c r="AG157" t="s">
        <v>3745</v>
      </c>
      <c r="AH157">
        <v>25</v>
      </c>
      <c r="AI157">
        <v>2</v>
      </c>
      <c r="AJ157">
        <v>0</v>
      </c>
      <c r="AK157">
        <v>23.77</v>
      </c>
      <c r="AN157" t="s">
        <v>7138</v>
      </c>
      <c r="AO157">
        <v>3912</v>
      </c>
      <c r="AU157">
        <v>14.7</v>
      </c>
      <c r="AV157" t="s">
        <v>7294</v>
      </c>
      <c r="AW157" t="s">
        <v>7342</v>
      </c>
    </row>
    <row r="158" spans="1:50">
      <c r="A158" s="1">
        <f>HYPERLINK("https://lsnyc.legalserver.org/matter/dynamic-profile/view/1881968","18-1881968")</f>
        <v>0</v>
      </c>
      <c r="B158" t="s">
        <v>52</v>
      </c>
      <c r="C158" t="s">
        <v>104</v>
      </c>
      <c r="D158" t="s">
        <v>203</v>
      </c>
      <c r="E158" t="s">
        <v>196</v>
      </c>
      <c r="F158" t="s">
        <v>816</v>
      </c>
      <c r="G158" t="s">
        <v>1690</v>
      </c>
      <c r="H158" t="s">
        <v>2577</v>
      </c>
      <c r="I158" t="s">
        <v>3287</v>
      </c>
      <c r="J158" t="s">
        <v>3604</v>
      </c>
      <c r="K158">
        <v>10033</v>
      </c>
      <c r="L158" t="s">
        <v>3610</v>
      </c>
      <c r="M158" t="s">
        <v>3610</v>
      </c>
      <c r="P158" t="s">
        <v>4242</v>
      </c>
      <c r="Q158" t="s">
        <v>4250</v>
      </c>
      <c r="R158" t="s">
        <v>4257</v>
      </c>
      <c r="S158" t="s">
        <v>3611</v>
      </c>
      <c r="U158" t="s">
        <v>4268</v>
      </c>
      <c r="W158" t="s">
        <v>203</v>
      </c>
      <c r="X158">
        <v>0</v>
      </c>
      <c r="Y158" t="s">
        <v>4351</v>
      </c>
      <c r="Z158" t="s">
        <v>4355</v>
      </c>
      <c r="AA158" t="s">
        <v>4373</v>
      </c>
      <c r="AB158" t="s">
        <v>4527</v>
      </c>
      <c r="AD158" t="s">
        <v>5955</v>
      </c>
      <c r="AE158">
        <v>0</v>
      </c>
      <c r="AF158" t="s">
        <v>7101</v>
      </c>
      <c r="AG158" t="s">
        <v>3745</v>
      </c>
      <c r="AH158">
        <v>1</v>
      </c>
      <c r="AI158">
        <v>1</v>
      </c>
      <c r="AJ158">
        <v>0</v>
      </c>
      <c r="AK158">
        <v>23.77</v>
      </c>
      <c r="AL158" t="s">
        <v>369</v>
      </c>
      <c r="AM158" t="s">
        <v>7133</v>
      </c>
      <c r="AN158" t="s">
        <v>7138</v>
      </c>
      <c r="AO158">
        <v>2886</v>
      </c>
      <c r="AU158">
        <v>4.8</v>
      </c>
      <c r="AV158" t="s">
        <v>235</v>
      </c>
      <c r="AW158" t="s">
        <v>7342</v>
      </c>
      <c r="AX158" t="s">
        <v>7377</v>
      </c>
    </row>
    <row r="159" spans="1:50">
      <c r="A159" s="1">
        <f>HYPERLINK("https://lsnyc.legalserver.org/matter/dynamic-profile/view/1857998","18-1857998")</f>
        <v>0</v>
      </c>
      <c r="B159" t="s">
        <v>81</v>
      </c>
      <c r="C159" t="s">
        <v>104</v>
      </c>
      <c r="D159" t="s">
        <v>226</v>
      </c>
      <c r="E159" t="s">
        <v>662</v>
      </c>
      <c r="F159" t="s">
        <v>747</v>
      </c>
      <c r="G159" t="s">
        <v>1691</v>
      </c>
      <c r="H159" t="s">
        <v>2578</v>
      </c>
      <c r="I159" t="s">
        <v>3320</v>
      </c>
      <c r="J159" t="s">
        <v>3604</v>
      </c>
      <c r="K159">
        <v>10040</v>
      </c>
      <c r="L159" t="s">
        <v>3610</v>
      </c>
      <c r="M159" t="s">
        <v>3609</v>
      </c>
      <c r="N159" t="s">
        <v>3680</v>
      </c>
      <c r="O159" t="s">
        <v>4209</v>
      </c>
      <c r="P159" t="s">
        <v>4242</v>
      </c>
      <c r="Q159" t="s">
        <v>4250</v>
      </c>
      <c r="R159" t="s">
        <v>4258</v>
      </c>
      <c r="S159" t="s">
        <v>3611</v>
      </c>
      <c r="T159" t="s">
        <v>4259</v>
      </c>
      <c r="U159" t="s">
        <v>4268</v>
      </c>
      <c r="W159" t="s">
        <v>428</v>
      </c>
      <c r="X159">
        <v>2200</v>
      </c>
      <c r="Y159" t="s">
        <v>4351</v>
      </c>
      <c r="Z159" t="s">
        <v>4354</v>
      </c>
      <c r="AA159" t="s">
        <v>4373</v>
      </c>
      <c r="AB159" t="s">
        <v>4528</v>
      </c>
      <c r="AD159" t="s">
        <v>5956</v>
      </c>
      <c r="AE159">
        <v>66</v>
      </c>
      <c r="AF159" t="s">
        <v>7101</v>
      </c>
      <c r="AG159" t="s">
        <v>4228</v>
      </c>
      <c r="AH159">
        <v>-1</v>
      </c>
      <c r="AI159">
        <v>1</v>
      </c>
      <c r="AJ159">
        <v>1</v>
      </c>
      <c r="AK159">
        <v>25.02</v>
      </c>
      <c r="AN159" t="s">
        <v>7138</v>
      </c>
      <c r="AO159">
        <v>4063</v>
      </c>
      <c r="AU159">
        <v>1.45</v>
      </c>
      <c r="AV159" t="s">
        <v>581</v>
      </c>
      <c r="AW159" t="s">
        <v>7344</v>
      </c>
    </row>
    <row r="160" spans="1:50">
      <c r="A160" s="1">
        <f>HYPERLINK("https://lsnyc.legalserver.org/matter/dynamic-profile/view/1884197","18-1884197")</f>
        <v>0</v>
      </c>
      <c r="B160" t="s">
        <v>61</v>
      </c>
      <c r="C160" t="s">
        <v>105</v>
      </c>
      <c r="D160" t="s">
        <v>227</v>
      </c>
      <c r="F160" t="s">
        <v>817</v>
      </c>
      <c r="G160" t="s">
        <v>1676</v>
      </c>
      <c r="H160" t="s">
        <v>2579</v>
      </c>
      <c r="I160">
        <v>21</v>
      </c>
      <c r="J160" t="s">
        <v>3604</v>
      </c>
      <c r="K160">
        <v>10034</v>
      </c>
      <c r="L160" t="s">
        <v>3610</v>
      </c>
      <c r="M160" t="s">
        <v>3610</v>
      </c>
      <c r="N160" t="s">
        <v>3681</v>
      </c>
      <c r="O160" t="s">
        <v>4219</v>
      </c>
      <c r="P160" t="s">
        <v>4241</v>
      </c>
      <c r="R160" t="s">
        <v>4258</v>
      </c>
      <c r="S160" t="s">
        <v>3611</v>
      </c>
      <c r="U160" t="s">
        <v>4268</v>
      </c>
      <c r="V160" t="s">
        <v>4277</v>
      </c>
      <c r="W160" t="s">
        <v>227</v>
      </c>
      <c r="X160">
        <v>1382</v>
      </c>
      <c r="Y160" t="s">
        <v>4351</v>
      </c>
      <c r="Z160" t="s">
        <v>4354</v>
      </c>
      <c r="AB160" t="s">
        <v>4529</v>
      </c>
      <c r="AD160" t="s">
        <v>5957</v>
      </c>
      <c r="AE160">
        <v>93</v>
      </c>
      <c r="AF160" t="s">
        <v>7101</v>
      </c>
      <c r="AG160" t="s">
        <v>3745</v>
      </c>
      <c r="AH160">
        <v>5</v>
      </c>
      <c r="AI160">
        <v>1</v>
      </c>
      <c r="AJ160">
        <v>2</v>
      </c>
      <c r="AK160">
        <v>25.02</v>
      </c>
      <c r="AN160" t="s">
        <v>7138</v>
      </c>
      <c r="AO160">
        <v>5200</v>
      </c>
      <c r="AU160">
        <v>67.18000000000001</v>
      </c>
      <c r="AV160" t="s">
        <v>7293</v>
      </c>
      <c r="AW160" t="s">
        <v>7342</v>
      </c>
    </row>
    <row r="161" spans="1:50">
      <c r="A161" s="1">
        <f>HYPERLINK("https://lsnyc.legalserver.org/matter/dynamic-profile/view/1841329","17-1841329")</f>
        <v>0</v>
      </c>
      <c r="B161" t="s">
        <v>82</v>
      </c>
      <c r="C161" t="s">
        <v>104</v>
      </c>
      <c r="D161" t="s">
        <v>228</v>
      </c>
      <c r="E161" t="s">
        <v>271</v>
      </c>
      <c r="F161" t="s">
        <v>818</v>
      </c>
      <c r="G161" t="s">
        <v>1692</v>
      </c>
      <c r="H161" t="s">
        <v>2580</v>
      </c>
      <c r="I161" t="s">
        <v>3340</v>
      </c>
      <c r="J161" t="s">
        <v>3604</v>
      </c>
      <c r="K161">
        <v>10032</v>
      </c>
      <c r="L161" t="s">
        <v>3610</v>
      </c>
      <c r="M161" t="s">
        <v>3609</v>
      </c>
      <c r="O161" t="s">
        <v>4211</v>
      </c>
      <c r="P161" t="s">
        <v>4242</v>
      </c>
      <c r="Q161" t="s">
        <v>4250</v>
      </c>
      <c r="R161" t="s">
        <v>4257</v>
      </c>
      <c r="S161" t="s">
        <v>3611</v>
      </c>
      <c r="U161" t="s">
        <v>4268</v>
      </c>
      <c r="W161" t="s">
        <v>133</v>
      </c>
      <c r="X161">
        <v>1056</v>
      </c>
      <c r="Y161" t="s">
        <v>4351</v>
      </c>
      <c r="Z161" t="s">
        <v>4355</v>
      </c>
      <c r="AA161" t="s">
        <v>4373</v>
      </c>
      <c r="AB161" t="s">
        <v>4530</v>
      </c>
      <c r="AD161" t="s">
        <v>5958</v>
      </c>
      <c r="AE161">
        <v>65</v>
      </c>
      <c r="AF161" t="s">
        <v>7101</v>
      </c>
      <c r="AH161">
        <v>36</v>
      </c>
      <c r="AI161">
        <v>1</v>
      </c>
      <c r="AJ161">
        <v>0</v>
      </c>
      <c r="AK161">
        <v>25.02</v>
      </c>
      <c r="AL161" t="s">
        <v>369</v>
      </c>
      <c r="AN161" t="s">
        <v>7138</v>
      </c>
      <c r="AO161">
        <v>30318</v>
      </c>
      <c r="AU161">
        <v>2.5</v>
      </c>
      <c r="AV161" t="s">
        <v>322</v>
      </c>
      <c r="AW161" t="s">
        <v>102</v>
      </c>
    </row>
    <row r="162" spans="1:50">
      <c r="A162" s="1">
        <f>HYPERLINK("https://lsnyc.legalserver.org/matter/dynamic-profile/view/1877585","18-1877585")</f>
        <v>0</v>
      </c>
      <c r="B162" t="s">
        <v>81</v>
      </c>
      <c r="C162" t="s">
        <v>104</v>
      </c>
      <c r="D162" t="s">
        <v>108</v>
      </c>
      <c r="E162" t="s">
        <v>662</v>
      </c>
      <c r="F162" t="s">
        <v>819</v>
      </c>
      <c r="G162" t="s">
        <v>1693</v>
      </c>
      <c r="H162" t="s">
        <v>2581</v>
      </c>
      <c r="J162" t="s">
        <v>3604</v>
      </c>
      <c r="K162">
        <v>10034</v>
      </c>
      <c r="L162" t="s">
        <v>3611</v>
      </c>
      <c r="M162" t="s">
        <v>3610</v>
      </c>
      <c r="N162" t="s">
        <v>3682</v>
      </c>
      <c r="O162" t="s">
        <v>4209</v>
      </c>
      <c r="P162" t="s">
        <v>4242</v>
      </c>
      <c r="Q162" t="s">
        <v>4250</v>
      </c>
      <c r="R162" t="s">
        <v>4258</v>
      </c>
      <c r="S162" t="s">
        <v>3611</v>
      </c>
      <c r="U162" t="s">
        <v>4268</v>
      </c>
      <c r="V162" t="s">
        <v>4277</v>
      </c>
      <c r="X162">
        <v>1500</v>
      </c>
      <c r="Y162" t="s">
        <v>4351</v>
      </c>
      <c r="Z162" t="s">
        <v>4353</v>
      </c>
      <c r="AA162" t="s">
        <v>4373</v>
      </c>
      <c r="AB162" t="s">
        <v>4531</v>
      </c>
      <c r="AD162" t="s">
        <v>5959</v>
      </c>
      <c r="AE162">
        <v>69</v>
      </c>
      <c r="AF162" t="s">
        <v>7105</v>
      </c>
      <c r="AG162" t="s">
        <v>3745</v>
      </c>
      <c r="AH162">
        <v>0</v>
      </c>
      <c r="AI162">
        <v>1</v>
      </c>
      <c r="AJ162">
        <v>4</v>
      </c>
      <c r="AK162">
        <v>25.37</v>
      </c>
      <c r="AN162" t="s">
        <v>7138</v>
      </c>
      <c r="AO162">
        <v>7464</v>
      </c>
      <c r="AU162">
        <v>0.1</v>
      </c>
      <c r="AV162" t="s">
        <v>7295</v>
      </c>
      <c r="AW162" t="s">
        <v>7348</v>
      </c>
    </row>
    <row r="163" spans="1:50">
      <c r="A163" s="1">
        <f>HYPERLINK("https://lsnyc.legalserver.org/matter/dynamic-profile/view/1875112","18-1875112")</f>
        <v>0</v>
      </c>
      <c r="B163" t="s">
        <v>53</v>
      </c>
      <c r="C163" t="s">
        <v>105</v>
      </c>
      <c r="D163" t="s">
        <v>229</v>
      </c>
      <c r="F163" t="s">
        <v>820</v>
      </c>
      <c r="G163" t="s">
        <v>1694</v>
      </c>
      <c r="H163" t="s">
        <v>2565</v>
      </c>
      <c r="J163" t="s">
        <v>3604</v>
      </c>
      <c r="K163">
        <v>10031</v>
      </c>
      <c r="L163" t="s">
        <v>3610</v>
      </c>
      <c r="M163" t="s">
        <v>3610</v>
      </c>
      <c r="N163" t="s">
        <v>3683</v>
      </c>
      <c r="O163" t="s">
        <v>4213</v>
      </c>
      <c r="P163" t="s">
        <v>4242</v>
      </c>
      <c r="R163" t="s">
        <v>4258</v>
      </c>
      <c r="S163" t="s">
        <v>3610</v>
      </c>
      <c r="U163" t="s">
        <v>4268</v>
      </c>
      <c r="V163" t="s">
        <v>4274</v>
      </c>
      <c r="W163" t="s">
        <v>229</v>
      </c>
      <c r="X163">
        <v>1712</v>
      </c>
      <c r="Y163" t="s">
        <v>4351</v>
      </c>
      <c r="Z163" t="s">
        <v>4352</v>
      </c>
      <c r="AB163" t="s">
        <v>4532</v>
      </c>
      <c r="AC163" t="s">
        <v>5796</v>
      </c>
      <c r="AE163">
        <v>44</v>
      </c>
      <c r="AF163" t="s">
        <v>7106</v>
      </c>
      <c r="AG163" t="s">
        <v>7116</v>
      </c>
      <c r="AH163">
        <v>14</v>
      </c>
      <c r="AI163">
        <v>2</v>
      </c>
      <c r="AJ163">
        <v>1</v>
      </c>
      <c r="AK163">
        <v>25.52</v>
      </c>
      <c r="AN163" t="s">
        <v>7139</v>
      </c>
      <c r="AO163">
        <v>5304</v>
      </c>
      <c r="AP163" t="s">
        <v>7165</v>
      </c>
      <c r="AU163">
        <v>0.3</v>
      </c>
      <c r="AV163" t="s">
        <v>7293</v>
      </c>
      <c r="AW163" t="s">
        <v>7341</v>
      </c>
    </row>
    <row r="164" spans="1:50">
      <c r="A164" s="1">
        <f>HYPERLINK("https://lsnyc.legalserver.org/matter/dynamic-profile/view/0824585","17-0824585")</f>
        <v>0</v>
      </c>
      <c r="B164" t="s">
        <v>51</v>
      </c>
      <c r="C164" t="s">
        <v>104</v>
      </c>
      <c r="D164" t="s">
        <v>230</v>
      </c>
      <c r="E164" t="s">
        <v>293</v>
      </c>
      <c r="F164" t="s">
        <v>821</v>
      </c>
      <c r="G164" t="s">
        <v>1695</v>
      </c>
      <c r="H164" t="s">
        <v>2582</v>
      </c>
      <c r="I164" t="s">
        <v>3351</v>
      </c>
      <c r="J164" t="s">
        <v>3604</v>
      </c>
      <c r="K164">
        <v>10035</v>
      </c>
      <c r="L164" t="s">
        <v>3610</v>
      </c>
      <c r="M164" t="s">
        <v>3611</v>
      </c>
      <c r="O164" t="s">
        <v>4211</v>
      </c>
      <c r="P164" t="s">
        <v>4244</v>
      </c>
      <c r="Q164" t="s">
        <v>4249</v>
      </c>
      <c r="R164" t="s">
        <v>4258</v>
      </c>
      <c r="S164" t="s">
        <v>3611</v>
      </c>
      <c r="U164" t="s">
        <v>4268</v>
      </c>
      <c r="V164" t="s">
        <v>4274</v>
      </c>
      <c r="W164" t="s">
        <v>230</v>
      </c>
      <c r="X164">
        <v>450</v>
      </c>
      <c r="Y164" t="s">
        <v>4351</v>
      </c>
      <c r="Z164" t="s">
        <v>4357</v>
      </c>
      <c r="AA164" t="s">
        <v>4377</v>
      </c>
      <c r="AB164" t="s">
        <v>4533</v>
      </c>
      <c r="AD164" t="s">
        <v>5960</v>
      </c>
      <c r="AE164">
        <v>92</v>
      </c>
      <c r="AF164" t="s">
        <v>7101</v>
      </c>
      <c r="AG164" t="s">
        <v>7116</v>
      </c>
      <c r="AH164">
        <v>25</v>
      </c>
      <c r="AI164">
        <v>4</v>
      </c>
      <c r="AJ164">
        <v>3</v>
      </c>
      <c r="AK164">
        <v>26.14</v>
      </c>
      <c r="AN164" t="s">
        <v>7138</v>
      </c>
      <c r="AO164">
        <v>9600</v>
      </c>
      <c r="AP164" t="s">
        <v>7166</v>
      </c>
      <c r="AU164">
        <v>1.6</v>
      </c>
      <c r="AV164" t="s">
        <v>7296</v>
      </c>
      <c r="AW164" t="s">
        <v>7341</v>
      </c>
    </row>
    <row r="165" spans="1:50">
      <c r="A165" s="1">
        <f>HYPERLINK("https://lsnyc.legalserver.org/matter/dynamic-profile/view/0824588","17-0824588")</f>
        <v>0</v>
      </c>
      <c r="B165" t="s">
        <v>51</v>
      </c>
      <c r="C165" t="s">
        <v>104</v>
      </c>
      <c r="D165" t="s">
        <v>230</v>
      </c>
      <c r="E165" t="s">
        <v>293</v>
      </c>
      <c r="F165" t="s">
        <v>821</v>
      </c>
      <c r="G165" t="s">
        <v>1695</v>
      </c>
      <c r="H165" t="s">
        <v>2582</v>
      </c>
      <c r="I165" t="s">
        <v>3351</v>
      </c>
      <c r="J165" t="s">
        <v>3604</v>
      </c>
      <c r="K165">
        <v>10035</v>
      </c>
      <c r="L165" t="s">
        <v>3611</v>
      </c>
      <c r="M165" t="s">
        <v>3610</v>
      </c>
      <c r="O165" t="s">
        <v>4211</v>
      </c>
      <c r="P165" t="s">
        <v>4244</v>
      </c>
      <c r="Q165" t="s">
        <v>4250</v>
      </c>
      <c r="R165" t="s">
        <v>4258</v>
      </c>
      <c r="S165" t="s">
        <v>3611</v>
      </c>
      <c r="U165" t="s">
        <v>4268</v>
      </c>
      <c r="V165" t="s">
        <v>4274</v>
      </c>
      <c r="W165" t="s">
        <v>405</v>
      </c>
      <c r="X165">
        <v>450</v>
      </c>
      <c r="Y165" t="s">
        <v>4351</v>
      </c>
      <c r="Z165" t="s">
        <v>4357</v>
      </c>
      <c r="AA165" t="s">
        <v>4373</v>
      </c>
      <c r="AB165" t="s">
        <v>4533</v>
      </c>
      <c r="AD165" t="s">
        <v>5960</v>
      </c>
      <c r="AE165">
        <v>92</v>
      </c>
      <c r="AF165" t="s">
        <v>7101</v>
      </c>
      <c r="AG165" t="s">
        <v>7116</v>
      </c>
      <c r="AH165">
        <v>25</v>
      </c>
      <c r="AI165">
        <v>4</v>
      </c>
      <c r="AJ165">
        <v>3</v>
      </c>
      <c r="AK165">
        <v>26.14</v>
      </c>
      <c r="AN165" t="s">
        <v>7138</v>
      </c>
      <c r="AO165">
        <v>9600</v>
      </c>
      <c r="AU165">
        <v>0.8</v>
      </c>
      <c r="AV165" t="s">
        <v>459</v>
      </c>
      <c r="AW165" t="s">
        <v>7341</v>
      </c>
    </row>
    <row r="166" spans="1:50">
      <c r="A166" s="1">
        <f>HYPERLINK("https://lsnyc.legalserver.org/matter/dynamic-profile/view/0783887","15-0783887")</f>
        <v>0</v>
      </c>
      <c r="B166" t="s">
        <v>72</v>
      </c>
      <c r="C166" t="s">
        <v>105</v>
      </c>
      <c r="D166" t="s">
        <v>231</v>
      </c>
      <c r="F166" t="s">
        <v>773</v>
      </c>
      <c r="G166" t="s">
        <v>1647</v>
      </c>
      <c r="H166" t="s">
        <v>2532</v>
      </c>
      <c r="I166">
        <v>427</v>
      </c>
      <c r="J166" t="s">
        <v>3604</v>
      </c>
      <c r="K166">
        <v>10029</v>
      </c>
      <c r="L166" t="s">
        <v>3611</v>
      </c>
      <c r="M166" t="s">
        <v>3609</v>
      </c>
      <c r="N166" t="s">
        <v>3684</v>
      </c>
      <c r="O166" t="s">
        <v>4210</v>
      </c>
      <c r="P166" t="s">
        <v>4241</v>
      </c>
      <c r="R166" t="s">
        <v>4258</v>
      </c>
      <c r="S166" t="s">
        <v>3611</v>
      </c>
      <c r="U166" t="s">
        <v>4268</v>
      </c>
      <c r="W166" t="s">
        <v>4288</v>
      </c>
      <c r="X166">
        <v>0</v>
      </c>
      <c r="Y166" t="s">
        <v>4351</v>
      </c>
      <c r="Z166" t="s">
        <v>4362</v>
      </c>
      <c r="AB166" t="s">
        <v>4480</v>
      </c>
      <c r="AD166" t="s">
        <v>5912</v>
      </c>
      <c r="AE166">
        <v>135</v>
      </c>
      <c r="AF166" t="s">
        <v>7106</v>
      </c>
      <c r="AG166" t="s">
        <v>3745</v>
      </c>
      <c r="AH166">
        <v>29</v>
      </c>
      <c r="AI166">
        <v>1</v>
      </c>
      <c r="AJ166">
        <v>2</v>
      </c>
      <c r="AK166">
        <v>26.28</v>
      </c>
      <c r="AN166" t="s">
        <v>7138</v>
      </c>
      <c r="AO166">
        <v>5280</v>
      </c>
      <c r="AU166">
        <v>181.37</v>
      </c>
      <c r="AV166" t="s">
        <v>7286</v>
      </c>
      <c r="AW166" t="s">
        <v>7341</v>
      </c>
    </row>
    <row r="167" spans="1:50">
      <c r="A167" s="1">
        <f>HYPERLINK("https://lsnyc.legalserver.org/matter/dynamic-profile/view/1860498","18-1860498")</f>
        <v>0</v>
      </c>
      <c r="B167" t="s">
        <v>81</v>
      </c>
      <c r="C167" t="s">
        <v>104</v>
      </c>
      <c r="D167" t="s">
        <v>232</v>
      </c>
      <c r="E167" t="s">
        <v>335</v>
      </c>
      <c r="F167" t="s">
        <v>822</v>
      </c>
      <c r="G167" t="s">
        <v>1600</v>
      </c>
      <c r="H167" t="s">
        <v>2583</v>
      </c>
      <c r="I167" t="s">
        <v>3315</v>
      </c>
      <c r="J167" t="s">
        <v>3604</v>
      </c>
      <c r="K167">
        <v>10027</v>
      </c>
      <c r="L167" t="s">
        <v>3610</v>
      </c>
      <c r="M167" t="s">
        <v>3610</v>
      </c>
      <c r="O167" t="s">
        <v>4211</v>
      </c>
      <c r="P167" t="s">
        <v>4242</v>
      </c>
      <c r="Q167" t="s">
        <v>4250</v>
      </c>
      <c r="R167" t="s">
        <v>4258</v>
      </c>
      <c r="T167" t="s">
        <v>4260</v>
      </c>
      <c r="U167" t="s">
        <v>4268</v>
      </c>
      <c r="W167" t="s">
        <v>363</v>
      </c>
      <c r="X167">
        <v>1124</v>
      </c>
      <c r="Y167" t="s">
        <v>4351</v>
      </c>
      <c r="Z167" t="s">
        <v>4357</v>
      </c>
      <c r="AA167" t="s">
        <v>4373</v>
      </c>
      <c r="AB167" t="s">
        <v>4534</v>
      </c>
      <c r="AD167" t="s">
        <v>5961</v>
      </c>
      <c r="AE167">
        <v>36</v>
      </c>
      <c r="AG167" t="s">
        <v>7120</v>
      </c>
      <c r="AH167">
        <v>0</v>
      </c>
      <c r="AI167">
        <v>4</v>
      </c>
      <c r="AJ167">
        <v>0</v>
      </c>
      <c r="AK167">
        <v>26.77</v>
      </c>
      <c r="AN167" t="s">
        <v>7138</v>
      </c>
      <c r="AO167">
        <v>6720</v>
      </c>
      <c r="AU167">
        <v>0.25</v>
      </c>
      <c r="AV167" t="s">
        <v>476</v>
      </c>
      <c r="AW167" t="s">
        <v>7359</v>
      </c>
    </row>
    <row r="168" spans="1:50">
      <c r="A168" s="1">
        <f>HYPERLINK("https://lsnyc.legalserver.org/matter/dynamic-profile/view/1868186","18-1868186")</f>
        <v>0</v>
      </c>
      <c r="B168" t="s">
        <v>53</v>
      </c>
      <c r="C168" t="s">
        <v>105</v>
      </c>
      <c r="D168" t="s">
        <v>233</v>
      </c>
      <c r="F168" t="s">
        <v>823</v>
      </c>
      <c r="G168" t="s">
        <v>1696</v>
      </c>
      <c r="H168" t="s">
        <v>2584</v>
      </c>
      <c r="I168">
        <v>14</v>
      </c>
      <c r="J168" t="s">
        <v>3604</v>
      </c>
      <c r="K168">
        <v>10029</v>
      </c>
      <c r="L168" t="s">
        <v>3610</v>
      </c>
      <c r="M168" t="s">
        <v>3609</v>
      </c>
      <c r="N168" t="s">
        <v>3685</v>
      </c>
      <c r="O168" t="s">
        <v>4209</v>
      </c>
      <c r="P168" t="s">
        <v>4241</v>
      </c>
      <c r="R168" t="s">
        <v>4258</v>
      </c>
      <c r="S168" t="s">
        <v>3611</v>
      </c>
      <c r="U168" t="s">
        <v>4268</v>
      </c>
      <c r="V168" t="s">
        <v>4274</v>
      </c>
      <c r="W168" t="s">
        <v>445</v>
      </c>
      <c r="X168">
        <v>2150</v>
      </c>
      <c r="Y168" t="s">
        <v>4351</v>
      </c>
      <c r="Z168" t="s">
        <v>4352</v>
      </c>
      <c r="AB168" t="s">
        <v>4535</v>
      </c>
      <c r="AE168">
        <v>25</v>
      </c>
      <c r="AF168" t="s">
        <v>7101</v>
      </c>
      <c r="AG168" t="s">
        <v>7121</v>
      </c>
      <c r="AH168">
        <v>8</v>
      </c>
      <c r="AI168">
        <v>2</v>
      </c>
      <c r="AJ168">
        <v>0</v>
      </c>
      <c r="AK168">
        <v>27.41</v>
      </c>
      <c r="AO168">
        <v>4512</v>
      </c>
      <c r="AU168">
        <v>34.5</v>
      </c>
      <c r="AV168" t="s">
        <v>689</v>
      </c>
      <c r="AW168" t="s">
        <v>99</v>
      </c>
    </row>
    <row r="169" spans="1:50">
      <c r="A169" s="1">
        <f>HYPERLINK("https://lsnyc.legalserver.org/matter/dynamic-profile/view/1870310","18-1870310")</f>
        <v>0</v>
      </c>
      <c r="B169" t="s">
        <v>53</v>
      </c>
      <c r="C169" t="s">
        <v>104</v>
      </c>
      <c r="D169" t="s">
        <v>234</v>
      </c>
      <c r="E169" t="s">
        <v>335</v>
      </c>
      <c r="F169" t="s">
        <v>824</v>
      </c>
      <c r="G169" t="s">
        <v>1697</v>
      </c>
      <c r="H169" t="s">
        <v>2585</v>
      </c>
      <c r="I169" t="s">
        <v>3311</v>
      </c>
      <c r="J169" t="s">
        <v>3604</v>
      </c>
      <c r="K169">
        <v>10035</v>
      </c>
      <c r="L169" t="s">
        <v>3610</v>
      </c>
      <c r="M169" t="s">
        <v>3610</v>
      </c>
      <c r="N169" t="s">
        <v>3686</v>
      </c>
      <c r="O169" t="s">
        <v>4210</v>
      </c>
      <c r="P169" t="s">
        <v>4241</v>
      </c>
      <c r="Q169" t="s">
        <v>4248</v>
      </c>
      <c r="R169" t="s">
        <v>4258</v>
      </c>
      <c r="S169" t="s">
        <v>3611</v>
      </c>
      <c r="U169" t="s">
        <v>4268</v>
      </c>
      <c r="V169" t="s">
        <v>4274</v>
      </c>
      <c r="W169" t="s">
        <v>4289</v>
      </c>
      <c r="X169">
        <v>333</v>
      </c>
      <c r="Y169" t="s">
        <v>4351</v>
      </c>
      <c r="Z169" t="s">
        <v>4360</v>
      </c>
      <c r="AA169" t="s">
        <v>4374</v>
      </c>
      <c r="AB169" t="s">
        <v>4536</v>
      </c>
      <c r="AD169" t="s">
        <v>5962</v>
      </c>
      <c r="AE169">
        <v>15</v>
      </c>
      <c r="AF169" t="s">
        <v>7101</v>
      </c>
      <c r="AG169" t="s">
        <v>3745</v>
      </c>
      <c r="AH169">
        <v>29</v>
      </c>
      <c r="AI169">
        <v>3</v>
      </c>
      <c r="AJ169">
        <v>3</v>
      </c>
      <c r="AK169">
        <v>27.49</v>
      </c>
      <c r="AN169" t="s">
        <v>7138</v>
      </c>
      <c r="AO169">
        <v>9276</v>
      </c>
      <c r="AP169" t="s">
        <v>7167</v>
      </c>
      <c r="AR169" t="s">
        <v>7210</v>
      </c>
      <c r="AS169" t="s">
        <v>7231</v>
      </c>
      <c r="AT169" t="s">
        <v>7243</v>
      </c>
      <c r="AU169">
        <v>11.6</v>
      </c>
      <c r="AV169" t="s">
        <v>653</v>
      </c>
      <c r="AW169" t="s">
        <v>7360</v>
      </c>
    </row>
    <row r="170" spans="1:50">
      <c r="A170" s="1">
        <f>HYPERLINK("https://lsnyc.legalserver.org/matter/dynamic-profile/view/1887728","19-1887728")</f>
        <v>0</v>
      </c>
      <c r="B170" t="s">
        <v>68</v>
      </c>
      <c r="C170" t="s">
        <v>105</v>
      </c>
      <c r="D170" t="s">
        <v>235</v>
      </c>
      <c r="F170" t="s">
        <v>796</v>
      </c>
      <c r="G170" t="s">
        <v>1642</v>
      </c>
      <c r="H170" t="s">
        <v>2586</v>
      </c>
      <c r="I170" t="s">
        <v>3315</v>
      </c>
      <c r="J170" t="s">
        <v>3604</v>
      </c>
      <c r="K170">
        <v>10029</v>
      </c>
      <c r="L170" t="s">
        <v>3610</v>
      </c>
      <c r="M170" t="s">
        <v>3610</v>
      </c>
      <c r="N170" t="s">
        <v>3687</v>
      </c>
      <c r="O170" t="s">
        <v>4209</v>
      </c>
      <c r="P170" t="s">
        <v>4246</v>
      </c>
      <c r="R170" t="s">
        <v>4258</v>
      </c>
      <c r="S170" t="s">
        <v>3611</v>
      </c>
      <c r="U170" t="s">
        <v>4268</v>
      </c>
      <c r="V170" t="s">
        <v>4274</v>
      </c>
      <c r="W170" t="s">
        <v>4290</v>
      </c>
      <c r="X170">
        <v>1311</v>
      </c>
      <c r="Y170" t="s">
        <v>4351</v>
      </c>
      <c r="Z170" t="s">
        <v>4358</v>
      </c>
      <c r="AB170" t="s">
        <v>4537</v>
      </c>
      <c r="AC170" t="s">
        <v>5797</v>
      </c>
      <c r="AD170" t="s">
        <v>5963</v>
      </c>
      <c r="AE170">
        <v>13</v>
      </c>
      <c r="AF170" t="s">
        <v>7101</v>
      </c>
      <c r="AG170" t="s">
        <v>7117</v>
      </c>
      <c r="AH170">
        <v>4</v>
      </c>
      <c r="AI170">
        <v>1</v>
      </c>
      <c r="AJ170">
        <v>4</v>
      </c>
      <c r="AK170">
        <v>27.66</v>
      </c>
      <c r="AN170" t="s">
        <v>7139</v>
      </c>
      <c r="AO170">
        <v>8138</v>
      </c>
      <c r="AU170">
        <v>104.2</v>
      </c>
      <c r="AV170" t="s">
        <v>512</v>
      </c>
      <c r="AW170" t="s">
        <v>7357</v>
      </c>
    </row>
    <row r="171" spans="1:50">
      <c r="A171" s="1">
        <f>HYPERLINK("https://lsnyc.legalserver.org/matter/dynamic-profile/view/1880854","18-1880854")</f>
        <v>0</v>
      </c>
      <c r="B171" t="s">
        <v>55</v>
      </c>
      <c r="C171" t="s">
        <v>104</v>
      </c>
      <c r="D171" t="s">
        <v>236</v>
      </c>
      <c r="E171" t="s">
        <v>227</v>
      </c>
      <c r="F171" t="s">
        <v>825</v>
      </c>
      <c r="G171" t="s">
        <v>1698</v>
      </c>
      <c r="H171" t="s">
        <v>2587</v>
      </c>
      <c r="I171" t="s">
        <v>3344</v>
      </c>
      <c r="J171" t="s">
        <v>3604</v>
      </c>
      <c r="K171">
        <v>10029</v>
      </c>
      <c r="L171" t="s">
        <v>3610</v>
      </c>
      <c r="M171" t="s">
        <v>3610</v>
      </c>
      <c r="O171" t="s">
        <v>4211</v>
      </c>
      <c r="P171" t="s">
        <v>4242</v>
      </c>
      <c r="Q171" t="s">
        <v>4250</v>
      </c>
      <c r="R171" t="s">
        <v>4258</v>
      </c>
      <c r="S171" t="s">
        <v>3611</v>
      </c>
      <c r="U171" t="s">
        <v>4268</v>
      </c>
      <c r="V171" t="s">
        <v>4274</v>
      </c>
      <c r="W171" t="s">
        <v>236</v>
      </c>
      <c r="X171">
        <v>1650</v>
      </c>
      <c r="Y171" t="s">
        <v>4351</v>
      </c>
      <c r="Z171" t="s">
        <v>4354</v>
      </c>
      <c r="AA171" t="s">
        <v>4373</v>
      </c>
      <c r="AB171" t="s">
        <v>4538</v>
      </c>
      <c r="AD171" t="s">
        <v>5964</v>
      </c>
      <c r="AE171">
        <v>48</v>
      </c>
      <c r="AF171" t="s">
        <v>7101</v>
      </c>
      <c r="AG171" t="s">
        <v>3745</v>
      </c>
      <c r="AH171">
        <v>-1</v>
      </c>
      <c r="AI171">
        <v>1</v>
      </c>
      <c r="AJ171">
        <v>0</v>
      </c>
      <c r="AK171">
        <v>27.84</v>
      </c>
      <c r="AN171" t="s">
        <v>7138</v>
      </c>
      <c r="AO171">
        <v>3380</v>
      </c>
      <c r="AU171">
        <v>0.75</v>
      </c>
      <c r="AV171" t="s">
        <v>220</v>
      </c>
      <c r="AW171" t="s">
        <v>7341</v>
      </c>
      <c r="AX171" t="s">
        <v>7377</v>
      </c>
    </row>
    <row r="172" spans="1:50">
      <c r="A172" s="1">
        <f>HYPERLINK("https://lsnyc.legalserver.org/matter/dynamic-profile/view/1859306","18-1859306")</f>
        <v>0</v>
      </c>
      <c r="B172" t="s">
        <v>64</v>
      </c>
      <c r="C172" t="s">
        <v>104</v>
      </c>
      <c r="D172" t="s">
        <v>237</v>
      </c>
      <c r="E172" t="s">
        <v>198</v>
      </c>
      <c r="F172" t="s">
        <v>826</v>
      </c>
      <c r="G172" t="s">
        <v>1699</v>
      </c>
      <c r="H172" t="s">
        <v>2472</v>
      </c>
      <c r="I172" t="s">
        <v>3291</v>
      </c>
      <c r="J172" t="s">
        <v>3604</v>
      </c>
      <c r="K172">
        <v>10034</v>
      </c>
      <c r="L172" t="s">
        <v>3610</v>
      </c>
      <c r="M172" t="s">
        <v>3609</v>
      </c>
      <c r="N172" t="s">
        <v>3688</v>
      </c>
      <c r="O172" t="s">
        <v>4209</v>
      </c>
      <c r="P172" t="s">
        <v>4241</v>
      </c>
      <c r="Q172" t="s">
        <v>4248</v>
      </c>
      <c r="R172" t="s">
        <v>4258</v>
      </c>
      <c r="S172" t="s">
        <v>3611</v>
      </c>
      <c r="U172" t="s">
        <v>4268</v>
      </c>
      <c r="W172" t="s">
        <v>237</v>
      </c>
      <c r="X172">
        <v>1250</v>
      </c>
      <c r="Y172" t="s">
        <v>4351</v>
      </c>
      <c r="Z172" t="s">
        <v>4354</v>
      </c>
      <c r="AA172" t="s">
        <v>4374</v>
      </c>
      <c r="AB172" t="s">
        <v>4539</v>
      </c>
      <c r="AC172" t="s">
        <v>5798</v>
      </c>
      <c r="AD172" t="s">
        <v>5965</v>
      </c>
      <c r="AE172">
        <v>65</v>
      </c>
      <c r="AF172" t="s">
        <v>7101</v>
      </c>
      <c r="AG172" t="s">
        <v>3745</v>
      </c>
      <c r="AH172">
        <v>11</v>
      </c>
      <c r="AI172">
        <v>1</v>
      </c>
      <c r="AJ172">
        <v>0</v>
      </c>
      <c r="AK172">
        <v>28.46</v>
      </c>
      <c r="AN172" t="s">
        <v>7138</v>
      </c>
      <c r="AO172">
        <v>3432</v>
      </c>
      <c r="AU172">
        <v>49.05</v>
      </c>
      <c r="AV172" t="s">
        <v>343</v>
      </c>
      <c r="AW172" t="s">
        <v>7342</v>
      </c>
    </row>
    <row r="173" spans="1:50">
      <c r="A173" s="1">
        <f>HYPERLINK("https://lsnyc.legalserver.org/matter/dynamic-profile/view/0829383","17-0829383")</f>
        <v>0</v>
      </c>
      <c r="B173" t="s">
        <v>63</v>
      </c>
      <c r="C173" t="s">
        <v>104</v>
      </c>
      <c r="D173" t="s">
        <v>238</v>
      </c>
      <c r="E173" t="s">
        <v>663</v>
      </c>
      <c r="F173" t="s">
        <v>827</v>
      </c>
      <c r="G173" t="s">
        <v>1686</v>
      </c>
      <c r="H173" t="s">
        <v>2588</v>
      </c>
      <c r="I173">
        <v>45</v>
      </c>
      <c r="J173" t="s">
        <v>3604</v>
      </c>
      <c r="K173">
        <v>10034</v>
      </c>
      <c r="L173" t="s">
        <v>3610</v>
      </c>
      <c r="M173" t="s">
        <v>3609</v>
      </c>
      <c r="N173" t="s">
        <v>3689</v>
      </c>
      <c r="O173" t="s">
        <v>4210</v>
      </c>
      <c r="P173" t="s">
        <v>4241</v>
      </c>
      <c r="Q173" t="s">
        <v>4248</v>
      </c>
      <c r="R173" t="s">
        <v>4258</v>
      </c>
      <c r="S173" t="s">
        <v>3611</v>
      </c>
      <c r="U173" t="s">
        <v>4268</v>
      </c>
      <c r="W173" t="s">
        <v>238</v>
      </c>
      <c r="X173">
        <v>1338.03</v>
      </c>
      <c r="Y173" t="s">
        <v>4351</v>
      </c>
      <c r="Z173" t="s">
        <v>4354</v>
      </c>
      <c r="AA173" t="s">
        <v>4374</v>
      </c>
      <c r="AB173" t="s">
        <v>4540</v>
      </c>
      <c r="AC173" t="s">
        <v>5799</v>
      </c>
      <c r="AD173" t="s">
        <v>5966</v>
      </c>
      <c r="AE173">
        <v>52</v>
      </c>
      <c r="AF173" t="s">
        <v>7101</v>
      </c>
      <c r="AG173" t="s">
        <v>7116</v>
      </c>
      <c r="AH173">
        <v>6</v>
      </c>
      <c r="AI173">
        <v>1</v>
      </c>
      <c r="AJ173">
        <v>1</v>
      </c>
      <c r="AK173">
        <v>29.33</v>
      </c>
      <c r="AN173" t="s">
        <v>7138</v>
      </c>
      <c r="AO173">
        <v>4762.8</v>
      </c>
      <c r="AU173">
        <v>69.15000000000001</v>
      </c>
      <c r="AV173" t="s">
        <v>285</v>
      </c>
      <c r="AW173" t="s">
        <v>7341</v>
      </c>
      <c r="AX173" t="s">
        <v>7378</v>
      </c>
    </row>
    <row r="174" spans="1:50">
      <c r="A174" s="1">
        <f>HYPERLINK("https://lsnyc.legalserver.org/matter/dynamic-profile/view/1866166","18-1866166")</f>
        <v>0</v>
      </c>
      <c r="B174" t="s">
        <v>66</v>
      </c>
      <c r="C174" t="s">
        <v>104</v>
      </c>
      <c r="D174" t="s">
        <v>239</v>
      </c>
      <c r="E174" t="s">
        <v>209</v>
      </c>
      <c r="F174" t="s">
        <v>828</v>
      </c>
      <c r="G174" t="s">
        <v>1696</v>
      </c>
      <c r="H174" t="s">
        <v>2589</v>
      </c>
      <c r="I174">
        <v>60</v>
      </c>
      <c r="J174" t="s">
        <v>3604</v>
      </c>
      <c r="K174">
        <v>10032</v>
      </c>
      <c r="L174" t="s">
        <v>3610</v>
      </c>
      <c r="M174" t="s">
        <v>3610</v>
      </c>
      <c r="N174" t="s">
        <v>3690</v>
      </c>
      <c r="O174" t="s">
        <v>4209</v>
      </c>
      <c r="P174" t="s">
        <v>4242</v>
      </c>
      <c r="Q174" t="s">
        <v>4250</v>
      </c>
      <c r="R174" t="s">
        <v>4258</v>
      </c>
      <c r="S174" t="s">
        <v>3611</v>
      </c>
      <c r="T174" t="s">
        <v>4259</v>
      </c>
      <c r="U174" t="s">
        <v>4268</v>
      </c>
      <c r="W174" t="s">
        <v>239</v>
      </c>
      <c r="X174">
        <v>2800</v>
      </c>
      <c r="Y174" t="s">
        <v>4351</v>
      </c>
      <c r="Z174" t="s">
        <v>4353</v>
      </c>
      <c r="AA174" t="s">
        <v>4373</v>
      </c>
      <c r="AB174" t="s">
        <v>4541</v>
      </c>
      <c r="AD174" t="s">
        <v>5967</v>
      </c>
      <c r="AE174">
        <v>0</v>
      </c>
      <c r="AF174" t="s">
        <v>7105</v>
      </c>
      <c r="AG174" t="s">
        <v>3745</v>
      </c>
      <c r="AH174">
        <v>3</v>
      </c>
      <c r="AI174">
        <v>1</v>
      </c>
      <c r="AJ174">
        <v>0</v>
      </c>
      <c r="AK174">
        <v>29.65</v>
      </c>
      <c r="AN174" t="s">
        <v>7138</v>
      </c>
      <c r="AO174">
        <v>3600</v>
      </c>
      <c r="AU174">
        <v>1.5</v>
      </c>
      <c r="AV174" t="s">
        <v>7297</v>
      </c>
      <c r="AW174" t="s">
        <v>7350</v>
      </c>
    </row>
    <row r="175" spans="1:50">
      <c r="A175" s="1">
        <f>HYPERLINK("https://lsnyc.legalserver.org/matter/dynamic-profile/view/1867148","18-1867148")</f>
        <v>0</v>
      </c>
      <c r="B175" t="s">
        <v>67</v>
      </c>
      <c r="C175" t="s">
        <v>104</v>
      </c>
      <c r="D175" t="s">
        <v>240</v>
      </c>
      <c r="E175" t="s">
        <v>209</v>
      </c>
      <c r="F175" t="s">
        <v>829</v>
      </c>
      <c r="G175" t="s">
        <v>1700</v>
      </c>
      <c r="H175" t="s">
        <v>2590</v>
      </c>
      <c r="I175" t="s">
        <v>3352</v>
      </c>
      <c r="J175" t="s">
        <v>3604</v>
      </c>
      <c r="K175">
        <v>10128</v>
      </c>
      <c r="L175" t="s">
        <v>3610</v>
      </c>
      <c r="M175" t="s">
        <v>3609</v>
      </c>
      <c r="O175" t="s">
        <v>4211</v>
      </c>
      <c r="P175" t="s">
        <v>4244</v>
      </c>
      <c r="Q175" t="s">
        <v>4250</v>
      </c>
      <c r="R175" t="s">
        <v>4257</v>
      </c>
      <c r="S175" t="s">
        <v>3611</v>
      </c>
      <c r="U175" t="s">
        <v>4273</v>
      </c>
      <c r="V175" t="s">
        <v>4274</v>
      </c>
      <c r="W175" t="s">
        <v>432</v>
      </c>
      <c r="X175">
        <v>741</v>
      </c>
      <c r="Y175" t="s">
        <v>4351</v>
      </c>
      <c r="Z175" t="s">
        <v>4355</v>
      </c>
      <c r="AA175" t="s">
        <v>4373</v>
      </c>
      <c r="AB175" t="s">
        <v>4542</v>
      </c>
      <c r="AD175" t="s">
        <v>5968</v>
      </c>
      <c r="AE175">
        <v>0</v>
      </c>
      <c r="AF175" t="s">
        <v>7109</v>
      </c>
      <c r="AG175" t="s">
        <v>3745</v>
      </c>
      <c r="AH175">
        <v>30</v>
      </c>
      <c r="AI175">
        <v>3</v>
      </c>
      <c r="AJ175">
        <v>2</v>
      </c>
      <c r="AK175">
        <v>29.78</v>
      </c>
      <c r="AL175" t="s">
        <v>369</v>
      </c>
      <c r="AM175" t="s">
        <v>7133</v>
      </c>
      <c r="AO175">
        <v>8760</v>
      </c>
      <c r="AU175">
        <v>1.7</v>
      </c>
      <c r="AV175" t="s">
        <v>224</v>
      </c>
      <c r="AW175" t="s">
        <v>7349</v>
      </c>
    </row>
    <row r="176" spans="1:50">
      <c r="A176" s="1">
        <f>HYPERLINK("https://lsnyc.legalserver.org/matter/dynamic-profile/view/1887724","19-1887724")</f>
        <v>0</v>
      </c>
      <c r="B176" t="s">
        <v>68</v>
      </c>
      <c r="C176" t="s">
        <v>104</v>
      </c>
      <c r="D176" t="s">
        <v>235</v>
      </c>
      <c r="E176" t="s">
        <v>190</v>
      </c>
      <c r="F176" t="s">
        <v>830</v>
      </c>
      <c r="G176" t="s">
        <v>1701</v>
      </c>
      <c r="H176" t="s">
        <v>2570</v>
      </c>
      <c r="I176" t="s">
        <v>3342</v>
      </c>
      <c r="J176" t="s">
        <v>3604</v>
      </c>
      <c r="K176">
        <v>10029</v>
      </c>
      <c r="L176" t="s">
        <v>3610</v>
      </c>
      <c r="M176" t="s">
        <v>3610</v>
      </c>
      <c r="O176" t="s">
        <v>4211</v>
      </c>
      <c r="P176" t="s">
        <v>4242</v>
      </c>
      <c r="Q176" t="s">
        <v>4250</v>
      </c>
      <c r="R176" t="s">
        <v>4258</v>
      </c>
      <c r="S176" t="s">
        <v>3611</v>
      </c>
      <c r="U176" t="s">
        <v>4268</v>
      </c>
      <c r="V176" t="s">
        <v>4274</v>
      </c>
      <c r="W176" t="s">
        <v>4290</v>
      </c>
      <c r="X176">
        <v>838</v>
      </c>
      <c r="Y176" t="s">
        <v>4351</v>
      </c>
      <c r="Z176" t="s">
        <v>4228</v>
      </c>
      <c r="AA176" t="s">
        <v>4373</v>
      </c>
      <c r="AB176" t="s">
        <v>4543</v>
      </c>
      <c r="AD176" t="s">
        <v>5969</v>
      </c>
      <c r="AE176">
        <v>56</v>
      </c>
      <c r="AF176" t="s">
        <v>7101</v>
      </c>
      <c r="AG176" t="s">
        <v>3745</v>
      </c>
      <c r="AH176">
        <v>3</v>
      </c>
      <c r="AI176">
        <v>1</v>
      </c>
      <c r="AJ176">
        <v>0</v>
      </c>
      <c r="AK176">
        <v>30.44</v>
      </c>
      <c r="AN176" t="s">
        <v>7138</v>
      </c>
      <c r="AO176">
        <v>3696</v>
      </c>
      <c r="AU176">
        <v>2.6</v>
      </c>
      <c r="AV176" t="s">
        <v>4290</v>
      </c>
      <c r="AW176" t="s">
        <v>7361</v>
      </c>
    </row>
    <row r="177" spans="1:50">
      <c r="A177" s="1">
        <f>HYPERLINK("https://lsnyc.legalserver.org/matter/dynamic-profile/view/0785966","15-0785966")</f>
        <v>0</v>
      </c>
      <c r="B177" t="s">
        <v>70</v>
      </c>
      <c r="C177" t="s">
        <v>104</v>
      </c>
      <c r="D177" t="s">
        <v>241</v>
      </c>
      <c r="E177" t="s">
        <v>371</v>
      </c>
      <c r="F177" t="s">
        <v>738</v>
      </c>
      <c r="G177" t="s">
        <v>1702</v>
      </c>
      <c r="H177" t="s">
        <v>2591</v>
      </c>
      <c r="I177" t="s">
        <v>3335</v>
      </c>
      <c r="J177" t="s">
        <v>3604</v>
      </c>
      <c r="K177">
        <v>10029</v>
      </c>
      <c r="L177" t="s">
        <v>3611</v>
      </c>
      <c r="M177" t="s">
        <v>3611</v>
      </c>
      <c r="N177" t="s">
        <v>3691</v>
      </c>
      <c r="O177" t="s">
        <v>4210</v>
      </c>
      <c r="P177" t="s">
        <v>4241</v>
      </c>
      <c r="Q177" t="s">
        <v>4248</v>
      </c>
      <c r="R177" t="s">
        <v>4258</v>
      </c>
      <c r="S177" t="s">
        <v>3611</v>
      </c>
      <c r="U177" t="s">
        <v>4268</v>
      </c>
      <c r="V177" t="s">
        <v>4274</v>
      </c>
      <c r="W177" t="s">
        <v>241</v>
      </c>
      <c r="X177">
        <v>2100</v>
      </c>
      <c r="Y177" t="s">
        <v>4351</v>
      </c>
      <c r="Z177" t="s">
        <v>4363</v>
      </c>
      <c r="AA177" t="s">
        <v>4387</v>
      </c>
      <c r="AB177" t="s">
        <v>4544</v>
      </c>
      <c r="AC177" t="s">
        <v>5800</v>
      </c>
      <c r="AD177" t="s">
        <v>5970</v>
      </c>
      <c r="AE177">
        <v>10</v>
      </c>
      <c r="AF177" t="s">
        <v>7103</v>
      </c>
      <c r="AH177">
        <v>10</v>
      </c>
      <c r="AI177">
        <v>1</v>
      </c>
      <c r="AJ177">
        <v>0</v>
      </c>
      <c r="AK177">
        <v>30.59</v>
      </c>
      <c r="AN177" t="s">
        <v>7138</v>
      </c>
      <c r="AO177">
        <v>3600</v>
      </c>
      <c r="AU177">
        <v>150.45</v>
      </c>
      <c r="AV177" t="s">
        <v>190</v>
      </c>
      <c r="AW177" t="s">
        <v>7362</v>
      </c>
    </row>
    <row r="178" spans="1:50">
      <c r="A178" s="1">
        <f>HYPERLINK("https://lsnyc.legalserver.org/matter/dynamic-profile/view/1864041","18-1864041")</f>
        <v>0</v>
      </c>
      <c r="B178" t="s">
        <v>53</v>
      </c>
      <c r="C178" t="s">
        <v>105</v>
      </c>
      <c r="D178" t="s">
        <v>161</v>
      </c>
      <c r="F178" t="s">
        <v>831</v>
      </c>
      <c r="G178" t="s">
        <v>1703</v>
      </c>
      <c r="H178" t="s">
        <v>2508</v>
      </c>
      <c r="I178">
        <v>403</v>
      </c>
      <c r="J178" t="s">
        <v>3604</v>
      </c>
      <c r="K178">
        <v>10029</v>
      </c>
      <c r="L178" t="s">
        <v>3610</v>
      </c>
      <c r="M178" t="s">
        <v>3610</v>
      </c>
      <c r="N178" t="s">
        <v>3692</v>
      </c>
      <c r="O178" t="s">
        <v>4213</v>
      </c>
      <c r="P178" t="s">
        <v>4241</v>
      </c>
      <c r="R178" t="s">
        <v>4258</v>
      </c>
      <c r="S178" t="s">
        <v>3610</v>
      </c>
      <c r="U178" t="s">
        <v>4268</v>
      </c>
      <c r="V178" t="s">
        <v>4274</v>
      </c>
      <c r="W178" t="s">
        <v>161</v>
      </c>
      <c r="X178">
        <v>0</v>
      </c>
      <c r="Y178" t="s">
        <v>4351</v>
      </c>
      <c r="Z178" t="s">
        <v>4352</v>
      </c>
      <c r="AB178" t="s">
        <v>4545</v>
      </c>
      <c r="AD178" t="s">
        <v>5971</v>
      </c>
      <c r="AE178">
        <v>108</v>
      </c>
      <c r="AF178" t="s">
        <v>7106</v>
      </c>
      <c r="AG178" t="s">
        <v>7116</v>
      </c>
      <c r="AH178">
        <v>13</v>
      </c>
      <c r="AI178">
        <v>1</v>
      </c>
      <c r="AJ178">
        <v>4</v>
      </c>
      <c r="AK178">
        <v>30.59</v>
      </c>
      <c r="AN178" t="s">
        <v>7138</v>
      </c>
      <c r="AO178">
        <v>9000</v>
      </c>
      <c r="AU178">
        <v>0.1</v>
      </c>
      <c r="AV178" t="s">
        <v>517</v>
      </c>
      <c r="AW178" t="s">
        <v>7341</v>
      </c>
    </row>
    <row r="179" spans="1:50">
      <c r="A179" s="1">
        <f>HYPERLINK("https://lsnyc.legalserver.org/matter/dynamic-profile/view/1881652","18-1881652")</f>
        <v>0</v>
      </c>
      <c r="B179" t="s">
        <v>63</v>
      </c>
      <c r="C179" t="s">
        <v>104</v>
      </c>
      <c r="D179" t="s">
        <v>169</v>
      </c>
      <c r="E179" t="s">
        <v>169</v>
      </c>
      <c r="F179" t="s">
        <v>832</v>
      </c>
      <c r="G179" t="s">
        <v>1704</v>
      </c>
      <c r="H179" t="s">
        <v>2592</v>
      </c>
      <c r="I179">
        <v>704</v>
      </c>
      <c r="J179" t="s">
        <v>3604</v>
      </c>
      <c r="K179">
        <v>10029</v>
      </c>
      <c r="L179" t="s">
        <v>3610</v>
      </c>
      <c r="M179" t="s">
        <v>3611</v>
      </c>
      <c r="O179" t="s">
        <v>4219</v>
      </c>
      <c r="P179" t="s">
        <v>4245</v>
      </c>
      <c r="Q179" t="s">
        <v>4249</v>
      </c>
      <c r="R179" t="s">
        <v>4258</v>
      </c>
      <c r="S179" t="s">
        <v>3611</v>
      </c>
      <c r="U179" t="s">
        <v>4268</v>
      </c>
      <c r="W179" t="s">
        <v>169</v>
      </c>
      <c r="X179">
        <v>14</v>
      </c>
      <c r="Y179" t="s">
        <v>4351</v>
      </c>
      <c r="Z179" t="s">
        <v>4357</v>
      </c>
      <c r="AA179" t="s">
        <v>4377</v>
      </c>
      <c r="AB179" t="s">
        <v>4546</v>
      </c>
      <c r="AD179" t="s">
        <v>5972</v>
      </c>
      <c r="AE179">
        <v>426</v>
      </c>
      <c r="AF179" t="s">
        <v>7102</v>
      </c>
      <c r="AG179" t="s">
        <v>7117</v>
      </c>
      <c r="AH179">
        <v>0</v>
      </c>
      <c r="AI179">
        <v>3</v>
      </c>
      <c r="AJ179">
        <v>2</v>
      </c>
      <c r="AK179">
        <v>30.71</v>
      </c>
      <c r="AN179" t="s">
        <v>7138</v>
      </c>
      <c r="AO179">
        <v>9036</v>
      </c>
      <c r="AP179" t="s">
        <v>7168</v>
      </c>
      <c r="AU179">
        <v>0</v>
      </c>
      <c r="AW179" t="s">
        <v>7348</v>
      </c>
      <c r="AX179" t="s">
        <v>3745</v>
      </c>
    </row>
    <row r="180" spans="1:50">
      <c r="A180" s="1">
        <f>HYPERLINK("https://lsnyc.legalserver.org/matter/dynamic-profile/view/1863621","18-1863621")</f>
        <v>0</v>
      </c>
      <c r="B180" t="s">
        <v>53</v>
      </c>
      <c r="C180" t="s">
        <v>105</v>
      </c>
      <c r="D180" t="s">
        <v>242</v>
      </c>
      <c r="F180" t="s">
        <v>733</v>
      </c>
      <c r="G180" t="s">
        <v>1705</v>
      </c>
      <c r="H180" t="s">
        <v>2508</v>
      </c>
      <c r="I180">
        <v>102</v>
      </c>
      <c r="J180" t="s">
        <v>3604</v>
      </c>
      <c r="K180">
        <v>10029</v>
      </c>
      <c r="L180" t="s">
        <v>3610</v>
      </c>
      <c r="M180" t="s">
        <v>3609</v>
      </c>
      <c r="N180" t="s">
        <v>3642</v>
      </c>
      <c r="O180" t="s">
        <v>4213</v>
      </c>
      <c r="P180" t="s">
        <v>4241</v>
      </c>
      <c r="R180" t="s">
        <v>4258</v>
      </c>
      <c r="S180" t="s">
        <v>3610</v>
      </c>
      <c r="U180" t="s">
        <v>4268</v>
      </c>
      <c r="V180" t="s">
        <v>4274</v>
      </c>
      <c r="W180" t="s">
        <v>495</v>
      </c>
      <c r="X180">
        <v>0</v>
      </c>
      <c r="Y180" t="s">
        <v>4351</v>
      </c>
      <c r="Z180" t="s">
        <v>4352</v>
      </c>
      <c r="AB180" t="s">
        <v>4547</v>
      </c>
      <c r="AD180" t="s">
        <v>5973</v>
      </c>
      <c r="AE180">
        <v>108</v>
      </c>
      <c r="AF180" t="s">
        <v>7106</v>
      </c>
      <c r="AG180" t="s">
        <v>7116</v>
      </c>
      <c r="AH180">
        <v>35</v>
      </c>
      <c r="AI180">
        <v>1</v>
      </c>
      <c r="AJ180">
        <v>0</v>
      </c>
      <c r="AK180">
        <v>31.33</v>
      </c>
      <c r="AN180" t="s">
        <v>7139</v>
      </c>
      <c r="AO180">
        <v>3804</v>
      </c>
      <c r="AU180">
        <v>0.75</v>
      </c>
      <c r="AV180" t="s">
        <v>688</v>
      </c>
      <c r="AW180" t="s">
        <v>7341</v>
      </c>
      <c r="AX180" t="s">
        <v>7377</v>
      </c>
    </row>
    <row r="181" spans="1:50">
      <c r="A181" s="1">
        <f>HYPERLINK("https://lsnyc.legalserver.org/matter/dynamic-profile/view/1889301","19-1889301")</f>
        <v>0</v>
      </c>
      <c r="B181" t="s">
        <v>68</v>
      </c>
      <c r="C181" t="s">
        <v>105</v>
      </c>
      <c r="D181" t="s">
        <v>155</v>
      </c>
      <c r="F181" t="s">
        <v>833</v>
      </c>
      <c r="G181" t="s">
        <v>1706</v>
      </c>
      <c r="H181" t="s">
        <v>2593</v>
      </c>
      <c r="I181" t="s">
        <v>3315</v>
      </c>
      <c r="J181" t="s">
        <v>3604</v>
      </c>
      <c r="K181">
        <v>10035</v>
      </c>
      <c r="L181" t="s">
        <v>3610</v>
      </c>
      <c r="M181" t="s">
        <v>3610</v>
      </c>
      <c r="N181" t="s">
        <v>3693</v>
      </c>
      <c r="O181" t="s">
        <v>4209</v>
      </c>
      <c r="P181" t="s">
        <v>4241</v>
      </c>
      <c r="R181" t="s">
        <v>4258</v>
      </c>
      <c r="S181" t="s">
        <v>3611</v>
      </c>
      <c r="U181" t="s">
        <v>4268</v>
      </c>
      <c r="V181" t="s">
        <v>4274</v>
      </c>
      <c r="W181" t="s">
        <v>567</v>
      </c>
      <c r="X181">
        <v>817.16</v>
      </c>
      <c r="Y181" t="s">
        <v>4351</v>
      </c>
      <c r="Z181" t="s">
        <v>4357</v>
      </c>
      <c r="AB181" t="s">
        <v>4548</v>
      </c>
      <c r="AC181" t="s">
        <v>5801</v>
      </c>
      <c r="AD181" t="s">
        <v>5974</v>
      </c>
      <c r="AE181">
        <v>4</v>
      </c>
      <c r="AF181" t="s">
        <v>7104</v>
      </c>
      <c r="AG181" t="s">
        <v>7116</v>
      </c>
      <c r="AH181">
        <v>19</v>
      </c>
      <c r="AI181">
        <v>3</v>
      </c>
      <c r="AJ181">
        <v>0</v>
      </c>
      <c r="AK181">
        <v>31.39</v>
      </c>
      <c r="AN181" t="s">
        <v>7139</v>
      </c>
      <c r="AO181">
        <v>6696</v>
      </c>
      <c r="AU181">
        <v>22.25</v>
      </c>
      <c r="AV181" t="s">
        <v>512</v>
      </c>
      <c r="AW181" t="s">
        <v>7347</v>
      </c>
      <c r="AX181" t="s">
        <v>7377</v>
      </c>
    </row>
    <row r="182" spans="1:50">
      <c r="A182" s="1">
        <f>HYPERLINK("https://lsnyc.legalserver.org/matter/dynamic-profile/view/0830911","17-0830911")</f>
        <v>0</v>
      </c>
      <c r="B182" t="s">
        <v>64</v>
      </c>
      <c r="C182" t="s">
        <v>105</v>
      </c>
      <c r="D182" t="s">
        <v>243</v>
      </c>
      <c r="F182" t="s">
        <v>727</v>
      </c>
      <c r="G182" t="s">
        <v>1707</v>
      </c>
      <c r="H182" t="s">
        <v>2594</v>
      </c>
      <c r="I182" t="s">
        <v>3276</v>
      </c>
      <c r="J182" t="s">
        <v>3604</v>
      </c>
      <c r="K182">
        <v>10034</v>
      </c>
      <c r="L182" t="s">
        <v>3610</v>
      </c>
      <c r="M182" t="s">
        <v>3609</v>
      </c>
      <c r="O182" t="s">
        <v>4211</v>
      </c>
      <c r="P182" t="s">
        <v>4241</v>
      </c>
      <c r="R182" t="s">
        <v>4258</v>
      </c>
      <c r="S182" t="s">
        <v>3610</v>
      </c>
      <c r="U182" t="s">
        <v>4268</v>
      </c>
      <c r="W182" t="s">
        <v>133</v>
      </c>
      <c r="X182">
        <v>1199</v>
      </c>
      <c r="Y182" t="s">
        <v>4351</v>
      </c>
      <c r="Z182" t="s">
        <v>4354</v>
      </c>
      <c r="AB182" t="s">
        <v>4549</v>
      </c>
      <c r="AD182" t="s">
        <v>5975</v>
      </c>
      <c r="AE182">
        <v>49</v>
      </c>
      <c r="AF182" t="s">
        <v>7104</v>
      </c>
      <c r="AG182" t="s">
        <v>3745</v>
      </c>
      <c r="AH182">
        <v>33</v>
      </c>
      <c r="AI182">
        <v>1</v>
      </c>
      <c r="AJ182">
        <v>0</v>
      </c>
      <c r="AK182">
        <v>31.74</v>
      </c>
      <c r="AN182" t="s">
        <v>7139</v>
      </c>
      <c r="AO182">
        <v>3828</v>
      </c>
      <c r="AU182">
        <v>75.2</v>
      </c>
      <c r="AV182" t="s">
        <v>637</v>
      </c>
      <c r="AW182" t="s">
        <v>7343</v>
      </c>
    </row>
    <row r="183" spans="1:50">
      <c r="A183" s="1">
        <f>HYPERLINK("https://lsnyc.legalserver.org/matter/dynamic-profile/view/0803671","16-0803671")</f>
        <v>0</v>
      </c>
      <c r="B183" t="s">
        <v>68</v>
      </c>
      <c r="C183" t="s">
        <v>105</v>
      </c>
      <c r="D183" t="s">
        <v>244</v>
      </c>
      <c r="F183" t="s">
        <v>834</v>
      </c>
      <c r="G183" t="s">
        <v>1708</v>
      </c>
      <c r="H183" t="s">
        <v>2595</v>
      </c>
      <c r="I183" t="s">
        <v>3348</v>
      </c>
      <c r="J183" t="s">
        <v>3604</v>
      </c>
      <c r="K183">
        <v>10035</v>
      </c>
      <c r="L183" t="s">
        <v>3610</v>
      </c>
      <c r="M183" t="s">
        <v>3609</v>
      </c>
      <c r="O183" t="s">
        <v>4211</v>
      </c>
      <c r="P183" t="s">
        <v>4244</v>
      </c>
      <c r="R183" t="s">
        <v>4258</v>
      </c>
      <c r="S183" t="s">
        <v>3610</v>
      </c>
      <c r="U183" t="s">
        <v>4268</v>
      </c>
      <c r="V183" t="s">
        <v>4274</v>
      </c>
      <c r="W183" t="s">
        <v>244</v>
      </c>
      <c r="X183">
        <v>1789.68</v>
      </c>
      <c r="Y183" t="s">
        <v>4351</v>
      </c>
      <c r="Z183" t="s">
        <v>4368</v>
      </c>
      <c r="AB183" t="s">
        <v>4550</v>
      </c>
      <c r="AE183">
        <v>30</v>
      </c>
      <c r="AF183" t="s">
        <v>7101</v>
      </c>
      <c r="AG183" t="s">
        <v>3745</v>
      </c>
      <c r="AH183">
        <v>10</v>
      </c>
      <c r="AI183">
        <v>2</v>
      </c>
      <c r="AJ183">
        <v>4</v>
      </c>
      <c r="AK183">
        <v>31.79</v>
      </c>
      <c r="AN183" t="s">
        <v>7139</v>
      </c>
      <c r="AO183">
        <v>10356</v>
      </c>
      <c r="AU183">
        <v>0.25</v>
      </c>
      <c r="AV183" t="s">
        <v>371</v>
      </c>
      <c r="AW183" t="s">
        <v>7341</v>
      </c>
      <c r="AX183" t="s">
        <v>7377</v>
      </c>
    </row>
    <row r="184" spans="1:50">
      <c r="A184" s="1">
        <f>HYPERLINK("https://lsnyc.legalserver.org/matter/dynamic-profile/view/1892807","19-1892807")</f>
        <v>0</v>
      </c>
      <c r="B184" t="s">
        <v>83</v>
      </c>
      <c r="C184" t="s">
        <v>104</v>
      </c>
      <c r="D184" t="s">
        <v>245</v>
      </c>
      <c r="E184" t="s">
        <v>591</v>
      </c>
      <c r="F184" t="s">
        <v>835</v>
      </c>
      <c r="G184" t="s">
        <v>1616</v>
      </c>
      <c r="H184" t="s">
        <v>2596</v>
      </c>
      <c r="I184" t="s">
        <v>3353</v>
      </c>
      <c r="J184" t="s">
        <v>3604</v>
      </c>
      <c r="K184">
        <v>10037</v>
      </c>
      <c r="L184" t="s">
        <v>3610</v>
      </c>
      <c r="M184" t="s">
        <v>3610</v>
      </c>
      <c r="O184" t="s">
        <v>4212</v>
      </c>
      <c r="P184" t="s">
        <v>4244</v>
      </c>
      <c r="Q184" t="s">
        <v>4252</v>
      </c>
      <c r="R184" t="s">
        <v>4258</v>
      </c>
      <c r="S184" t="s">
        <v>3611</v>
      </c>
      <c r="U184" t="s">
        <v>4270</v>
      </c>
      <c r="V184" t="s">
        <v>4274</v>
      </c>
      <c r="W184" t="s">
        <v>190</v>
      </c>
      <c r="X184">
        <v>2041</v>
      </c>
      <c r="Y184" t="s">
        <v>4351</v>
      </c>
      <c r="Z184" t="s">
        <v>4356</v>
      </c>
      <c r="AA184" t="s">
        <v>4376</v>
      </c>
      <c r="AB184" t="s">
        <v>4551</v>
      </c>
      <c r="AD184" t="s">
        <v>5976</v>
      </c>
      <c r="AE184">
        <v>108</v>
      </c>
      <c r="AF184" t="s">
        <v>7101</v>
      </c>
      <c r="AG184" t="s">
        <v>7116</v>
      </c>
      <c r="AH184">
        <v>27</v>
      </c>
      <c r="AI184">
        <v>2</v>
      </c>
      <c r="AJ184">
        <v>1</v>
      </c>
      <c r="AK184">
        <v>32.07</v>
      </c>
      <c r="AN184" t="s">
        <v>7138</v>
      </c>
      <c r="AO184">
        <v>6840</v>
      </c>
      <c r="AU184">
        <v>7.75</v>
      </c>
      <c r="AV184" t="s">
        <v>591</v>
      </c>
      <c r="AW184" t="s">
        <v>7341</v>
      </c>
    </row>
    <row r="185" spans="1:50">
      <c r="A185" s="1">
        <f>HYPERLINK("https://lsnyc.legalserver.org/matter/dynamic-profile/view/1851436","17-1851436")</f>
        <v>0</v>
      </c>
      <c r="B185" t="s">
        <v>84</v>
      </c>
      <c r="C185" t="s">
        <v>104</v>
      </c>
      <c r="D185" t="s">
        <v>124</v>
      </c>
      <c r="E185" t="s">
        <v>227</v>
      </c>
      <c r="F185" t="s">
        <v>836</v>
      </c>
      <c r="G185" t="s">
        <v>1709</v>
      </c>
      <c r="H185" t="s">
        <v>2597</v>
      </c>
      <c r="I185" t="s">
        <v>3286</v>
      </c>
      <c r="J185" t="s">
        <v>3604</v>
      </c>
      <c r="K185">
        <v>10032</v>
      </c>
      <c r="L185" t="s">
        <v>3610</v>
      </c>
      <c r="M185" t="s">
        <v>3609</v>
      </c>
      <c r="N185" t="s">
        <v>3694</v>
      </c>
      <c r="O185" t="s">
        <v>4209</v>
      </c>
      <c r="P185" t="s">
        <v>4242</v>
      </c>
      <c r="Q185" t="s">
        <v>4250</v>
      </c>
      <c r="R185" t="s">
        <v>4258</v>
      </c>
      <c r="U185" t="s">
        <v>4268</v>
      </c>
      <c r="W185" t="s">
        <v>428</v>
      </c>
      <c r="X185">
        <v>1050</v>
      </c>
      <c r="Y185" t="s">
        <v>4351</v>
      </c>
      <c r="Z185" t="s">
        <v>4354</v>
      </c>
      <c r="AA185" t="s">
        <v>4373</v>
      </c>
      <c r="AB185" t="s">
        <v>4552</v>
      </c>
      <c r="AD185" t="s">
        <v>5977</v>
      </c>
      <c r="AE185">
        <v>0</v>
      </c>
      <c r="AF185" t="s">
        <v>7105</v>
      </c>
      <c r="AG185" t="s">
        <v>7117</v>
      </c>
      <c r="AH185">
        <v>5</v>
      </c>
      <c r="AI185">
        <v>3</v>
      </c>
      <c r="AJ185">
        <v>0</v>
      </c>
      <c r="AK185">
        <v>32.13</v>
      </c>
      <c r="AN185" t="s">
        <v>7139</v>
      </c>
      <c r="AO185">
        <v>6560</v>
      </c>
      <c r="AU185">
        <v>1.3</v>
      </c>
      <c r="AV185" t="s">
        <v>378</v>
      </c>
      <c r="AW185" t="s">
        <v>7344</v>
      </c>
    </row>
    <row r="186" spans="1:50">
      <c r="A186" s="1">
        <f>HYPERLINK("https://lsnyc.legalserver.org/matter/dynamic-profile/view/1834524","17-1834524")</f>
        <v>0</v>
      </c>
      <c r="B186" t="s">
        <v>63</v>
      </c>
      <c r="C186" t="s">
        <v>104</v>
      </c>
      <c r="D186" t="s">
        <v>246</v>
      </c>
      <c r="E186" t="s">
        <v>260</v>
      </c>
      <c r="F186" t="s">
        <v>708</v>
      </c>
      <c r="G186" t="s">
        <v>1579</v>
      </c>
      <c r="H186" t="s">
        <v>2479</v>
      </c>
      <c r="I186" t="s">
        <v>3287</v>
      </c>
      <c r="J186" t="s">
        <v>3604</v>
      </c>
      <c r="K186">
        <v>10034</v>
      </c>
      <c r="L186" t="s">
        <v>3610</v>
      </c>
      <c r="M186" t="s">
        <v>3609</v>
      </c>
      <c r="N186" t="s">
        <v>3695</v>
      </c>
      <c r="O186" t="s">
        <v>4209</v>
      </c>
      <c r="P186" t="s">
        <v>4241</v>
      </c>
      <c r="Q186" t="s">
        <v>4248</v>
      </c>
      <c r="R186" t="s">
        <v>4258</v>
      </c>
      <c r="S186" t="s">
        <v>3611</v>
      </c>
      <c r="T186" t="s">
        <v>4258</v>
      </c>
      <c r="U186" t="s">
        <v>4268</v>
      </c>
      <c r="W186" t="s">
        <v>246</v>
      </c>
      <c r="X186">
        <v>1600</v>
      </c>
      <c r="Y186" t="s">
        <v>4351</v>
      </c>
      <c r="Z186" t="s">
        <v>4353</v>
      </c>
      <c r="AA186" t="s">
        <v>4374</v>
      </c>
      <c r="AB186" t="s">
        <v>4419</v>
      </c>
      <c r="AC186" t="s">
        <v>5802</v>
      </c>
      <c r="AD186" t="s">
        <v>5865</v>
      </c>
      <c r="AE186">
        <v>40</v>
      </c>
      <c r="AF186" t="s">
        <v>7101</v>
      </c>
      <c r="AG186" t="s">
        <v>3745</v>
      </c>
      <c r="AH186">
        <v>3</v>
      </c>
      <c r="AI186">
        <v>2</v>
      </c>
      <c r="AJ186">
        <v>1</v>
      </c>
      <c r="AK186">
        <v>32.63</v>
      </c>
      <c r="AN186" t="s">
        <v>7139</v>
      </c>
      <c r="AO186">
        <v>6663</v>
      </c>
      <c r="AU186">
        <v>11</v>
      </c>
      <c r="AV186" t="s">
        <v>495</v>
      </c>
      <c r="AW186" t="s">
        <v>7345</v>
      </c>
    </row>
    <row r="187" spans="1:50">
      <c r="A187" s="1">
        <f>HYPERLINK("https://lsnyc.legalserver.org/matter/dynamic-profile/view/1870937","18-1870937")</f>
        <v>0</v>
      </c>
      <c r="B187" t="s">
        <v>64</v>
      </c>
      <c r="C187" t="s">
        <v>105</v>
      </c>
      <c r="D187" t="s">
        <v>247</v>
      </c>
      <c r="F187" t="s">
        <v>790</v>
      </c>
      <c r="G187" t="s">
        <v>1710</v>
      </c>
      <c r="H187" t="s">
        <v>2598</v>
      </c>
      <c r="I187" t="s">
        <v>3285</v>
      </c>
      <c r="J187" t="s">
        <v>3604</v>
      </c>
      <c r="K187">
        <v>10040</v>
      </c>
      <c r="L187" t="s">
        <v>3610</v>
      </c>
      <c r="M187" t="s">
        <v>3610</v>
      </c>
      <c r="O187" t="s">
        <v>4210</v>
      </c>
      <c r="P187" t="s">
        <v>4241</v>
      </c>
      <c r="R187" t="s">
        <v>4258</v>
      </c>
      <c r="S187" t="s">
        <v>3611</v>
      </c>
      <c r="U187" t="s">
        <v>4268</v>
      </c>
      <c r="V187" t="s">
        <v>4274</v>
      </c>
      <c r="W187" t="s">
        <v>247</v>
      </c>
      <c r="X187">
        <v>1268</v>
      </c>
      <c r="Y187" t="s">
        <v>4351</v>
      </c>
      <c r="Z187" t="s">
        <v>4354</v>
      </c>
      <c r="AB187" t="s">
        <v>4553</v>
      </c>
      <c r="AD187" t="s">
        <v>5978</v>
      </c>
      <c r="AE187">
        <v>55</v>
      </c>
      <c r="AF187" t="s">
        <v>7101</v>
      </c>
      <c r="AG187" t="s">
        <v>7116</v>
      </c>
      <c r="AH187">
        <v>40</v>
      </c>
      <c r="AI187">
        <v>4</v>
      </c>
      <c r="AJ187">
        <v>0</v>
      </c>
      <c r="AK187">
        <v>32.65</v>
      </c>
      <c r="AN187" t="s">
        <v>7139</v>
      </c>
      <c r="AO187">
        <v>8196</v>
      </c>
      <c r="AU187">
        <v>166.37</v>
      </c>
      <c r="AV187" t="s">
        <v>143</v>
      </c>
      <c r="AW187" t="s">
        <v>7342</v>
      </c>
    </row>
    <row r="188" spans="1:50">
      <c r="A188" s="1">
        <f>HYPERLINK("https://lsnyc.legalserver.org/matter/dynamic-profile/view/1871944","18-1871944")</f>
        <v>0</v>
      </c>
      <c r="B188" t="s">
        <v>56</v>
      </c>
      <c r="C188" t="s">
        <v>104</v>
      </c>
      <c r="D188" t="s">
        <v>192</v>
      </c>
      <c r="E188" t="s">
        <v>636</v>
      </c>
      <c r="F188" t="s">
        <v>717</v>
      </c>
      <c r="G188" t="s">
        <v>1711</v>
      </c>
      <c r="H188" t="s">
        <v>2599</v>
      </c>
      <c r="I188" t="s">
        <v>3345</v>
      </c>
      <c r="J188" t="s">
        <v>3604</v>
      </c>
      <c r="K188">
        <v>10034</v>
      </c>
      <c r="L188" t="s">
        <v>3610</v>
      </c>
      <c r="M188" t="s">
        <v>3610</v>
      </c>
      <c r="P188" t="s">
        <v>4242</v>
      </c>
      <c r="Q188" t="s">
        <v>4250</v>
      </c>
      <c r="R188" t="s">
        <v>4258</v>
      </c>
      <c r="S188" t="s">
        <v>3611</v>
      </c>
      <c r="U188" t="s">
        <v>4268</v>
      </c>
      <c r="W188" t="s">
        <v>192</v>
      </c>
      <c r="X188">
        <v>1928.54</v>
      </c>
      <c r="Y188" t="s">
        <v>4351</v>
      </c>
      <c r="Z188" t="s">
        <v>4354</v>
      </c>
      <c r="AA188" t="s">
        <v>4373</v>
      </c>
      <c r="AB188" t="s">
        <v>4554</v>
      </c>
      <c r="AD188" t="s">
        <v>5979</v>
      </c>
      <c r="AE188">
        <v>48</v>
      </c>
      <c r="AF188" t="s">
        <v>7101</v>
      </c>
      <c r="AG188" t="s">
        <v>3745</v>
      </c>
      <c r="AH188">
        <v>7</v>
      </c>
      <c r="AI188">
        <v>1</v>
      </c>
      <c r="AJ188">
        <v>0</v>
      </c>
      <c r="AK188">
        <v>33.11</v>
      </c>
      <c r="AN188" t="s">
        <v>7138</v>
      </c>
      <c r="AO188">
        <v>4020</v>
      </c>
      <c r="AU188">
        <v>0.15</v>
      </c>
      <c r="AV188" t="s">
        <v>636</v>
      </c>
      <c r="AW188" t="s">
        <v>7342</v>
      </c>
    </row>
    <row r="189" spans="1:50">
      <c r="A189" s="1">
        <f>HYPERLINK("https://lsnyc.legalserver.org/matter/dynamic-profile/view/1874587","18-1874587")</f>
        <v>0</v>
      </c>
      <c r="B189" t="s">
        <v>67</v>
      </c>
      <c r="C189" t="s">
        <v>104</v>
      </c>
      <c r="D189" t="s">
        <v>248</v>
      </c>
      <c r="E189" t="s">
        <v>442</v>
      </c>
      <c r="F189" t="s">
        <v>837</v>
      </c>
      <c r="G189" t="s">
        <v>1712</v>
      </c>
      <c r="H189" t="s">
        <v>2600</v>
      </c>
      <c r="I189" t="s">
        <v>3354</v>
      </c>
      <c r="J189" t="s">
        <v>3604</v>
      </c>
      <c r="K189">
        <v>10029</v>
      </c>
      <c r="L189" t="s">
        <v>3610</v>
      </c>
      <c r="M189" t="s">
        <v>3610</v>
      </c>
      <c r="N189" t="s">
        <v>3696</v>
      </c>
      <c r="O189" t="s">
        <v>4209</v>
      </c>
      <c r="P189" t="s">
        <v>4241</v>
      </c>
      <c r="Q189" t="s">
        <v>4254</v>
      </c>
      <c r="R189" t="s">
        <v>4258</v>
      </c>
      <c r="S189" t="s">
        <v>3610</v>
      </c>
      <c r="U189" t="s">
        <v>4268</v>
      </c>
      <c r="V189" t="s">
        <v>4274</v>
      </c>
      <c r="W189" t="s">
        <v>173</v>
      </c>
      <c r="X189">
        <v>2200</v>
      </c>
      <c r="Y189" t="s">
        <v>4351</v>
      </c>
      <c r="Z189" t="s">
        <v>4357</v>
      </c>
      <c r="AA189" t="s">
        <v>4373</v>
      </c>
      <c r="AB189" t="s">
        <v>4555</v>
      </c>
      <c r="AD189" t="s">
        <v>5980</v>
      </c>
      <c r="AE189">
        <v>323</v>
      </c>
      <c r="AF189" t="s">
        <v>7101</v>
      </c>
      <c r="AG189" t="s">
        <v>7116</v>
      </c>
      <c r="AH189">
        <v>18</v>
      </c>
      <c r="AI189">
        <v>2</v>
      </c>
      <c r="AJ189">
        <v>2</v>
      </c>
      <c r="AK189">
        <v>33.9</v>
      </c>
      <c r="AN189" t="s">
        <v>7138</v>
      </c>
      <c r="AO189">
        <v>8508</v>
      </c>
      <c r="AU189">
        <v>37.4</v>
      </c>
      <c r="AV189" t="s">
        <v>447</v>
      </c>
      <c r="AW189" t="s">
        <v>7341</v>
      </c>
    </row>
    <row r="190" spans="1:50">
      <c r="A190" s="1">
        <f>HYPERLINK("https://lsnyc.legalserver.org/matter/dynamic-profile/view/1858816","18-1858816")</f>
        <v>0</v>
      </c>
      <c r="B190" t="s">
        <v>70</v>
      </c>
      <c r="C190" t="s">
        <v>104</v>
      </c>
      <c r="D190" t="s">
        <v>249</v>
      </c>
      <c r="E190" t="s">
        <v>390</v>
      </c>
      <c r="F190" t="s">
        <v>835</v>
      </c>
      <c r="G190" t="s">
        <v>1616</v>
      </c>
      <c r="H190" t="s">
        <v>2596</v>
      </c>
      <c r="I190" t="s">
        <v>3353</v>
      </c>
      <c r="J190" t="s">
        <v>3604</v>
      </c>
      <c r="K190">
        <v>10037</v>
      </c>
      <c r="L190" t="s">
        <v>3610</v>
      </c>
      <c r="M190" t="s">
        <v>3610</v>
      </c>
      <c r="N190" t="s">
        <v>3697</v>
      </c>
      <c r="O190" t="s">
        <v>4209</v>
      </c>
      <c r="P190" t="s">
        <v>4241</v>
      </c>
      <c r="Q190" t="s">
        <v>4248</v>
      </c>
      <c r="R190" t="s">
        <v>4258</v>
      </c>
      <c r="S190" t="s">
        <v>3611</v>
      </c>
      <c r="U190" t="s">
        <v>4268</v>
      </c>
      <c r="V190" t="s">
        <v>4275</v>
      </c>
      <c r="W190" t="s">
        <v>249</v>
      </c>
      <c r="X190">
        <v>2041</v>
      </c>
      <c r="Y190" t="s">
        <v>4351</v>
      </c>
      <c r="Z190" t="s">
        <v>4357</v>
      </c>
      <c r="AA190" t="s">
        <v>4387</v>
      </c>
      <c r="AB190" t="s">
        <v>4551</v>
      </c>
      <c r="AD190" t="s">
        <v>5976</v>
      </c>
      <c r="AE190">
        <v>108</v>
      </c>
      <c r="AF190" t="s">
        <v>7101</v>
      </c>
      <c r="AG190" t="s">
        <v>7116</v>
      </c>
      <c r="AH190">
        <v>27</v>
      </c>
      <c r="AI190">
        <v>2</v>
      </c>
      <c r="AJ190">
        <v>1</v>
      </c>
      <c r="AK190">
        <v>33.93</v>
      </c>
      <c r="AN190" t="s">
        <v>7138</v>
      </c>
      <c r="AO190">
        <v>6928</v>
      </c>
      <c r="AQ190" t="s">
        <v>7196</v>
      </c>
      <c r="AR190" t="s">
        <v>7211</v>
      </c>
      <c r="AS190" t="s">
        <v>7231</v>
      </c>
      <c r="AT190" t="s">
        <v>7244</v>
      </c>
      <c r="AU190">
        <v>30.95</v>
      </c>
      <c r="AV190" t="s">
        <v>156</v>
      </c>
      <c r="AW190" t="s">
        <v>7341</v>
      </c>
    </row>
    <row r="191" spans="1:50">
      <c r="A191" s="1">
        <f>HYPERLINK("https://lsnyc.legalserver.org/matter/dynamic-profile/view/1862262","18-1862262")</f>
        <v>0</v>
      </c>
      <c r="B191" t="s">
        <v>59</v>
      </c>
      <c r="C191" t="s">
        <v>105</v>
      </c>
      <c r="D191" t="s">
        <v>250</v>
      </c>
      <c r="F191" t="s">
        <v>838</v>
      </c>
      <c r="G191" t="s">
        <v>1713</v>
      </c>
      <c r="H191" t="s">
        <v>2601</v>
      </c>
      <c r="I191" t="s">
        <v>3344</v>
      </c>
      <c r="J191" t="s">
        <v>3604</v>
      </c>
      <c r="K191">
        <v>10030</v>
      </c>
      <c r="L191" t="s">
        <v>3611</v>
      </c>
      <c r="M191" t="s">
        <v>3609</v>
      </c>
      <c r="N191" t="s">
        <v>3698</v>
      </c>
      <c r="O191" t="s">
        <v>4209</v>
      </c>
      <c r="P191" t="s">
        <v>4242</v>
      </c>
      <c r="R191" t="s">
        <v>4258</v>
      </c>
      <c r="U191" t="s">
        <v>4268</v>
      </c>
      <c r="X191">
        <v>249</v>
      </c>
      <c r="Y191" t="s">
        <v>4351</v>
      </c>
      <c r="AB191" t="s">
        <v>4556</v>
      </c>
      <c r="AD191" t="s">
        <v>5981</v>
      </c>
      <c r="AE191">
        <v>0</v>
      </c>
      <c r="AG191" t="s">
        <v>7120</v>
      </c>
      <c r="AH191">
        <v>7</v>
      </c>
      <c r="AI191">
        <v>2</v>
      </c>
      <c r="AJ191">
        <v>2</v>
      </c>
      <c r="AK191">
        <v>34.16</v>
      </c>
      <c r="AO191">
        <v>8574.6</v>
      </c>
      <c r="AU191">
        <v>0.2</v>
      </c>
      <c r="AV191" t="s">
        <v>617</v>
      </c>
      <c r="AW191" t="s">
        <v>7350</v>
      </c>
    </row>
    <row r="192" spans="1:50">
      <c r="A192" s="1">
        <f>HYPERLINK("https://lsnyc.legalserver.org/matter/dynamic-profile/view/1893642","19-1893642")</f>
        <v>0</v>
      </c>
      <c r="B192" t="s">
        <v>68</v>
      </c>
      <c r="C192" t="s">
        <v>104</v>
      </c>
      <c r="D192" t="s">
        <v>251</v>
      </c>
      <c r="E192" t="s">
        <v>208</v>
      </c>
      <c r="F192" t="s">
        <v>839</v>
      </c>
      <c r="G192" t="s">
        <v>1714</v>
      </c>
      <c r="H192" t="s">
        <v>2602</v>
      </c>
      <c r="I192">
        <v>50</v>
      </c>
      <c r="J192" t="s">
        <v>3604</v>
      </c>
      <c r="K192">
        <v>10029</v>
      </c>
      <c r="L192" t="s">
        <v>3610</v>
      </c>
      <c r="M192" t="s">
        <v>3610</v>
      </c>
      <c r="O192" t="s">
        <v>4211</v>
      </c>
      <c r="P192" t="s">
        <v>4245</v>
      </c>
      <c r="Q192" t="s">
        <v>4249</v>
      </c>
      <c r="R192" t="s">
        <v>4257</v>
      </c>
      <c r="S192" t="s">
        <v>3611</v>
      </c>
      <c r="U192" t="s">
        <v>4268</v>
      </c>
      <c r="V192" t="s">
        <v>4274</v>
      </c>
      <c r="W192" t="s">
        <v>352</v>
      </c>
      <c r="X192">
        <v>1867</v>
      </c>
      <c r="Y192" t="s">
        <v>4351</v>
      </c>
      <c r="Z192" t="s">
        <v>4355</v>
      </c>
      <c r="AA192" t="s">
        <v>4373</v>
      </c>
      <c r="AB192" t="s">
        <v>4557</v>
      </c>
      <c r="AD192" t="s">
        <v>5982</v>
      </c>
      <c r="AE192">
        <v>80</v>
      </c>
      <c r="AF192" t="s">
        <v>7101</v>
      </c>
      <c r="AG192" t="s">
        <v>3745</v>
      </c>
      <c r="AH192">
        <v>5</v>
      </c>
      <c r="AI192">
        <v>2</v>
      </c>
      <c r="AJ192">
        <v>1</v>
      </c>
      <c r="AK192">
        <v>34.37</v>
      </c>
      <c r="AL192" t="s">
        <v>369</v>
      </c>
      <c r="AM192" t="s">
        <v>7133</v>
      </c>
      <c r="AN192" t="s">
        <v>7138</v>
      </c>
      <c r="AO192">
        <v>7332</v>
      </c>
      <c r="AU192">
        <v>20.9</v>
      </c>
      <c r="AV192" t="s">
        <v>571</v>
      </c>
      <c r="AW192" t="s">
        <v>7341</v>
      </c>
    </row>
    <row r="193" spans="1:50">
      <c r="A193" s="1">
        <f>HYPERLINK("https://lsnyc.legalserver.org/matter/dynamic-profile/view/1833502","17-1833502")</f>
        <v>0</v>
      </c>
      <c r="B193" t="s">
        <v>51</v>
      </c>
      <c r="C193" t="s">
        <v>104</v>
      </c>
      <c r="D193" t="s">
        <v>166</v>
      </c>
      <c r="E193" t="s">
        <v>385</v>
      </c>
      <c r="F193" t="s">
        <v>840</v>
      </c>
      <c r="G193" t="s">
        <v>1715</v>
      </c>
      <c r="H193" t="s">
        <v>2467</v>
      </c>
      <c r="I193" t="s">
        <v>3355</v>
      </c>
      <c r="J193" t="s">
        <v>3604</v>
      </c>
      <c r="K193">
        <v>10035</v>
      </c>
      <c r="L193" t="s">
        <v>3610</v>
      </c>
      <c r="M193" t="s">
        <v>3610</v>
      </c>
      <c r="N193" t="s">
        <v>3699</v>
      </c>
      <c r="O193" t="s">
        <v>4209</v>
      </c>
      <c r="P193" t="s">
        <v>4242</v>
      </c>
      <c r="Q193" t="s">
        <v>4250</v>
      </c>
      <c r="R193" t="s">
        <v>4258</v>
      </c>
      <c r="S193" t="s">
        <v>3611</v>
      </c>
      <c r="U193" t="s">
        <v>4268</v>
      </c>
      <c r="V193" t="s">
        <v>4274</v>
      </c>
      <c r="W193" t="s">
        <v>133</v>
      </c>
      <c r="X193">
        <v>2780</v>
      </c>
      <c r="Y193" t="s">
        <v>4351</v>
      </c>
      <c r="Z193" t="s">
        <v>4354</v>
      </c>
      <c r="AA193" t="s">
        <v>4373</v>
      </c>
      <c r="AB193" t="s">
        <v>4558</v>
      </c>
      <c r="AD193" t="s">
        <v>5983</v>
      </c>
      <c r="AE193">
        <v>330</v>
      </c>
      <c r="AF193" t="s">
        <v>7105</v>
      </c>
      <c r="AG193" t="s">
        <v>7116</v>
      </c>
      <c r="AH193">
        <v>20</v>
      </c>
      <c r="AI193">
        <v>1</v>
      </c>
      <c r="AJ193">
        <v>2</v>
      </c>
      <c r="AK193">
        <v>34.44</v>
      </c>
      <c r="AN193" t="s">
        <v>7138</v>
      </c>
      <c r="AO193">
        <v>7032</v>
      </c>
      <c r="AU193">
        <v>0.1</v>
      </c>
      <c r="AV193" t="s">
        <v>385</v>
      </c>
      <c r="AW193" t="s">
        <v>7341</v>
      </c>
    </row>
    <row r="194" spans="1:50">
      <c r="A194" s="1">
        <f>HYPERLINK("https://lsnyc.legalserver.org/matter/dynamic-profile/view/1833670","17-1833670")</f>
        <v>0</v>
      </c>
      <c r="B194" t="s">
        <v>63</v>
      </c>
      <c r="C194" t="s">
        <v>105</v>
      </c>
      <c r="D194" t="s">
        <v>252</v>
      </c>
      <c r="F194" t="s">
        <v>841</v>
      </c>
      <c r="G194" t="s">
        <v>1716</v>
      </c>
      <c r="H194" t="s">
        <v>2603</v>
      </c>
      <c r="I194" t="s">
        <v>3279</v>
      </c>
      <c r="J194" t="s">
        <v>3604</v>
      </c>
      <c r="K194">
        <v>10034</v>
      </c>
      <c r="L194" t="s">
        <v>3610</v>
      </c>
      <c r="M194" t="s">
        <v>3609</v>
      </c>
      <c r="N194" t="s">
        <v>3700</v>
      </c>
      <c r="O194" t="s">
        <v>4210</v>
      </c>
      <c r="P194" t="s">
        <v>4241</v>
      </c>
      <c r="R194" t="s">
        <v>4258</v>
      </c>
      <c r="S194" t="s">
        <v>3611</v>
      </c>
      <c r="U194" t="s">
        <v>4268</v>
      </c>
      <c r="W194" t="s">
        <v>313</v>
      </c>
      <c r="X194">
        <v>996</v>
      </c>
      <c r="Y194" t="s">
        <v>4351</v>
      </c>
      <c r="Z194" t="s">
        <v>4354</v>
      </c>
      <c r="AB194" t="s">
        <v>4559</v>
      </c>
      <c r="AD194" t="s">
        <v>5984</v>
      </c>
      <c r="AE194">
        <v>85</v>
      </c>
      <c r="AF194" t="s">
        <v>7101</v>
      </c>
      <c r="AG194" t="s">
        <v>3745</v>
      </c>
      <c r="AH194">
        <v>30</v>
      </c>
      <c r="AI194">
        <v>1</v>
      </c>
      <c r="AJ194">
        <v>0</v>
      </c>
      <c r="AK194">
        <v>35.32</v>
      </c>
      <c r="AN194" t="s">
        <v>7138</v>
      </c>
      <c r="AO194">
        <v>4260</v>
      </c>
      <c r="AU194">
        <v>96.22</v>
      </c>
      <c r="AV194" t="s">
        <v>502</v>
      </c>
      <c r="AW194" t="s">
        <v>7341</v>
      </c>
    </row>
    <row r="195" spans="1:50">
      <c r="A195" s="1">
        <f>HYPERLINK("https://lsnyc.legalserver.org/matter/dynamic-profile/view/1896986","19-1896986")</f>
        <v>0</v>
      </c>
      <c r="B195" t="s">
        <v>56</v>
      </c>
      <c r="C195" t="s">
        <v>104</v>
      </c>
      <c r="D195" t="s">
        <v>253</v>
      </c>
      <c r="E195" t="s">
        <v>659</v>
      </c>
      <c r="F195" t="s">
        <v>842</v>
      </c>
      <c r="G195" t="s">
        <v>1717</v>
      </c>
      <c r="H195" t="s">
        <v>2604</v>
      </c>
      <c r="I195" t="s">
        <v>3333</v>
      </c>
      <c r="J195" t="s">
        <v>3604</v>
      </c>
      <c r="K195">
        <v>10034</v>
      </c>
      <c r="L195" t="s">
        <v>3610</v>
      </c>
      <c r="M195" t="s">
        <v>3610</v>
      </c>
      <c r="N195" t="s">
        <v>3701</v>
      </c>
      <c r="O195" t="s">
        <v>4209</v>
      </c>
      <c r="P195" t="s">
        <v>4245</v>
      </c>
      <c r="Q195" t="s">
        <v>4249</v>
      </c>
      <c r="R195" t="s">
        <v>4258</v>
      </c>
      <c r="S195" t="s">
        <v>3611</v>
      </c>
      <c r="U195" t="s">
        <v>4268</v>
      </c>
      <c r="W195" t="s">
        <v>253</v>
      </c>
      <c r="X195">
        <v>2000.13</v>
      </c>
      <c r="Y195" t="s">
        <v>4351</v>
      </c>
      <c r="Z195" t="s">
        <v>4357</v>
      </c>
      <c r="AA195" t="s">
        <v>4377</v>
      </c>
      <c r="AB195" t="s">
        <v>4560</v>
      </c>
      <c r="AD195" t="s">
        <v>5985</v>
      </c>
      <c r="AE195">
        <v>72</v>
      </c>
      <c r="AF195" t="s">
        <v>7101</v>
      </c>
      <c r="AG195" t="s">
        <v>3745</v>
      </c>
      <c r="AH195">
        <v>12</v>
      </c>
      <c r="AI195">
        <v>1</v>
      </c>
      <c r="AJ195">
        <v>0</v>
      </c>
      <c r="AK195">
        <v>35.93</v>
      </c>
      <c r="AN195" t="s">
        <v>7138</v>
      </c>
      <c r="AO195">
        <v>4488</v>
      </c>
      <c r="AU195">
        <v>3</v>
      </c>
      <c r="AV195" t="s">
        <v>319</v>
      </c>
      <c r="AW195" t="s">
        <v>7342</v>
      </c>
      <c r="AX195" t="s">
        <v>7377</v>
      </c>
    </row>
    <row r="196" spans="1:50">
      <c r="A196" s="1">
        <f>HYPERLINK("https://lsnyc.legalserver.org/matter/dynamic-profile/view/1878163","18-1878163")</f>
        <v>0</v>
      </c>
      <c r="B196" t="s">
        <v>61</v>
      </c>
      <c r="C196" t="s">
        <v>105</v>
      </c>
      <c r="D196" t="s">
        <v>254</v>
      </c>
      <c r="F196" t="s">
        <v>733</v>
      </c>
      <c r="G196" t="s">
        <v>1567</v>
      </c>
      <c r="H196" t="s">
        <v>2605</v>
      </c>
      <c r="I196" t="s">
        <v>3324</v>
      </c>
      <c r="J196" t="s">
        <v>3604</v>
      </c>
      <c r="K196">
        <v>10031</v>
      </c>
      <c r="L196" t="s">
        <v>3610</v>
      </c>
      <c r="M196" t="s">
        <v>3610</v>
      </c>
      <c r="N196" t="s">
        <v>3702</v>
      </c>
      <c r="O196" t="s">
        <v>4210</v>
      </c>
      <c r="P196" t="s">
        <v>4241</v>
      </c>
      <c r="R196" t="s">
        <v>4258</v>
      </c>
      <c r="S196" t="s">
        <v>3611</v>
      </c>
      <c r="U196" t="s">
        <v>4268</v>
      </c>
      <c r="V196" t="s">
        <v>4274</v>
      </c>
      <c r="W196" t="s">
        <v>254</v>
      </c>
      <c r="X196">
        <v>572.08</v>
      </c>
      <c r="Y196" t="s">
        <v>4351</v>
      </c>
      <c r="Z196" t="s">
        <v>4353</v>
      </c>
      <c r="AB196" t="s">
        <v>4561</v>
      </c>
      <c r="AD196" t="s">
        <v>5986</v>
      </c>
      <c r="AE196">
        <v>13</v>
      </c>
      <c r="AF196" t="s">
        <v>7101</v>
      </c>
      <c r="AG196" t="s">
        <v>3745</v>
      </c>
      <c r="AH196">
        <v>28</v>
      </c>
      <c r="AI196">
        <v>4</v>
      </c>
      <c r="AJ196">
        <v>5</v>
      </c>
      <c r="AK196">
        <v>35.97</v>
      </c>
      <c r="AN196" t="s">
        <v>7139</v>
      </c>
      <c r="AO196">
        <v>16800</v>
      </c>
      <c r="AR196" t="s">
        <v>7205</v>
      </c>
      <c r="AS196" t="s">
        <v>7231</v>
      </c>
      <c r="AT196" t="s">
        <v>7245</v>
      </c>
      <c r="AU196">
        <v>6.7</v>
      </c>
      <c r="AV196" t="s">
        <v>673</v>
      </c>
      <c r="AW196" t="s">
        <v>7342</v>
      </c>
    </row>
    <row r="197" spans="1:50">
      <c r="A197" s="1">
        <f>HYPERLINK("https://lsnyc.legalserver.org/matter/dynamic-profile/view/0821286","16-0821286")</f>
        <v>0</v>
      </c>
      <c r="B197" t="s">
        <v>82</v>
      </c>
      <c r="C197" t="s">
        <v>104</v>
      </c>
      <c r="D197" t="s">
        <v>255</v>
      </c>
      <c r="E197" t="s">
        <v>271</v>
      </c>
      <c r="F197" t="s">
        <v>843</v>
      </c>
      <c r="G197" t="s">
        <v>1441</v>
      </c>
      <c r="H197" t="s">
        <v>2606</v>
      </c>
      <c r="I197" t="s">
        <v>3325</v>
      </c>
      <c r="J197" t="s">
        <v>3604</v>
      </c>
      <c r="K197">
        <v>10026</v>
      </c>
      <c r="L197" t="s">
        <v>3609</v>
      </c>
      <c r="M197" t="s">
        <v>3609</v>
      </c>
      <c r="N197" t="s">
        <v>3703</v>
      </c>
      <c r="O197" t="s">
        <v>4209</v>
      </c>
      <c r="P197" t="s">
        <v>4241</v>
      </c>
      <c r="Q197" t="s">
        <v>4248</v>
      </c>
      <c r="R197" t="s">
        <v>4257</v>
      </c>
      <c r="U197" t="s">
        <v>4273</v>
      </c>
      <c r="W197" t="s">
        <v>597</v>
      </c>
      <c r="X197">
        <v>748</v>
      </c>
      <c r="Y197" t="s">
        <v>4351</v>
      </c>
      <c r="Z197" t="s">
        <v>4355</v>
      </c>
      <c r="AA197" t="s">
        <v>4388</v>
      </c>
      <c r="AB197" t="s">
        <v>4562</v>
      </c>
      <c r="AD197" t="s">
        <v>5987</v>
      </c>
      <c r="AE197">
        <v>527</v>
      </c>
      <c r="AF197" t="s">
        <v>7108</v>
      </c>
      <c r="AG197" t="s">
        <v>3745</v>
      </c>
      <c r="AH197">
        <v>0</v>
      </c>
      <c r="AI197">
        <v>1</v>
      </c>
      <c r="AJ197">
        <v>3</v>
      </c>
      <c r="AK197">
        <v>36.2</v>
      </c>
      <c r="AL197" t="s">
        <v>369</v>
      </c>
      <c r="AN197" t="s">
        <v>7139</v>
      </c>
      <c r="AO197">
        <v>8796</v>
      </c>
      <c r="AU197">
        <v>23.1</v>
      </c>
      <c r="AV197" t="s">
        <v>359</v>
      </c>
      <c r="AW197" t="s">
        <v>7363</v>
      </c>
    </row>
    <row r="198" spans="1:50">
      <c r="A198" s="1">
        <f>HYPERLINK("https://lsnyc.legalserver.org/matter/dynamic-profile/view/0817857","16-0817857")</f>
        <v>0</v>
      </c>
      <c r="B198" t="s">
        <v>67</v>
      </c>
      <c r="C198" t="s">
        <v>104</v>
      </c>
      <c r="D198" t="s">
        <v>256</v>
      </c>
      <c r="E198" t="s">
        <v>642</v>
      </c>
      <c r="F198" t="s">
        <v>738</v>
      </c>
      <c r="G198" t="s">
        <v>1718</v>
      </c>
      <c r="H198" t="s">
        <v>2607</v>
      </c>
      <c r="I198" t="s">
        <v>3315</v>
      </c>
      <c r="J198" t="s">
        <v>3604</v>
      </c>
      <c r="K198">
        <v>10029</v>
      </c>
      <c r="L198" t="s">
        <v>3610</v>
      </c>
      <c r="M198" t="s">
        <v>3610</v>
      </c>
      <c r="O198" t="s">
        <v>4219</v>
      </c>
      <c r="P198" t="s">
        <v>4244</v>
      </c>
      <c r="Q198" t="s">
        <v>4249</v>
      </c>
      <c r="R198" t="s">
        <v>4258</v>
      </c>
      <c r="S198" t="s">
        <v>3610</v>
      </c>
      <c r="U198" t="s">
        <v>4268</v>
      </c>
      <c r="V198" t="s">
        <v>4274</v>
      </c>
      <c r="W198" t="s">
        <v>4291</v>
      </c>
      <c r="X198">
        <v>433</v>
      </c>
      <c r="Y198" t="s">
        <v>4351</v>
      </c>
      <c r="Z198" t="s">
        <v>4361</v>
      </c>
      <c r="AA198" t="s">
        <v>4377</v>
      </c>
      <c r="AB198" t="s">
        <v>4563</v>
      </c>
      <c r="AD198" t="s">
        <v>5988</v>
      </c>
      <c r="AE198">
        <v>10</v>
      </c>
      <c r="AF198" t="s">
        <v>7101</v>
      </c>
      <c r="AG198" t="s">
        <v>3745</v>
      </c>
      <c r="AH198">
        <v>9</v>
      </c>
      <c r="AI198">
        <v>1</v>
      </c>
      <c r="AJ198">
        <v>0</v>
      </c>
      <c r="AK198">
        <v>37.04</v>
      </c>
      <c r="AN198" t="s">
        <v>7139</v>
      </c>
      <c r="AO198">
        <v>4400</v>
      </c>
      <c r="AU198">
        <v>1</v>
      </c>
      <c r="AV198" t="s">
        <v>256</v>
      </c>
      <c r="AW198" t="s">
        <v>7364</v>
      </c>
    </row>
    <row r="199" spans="1:50">
      <c r="A199" s="1">
        <f>HYPERLINK("https://lsnyc.legalserver.org/matter/dynamic-profile/view/1860628","18-1860628")</f>
        <v>0</v>
      </c>
      <c r="B199" t="s">
        <v>53</v>
      </c>
      <c r="C199" t="s">
        <v>105</v>
      </c>
      <c r="D199" t="s">
        <v>257</v>
      </c>
      <c r="F199" t="s">
        <v>704</v>
      </c>
      <c r="G199" t="s">
        <v>1719</v>
      </c>
      <c r="H199" t="s">
        <v>2565</v>
      </c>
      <c r="I199" t="s">
        <v>3319</v>
      </c>
      <c r="J199" t="s">
        <v>3604</v>
      </c>
      <c r="K199">
        <v>10031</v>
      </c>
      <c r="L199" t="s">
        <v>3610</v>
      </c>
      <c r="M199" t="s">
        <v>3610</v>
      </c>
      <c r="O199" t="s">
        <v>4213</v>
      </c>
      <c r="P199" t="s">
        <v>4245</v>
      </c>
      <c r="R199" t="s">
        <v>4258</v>
      </c>
      <c r="S199" t="s">
        <v>3610</v>
      </c>
      <c r="U199" t="s">
        <v>4268</v>
      </c>
      <c r="V199" t="s">
        <v>4274</v>
      </c>
      <c r="W199" t="s">
        <v>633</v>
      </c>
      <c r="X199">
        <v>2697</v>
      </c>
      <c r="Y199" t="s">
        <v>4351</v>
      </c>
      <c r="Z199" t="s">
        <v>4352</v>
      </c>
      <c r="AB199" t="s">
        <v>4564</v>
      </c>
      <c r="AD199" t="s">
        <v>5989</v>
      </c>
      <c r="AE199">
        <v>44</v>
      </c>
      <c r="AF199" t="s">
        <v>7106</v>
      </c>
      <c r="AG199" t="s">
        <v>7116</v>
      </c>
      <c r="AH199">
        <v>17</v>
      </c>
      <c r="AI199">
        <v>2</v>
      </c>
      <c r="AJ199">
        <v>1</v>
      </c>
      <c r="AK199">
        <v>37.54</v>
      </c>
      <c r="AN199" t="s">
        <v>7139</v>
      </c>
      <c r="AO199">
        <v>7800</v>
      </c>
      <c r="AU199">
        <v>0</v>
      </c>
      <c r="AW199" t="s">
        <v>7341</v>
      </c>
    </row>
    <row r="200" spans="1:50">
      <c r="A200" s="1">
        <f>HYPERLINK("https://lsnyc.legalserver.org/matter/dynamic-profile/view/1877020","18-1877020")</f>
        <v>0</v>
      </c>
      <c r="B200" t="s">
        <v>85</v>
      </c>
      <c r="C200" t="s">
        <v>105</v>
      </c>
      <c r="D200" t="s">
        <v>198</v>
      </c>
      <c r="F200" t="s">
        <v>844</v>
      </c>
      <c r="G200" t="s">
        <v>1720</v>
      </c>
      <c r="H200" t="s">
        <v>2608</v>
      </c>
      <c r="I200" t="s">
        <v>3344</v>
      </c>
      <c r="J200" t="s">
        <v>3604</v>
      </c>
      <c r="K200">
        <v>10011</v>
      </c>
      <c r="L200" t="s">
        <v>3610</v>
      </c>
      <c r="M200" t="s">
        <v>3610</v>
      </c>
      <c r="N200" t="s">
        <v>3704</v>
      </c>
      <c r="O200" t="s">
        <v>4209</v>
      </c>
      <c r="P200" t="s">
        <v>4245</v>
      </c>
      <c r="R200" t="s">
        <v>4258</v>
      </c>
      <c r="S200" t="s">
        <v>3611</v>
      </c>
      <c r="U200" t="s">
        <v>4268</v>
      </c>
      <c r="W200" t="s">
        <v>198</v>
      </c>
      <c r="X200">
        <v>1608</v>
      </c>
      <c r="Y200" t="s">
        <v>4351</v>
      </c>
      <c r="Z200" t="s">
        <v>4354</v>
      </c>
      <c r="AB200" t="s">
        <v>4565</v>
      </c>
      <c r="AD200" t="s">
        <v>5990</v>
      </c>
      <c r="AE200">
        <v>0</v>
      </c>
      <c r="AF200" t="s">
        <v>7101</v>
      </c>
      <c r="AG200" t="s">
        <v>3745</v>
      </c>
      <c r="AH200">
        <v>22</v>
      </c>
      <c r="AI200">
        <v>1</v>
      </c>
      <c r="AJ200">
        <v>0</v>
      </c>
      <c r="AK200">
        <v>37.56</v>
      </c>
      <c r="AN200" t="s">
        <v>7138</v>
      </c>
      <c r="AO200">
        <v>4560</v>
      </c>
      <c r="AU200">
        <v>6.3</v>
      </c>
      <c r="AV200" t="s">
        <v>7298</v>
      </c>
      <c r="AW200" t="s">
        <v>7344</v>
      </c>
    </row>
    <row r="201" spans="1:50">
      <c r="A201" s="1">
        <f>HYPERLINK("https://lsnyc.legalserver.org/matter/dynamic-profile/view/1840299","17-1840299")</f>
        <v>0</v>
      </c>
      <c r="B201" t="s">
        <v>61</v>
      </c>
      <c r="C201" t="s">
        <v>104</v>
      </c>
      <c r="D201" t="s">
        <v>258</v>
      </c>
      <c r="E201" t="s">
        <v>668</v>
      </c>
      <c r="F201" t="s">
        <v>704</v>
      </c>
      <c r="G201" t="s">
        <v>1721</v>
      </c>
      <c r="H201" t="s">
        <v>2544</v>
      </c>
      <c r="I201" t="s">
        <v>3288</v>
      </c>
      <c r="J201" t="s">
        <v>3604</v>
      </c>
      <c r="K201">
        <v>10034</v>
      </c>
      <c r="L201" t="s">
        <v>3610</v>
      </c>
      <c r="M201" t="s">
        <v>3609</v>
      </c>
      <c r="O201" t="s">
        <v>4225</v>
      </c>
      <c r="P201" t="s">
        <v>4245</v>
      </c>
      <c r="Q201" t="s">
        <v>4249</v>
      </c>
      <c r="R201" t="s">
        <v>4258</v>
      </c>
      <c r="S201" t="s">
        <v>3611</v>
      </c>
      <c r="U201" t="s">
        <v>4268</v>
      </c>
      <c r="W201" t="s">
        <v>133</v>
      </c>
      <c r="X201">
        <v>1600</v>
      </c>
      <c r="Y201" t="s">
        <v>4351</v>
      </c>
      <c r="Z201" t="s">
        <v>4354</v>
      </c>
      <c r="AA201" t="s">
        <v>4373</v>
      </c>
      <c r="AB201" t="s">
        <v>4566</v>
      </c>
      <c r="AD201" t="s">
        <v>5991</v>
      </c>
      <c r="AE201">
        <v>65</v>
      </c>
      <c r="AF201" t="s">
        <v>7103</v>
      </c>
      <c r="AG201" t="s">
        <v>3745</v>
      </c>
      <c r="AH201">
        <v>9</v>
      </c>
      <c r="AI201">
        <v>3</v>
      </c>
      <c r="AJ201">
        <v>4</v>
      </c>
      <c r="AK201">
        <v>37.7</v>
      </c>
      <c r="AN201" t="s">
        <v>7139</v>
      </c>
      <c r="AO201">
        <v>14000</v>
      </c>
      <c r="AU201">
        <v>3.7</v>
      </c>
      <c r="AV201" t="s">
        <v>668</v>
      </c>
      <c r="AW201" t="s">
        <v>7342</v>
      </c>
    </row>
    <row r="202" spans="1:50">
      <c r="A202" s="1">
        <f>HYPERLINK("https://lsnyc.legalserver.org/matter/dynamic-profile/view/0829794","17-0829794")</f>
        <v>0</v>
      </c>
      <c r="B202" t="s">
        <v>82</v>
      </c>
      <c r="C202" t="s">
        <v>104</v>
      </c>
      <c r="D202" t="s">
        <v>259</v>
      </c>
      <c r="E202" t="s">
        <v>271</v>
      </c>
      <c r="F202" t="s">
        <v>843</v>
      </c>
      <c r="G202" t="s">
        <v>1441</v>
      </c>
      <c r="H202" t="s">
        <v>2606</v>
      </c>
      <c r="I202" t="s">
        <v>3325</v>
      </c>
      <c r="J202" t="s">
        <v>3604</v>
      </c>
      <c r="K202">
        <v>10026</v>
      </c>
      <c r="L202" t="s">
        <v>3609</v>
      </c>
      <c r="M202" t="s">
        <v>3609</v>
      </c>
      <c r="O202" t="s">
        <v>4226</v>
      </c>
      <c r="P202" t="s">
        <v>4243</v>
      </c>
      <c r="Q202" t="s">
        <v>4249</v>
      </c>
      <c r="R202" t="s">
        <v>4257</v>
      </c>
      <c r="S202" t="s">
        <v>3611</v>
      </c>
      <c r="U202" t="s">
        <v>4273</v>
      </c>
      <c r="W202" t="s">
        <v>4282</v>
      </c>
      <c r="X202">
        <v>733</v>
      </c>
      <c r="Y202" t="s">
        <v>4351</v>
      </c>
      <c r="Z202" t="s">
        <v>4355</v>
      </c>
      <c r="AA202" t="s">
        <v>4373</v>
      </c>
      <c r="AB202" t="s">
        <v>4562</v>
      </c>
      <c r="AD202" t="s">
        <v>5987</v>
      </c>
      <c r="AE202">
        <v>0</v>
      </c>
      <c r="AF202" t="s">
        <v>7108</v>
      </c>
      <c r="AG202" t="s">
        <v>3745</v>
      </c>
      <c r="AH202">
        <v>0</v>
      </c>
      <c r="AI202">
        <v>1</v>
      </c>
      <c r="AJ202">
        <v>3</v>
      </c>
      <c r="AK202">
        <v>37.8</v>
      </c>
      <c r="AL202" t="s">
        <v>369</v>
      </c>
      <c r="AN202" t="s">
        <v>7139</v>
      </c>
      <c r="AO202">
        <v>9300</v>
      </c>
      <c r="AU202">
        <v>2.4</v>
      </c>
      <c r="AV202" t="s">
        <v>7299</v>
      </c>
      <c r="AW202" t="s">
        <v>7341</v>
      </c>
    </row>
    <row r="203" spans="1:50">
      <c r="A203" s="1">
        <f>HYPERLINK("https://lsnyc.legalserver.org/matter/dynamic-profile/view/1873178","18-1873178")</f>
        <v>0</v>
      </c>
      <c r="B203" t="s">
        <v>61</v>
      </c>
      <c r="C203" t="s">
        <v>105</v>
      </c>
      <c r="D203" t="s">
        <v>260</v>
      </c>
      <c r="F203" t="s">
        <v>845</v>
      </c>
      <c r="G203" t="s">
        <v>1722</v>
      </c>
      <c r="H203" t="s">
        <v>2472</v>
      </c>
      <c r="I203" t="s">
        <v>3356</v>
      </c>
      <c r="J203" t="s">
        <v>3604</v>
      </c>
      <c r="K203">
        <v>10034</v>
      </c>
      <c r="L203" t="s">
        <v>3610</v>
      </c>
      <c r="M203" t="s">
        <v>3610</v>
      </c>
      <c r="N203" t="s">
        <v>3619</v>
      </c>
      <c r="O203" t="s">
        <v>4213</v>
      </c>
      <c r="P203" t="s">
        <v>4241</v>
      </c>
      <c r="R203" t="s">
        <v>4258</v>
      </c>
      <c r="S203" t="s">
        <v>3610</v>
      </c>
      <c r="U203" t="s">
        <v>4268</v>
      </c>
      <c r="W203" t="s">
        <v>260</v>
      </c>
      <c r="X203">
        <v>1585</v>
      </c>
      <c r="Y203" t="s">
        <v>4351</v>
      </c>
      <c r="Z203" t="s">
        <v>4354</v>
      </c>
      <c r="AB203" t="s">
        <v>4567</v>
      </c>
      <c r="AD203" t="s">
        <v>5992</v>
      </c>
      <c r="AE203">
        <v>67</v>
      </c>
      <c r="AF203" t="s">
        <v>7101</v>
      </c>
      <c r="AG203" t="s">
        <v>3745</v>
      </c>
      <c r="AH203">
        <v>2</v>
      </c>
      <c r="AI203">
        <v>2</v>
      </c>
      <c r="AJ203">
        <v>0</v>
      </c>
      <c r="AK203">
        <v>37.83</v>
      </c>
      <c r="AN203" t="s">
        <v>7138</v>
      </c>
      <c r="AO203">
        <v>6227</v>
      </c>
      <c r="AU203">
        <v>1.3</v>
      </c>
      <c r="AV203" t="s">
        <v>4293</v>
      </c>
      <c r="AW203" t="s">
        <v>7342</v>
      </c>
      <c r="AX203" t="s">
        <v>7377</v>
      </c>
    </row>
    <row r="204" spans="1:50">
      <c r="A204" s="1">
        <f>HYPERLINK("https://lsnyc.legalserver.org/matter/dynamic-profile/view/1897622","19-1897622")</f>
        <v>0</v>
      </c>
      <c r="B204" t="s">
        <v>61</v>
      </c>
      <c r="C204" t="s">
        <v>105</v>
      </c>
      <c r="D204" t="s">
        <v>261</v>
      </c>
      <c r="F204" t="s">
        <v>846</v>
      </c>
      <c r="G204" t="s">
        <v>704</v>
      </c>
      <c r="H204" t="s">
        <v>2609</v>
      </c>
      <c r="I204">
        <v>24</v>
      </c>
      <c r="J204" t="s">
        <v>3604</v>
      </c>
      <c r="K204">
        <v>10033</v>
      </c>
      <c r="L204" t="s">
        <v>3610</v>
      </c>
      <c r="M204" t="s">
        <v>3610</v>
      </c>
      <c r="N204" t="s">
        <v>3705</v>
      </c>
      <c r="O204" t="s">
        <v>4209</v>
      </c>
      <c r="P204" t="s">
        <v>4241</v>
      </c>
      <c r="R204" t="s">
        <v>4258</v>
      </c>
      <c r="S204" t="s">
        <v>3611</v>
      </c>
      <c r="U204" t="s">
        <v>4268</v>
      </c>
      <c r="W204" t="s">
        <v>261</v>
      </c>
      <c r="X204">
        <v>816.66</v>
      </c>
      <c r="Y204" t="s">
        <v>4351</v>
      </c>
      <c r="Z204" t="s">
        <v>4354</v>
      </c>
      <c r="AB204" t="s">
        <v>4568</v>
      </c>
      <c r="AD204" t="s">
        <v>5993</v>
      </c>
      <c r="AE204">
        <v>20</v>
      </c>
      <c r="AF204" t="s">
        <v>7101</v>
      </c>
      <c r="AG204" t="s">
        <v>3745</v>
      </c>
      <c r="AH204">
        <v>23</v>
      </c>
      <c r="AI204">
        <v>1</v>
      </c>
      <c r="AJ204">
        <v>0</v>
      </c>
      <c r="AK204">
        <v>38.24</v>
      </c>
      <c r="AN204" t="s">
        <v>7139</v>
      </c>
      <c r="AO204">
        <v>4776</v>
      </c>
      <c r="AU204">
        <v>10.7</v>
      </c>
      <c r="AV204" t="s">
        <v>196</v>
      </c>
      <c r="AW204" t="s">
        <v>7342</v>
      </c>
      <c r="AX204" t="s">
        <v>7377</v>
      </c>
    </row>
    <row r="205" spans="1:50">
      <c r="A205" s="1">
        <f>HYPERLINK("https://lsnyc.legalserver.org/matter/dynamic-profile/view/1897652","19-1897652")</f>
        <v>0</v>
      </c>
      <c r="B205" t="s">
        <v>61</v>
      </c>
      <c r="C205" t="s">
        <v>105</v>
      </c>
      <c r="D205" t="s">
        <v>261</v>
      </c>
      <c r="F205" t="s">
        <v>846</v>
      </c>
      <c r="G205" t="s">
        <v>704</v>
      </c>
      <c r="H205" t="s">
        <v>2609</v>
      </c>
      <c r="I205">
        <v>24</v>
      </c>
      <c r="J205" t="s">
        <v>3604</v>
      </c>
      <c r="K205">
        <v>10033</v>
      </c>
      <c r="L205" t="s">
        <v>3610</v>
      </c>
      <c r="M205" t="s">
        <v>3610</v>
      </c>
      <c r="O205" t="s">
        <v>4217</v>
      </c>
      <c r="P205" t="s">
        <v>4245</v>
      </c>
      <c r="R205" t="s">
        <v>4258</v>
      </c>
      <c r="S205" t="s">
        <v>3611</v>
      </c>
      <c r="U205" t="s">
        <v>4268</v>
      </c>
      <c r="W205" t="s">
        <v>261</v>
      </c>
      <c r="X205">
        <v>816.66</v>
      </c>
      <c r="Y205" t="s">
        <v>4351</v>
      </c>
      <c r="Z205" t="s">
        <v>4357</v>
      </c>
      <c r="AB205" t="s">
        <v>4568</v>
      </c>
      <c r="AD205" t="s">
        <v>5993</v>
      </c>
      <c r="AE205">
        <v>20</v>
      </c>
      <c r="AF205" t="s">
        <v>7101</v>
      </c>
      <c r="AG205" t="s">
        <v>3745</v>
      </c>
      <c r="AH205">
        <v>23</v>
      </c>
      <c r="AI205">
        <v>1</v>
      </c>
      <c r="AJ205">
        <v>0</v>
      </c>
      <c r="AK205">
        <v>38.24</v>
      </c>
      <c r="AN205" t="s">
        <v>7139</v>
      </c>
      <c r="AO205">
        <v>4776</v>
      </c>
      <c r="AU205">
        <v>0</v>
      </c>
      <c r="AV205" t="s">
        <v>390</v>
      </c>
      <c r="AW205" t="s">
        <v>7342</v>
      </c>
      <c r="AX205" t="s">
        <v>7377</v>
      </c>
    </row>
    <row r="206" spans="1:50">
      <c r="A206" s="1">
        <f>HYPERLINK("https://lsnyc.legalserver.org/matter/dynamic-profile/view/1897636","19-1897636")</f>
        <v>0</v>
      </c>
      <c r="B206" t="s">
        <v>61</v>
      </c>
      <c r="C206" t="s">
        <v>105</v>
      </c>
      <c r="D206" t="s">
        <v>261</v>
      </c>
      <c r="F206" t="s">
        <v>846</v>
      </c>
      <c r="G206" t="s">
        <v>704</v>
      </c>
      <c r="H206" t="s">
        <v>2609</v>
      </c>
      <c r="I206">
        <v>24</v>
      </c>
      <c r="J206" t="s">
        <v>3604</v>
      </c>
      <c r="K206">
        <v>10033</v>
      </c>
      <c r="L206" t="s">
        <v>3610</v>
      </c>
      <c r="M206" t="s">
        <v>3610</v>
      </c>
      <c r="O206" t="s">
        <v>4219</v>
      </c>
      <c r="P206" t="s">
        <v>4241</v>
      </c>
      <c r="R206" t="s">
        <v>4258</v>
      </c>
      <c r="S206" t="s">
        <v>3611</v>
      </c>
      <c r="U206" t="s">
        <v>4268</v>
      </c>
      <c r="W206" t="s">
        <v>261</v>
      </c>
      <c r="X206">
        <v>816.66</v>
      </c>
      <c r="Y206" t="s">
        <v>4351</v>
      </c>
      <c r="Z206" t="s">
        <v>4357</v>
      </c>
      <c r="AB206" t="s">
        <v>4568</v>
      </c>
      <c r="AD206" t="s">
        <v>5993</v>
      </c>
      <c r="AE206">
        <v>20</v>
      </c>
      <c r="AF206" t="s">
        <v>7101</v>
      </c>
      <c r="AG206" t="s">
        <v>3745</v>
      </c>
      <c r="AH206">
        <v>23</v>
      </c>
      <c r="AI206">
        <v>1</v>
      </c>
      <c r="AJ206">
        <v>0</v>
      </c>
      <c r="AK206">
        <v>38.24</v>
      </c>
      <c r="AN206" t="s">
        <v>7139</v>
      </c>
      <c r="AO206">
        <v>4776</v>
      </c>
      <c r="AU206">
        <v>1.5</v>
      </c>
      <c r="AV206" t="s">
        <v>676</v>
      </c>
      <c r="AW206" t="s">
        <v>7342</v>
      </c>
      <c r="AX206" t="s">
        <v>7377</v>
      </c>
    </row>
    <row r="207" spans="1:50">
      <c r="A207" s="1">
        <f>HYPERLINK("https://lsnyc.legalserver.org/matter/dynamic-profile/view/1882546","18-1882546")</f>
        <v>0</v>
      </c>
      <c r="B207" t="s">
        <v>63</v>
      </c>
      <c r="C207" t="s">
        <v>104</v>
      </c>
      <c r="D207" t="s">
        <v>262</v>
      </c>
      <c r="E207" t="s">
        <v>156</v>
      </c>
      <c r="F207" t="s">
        <v>727</v>
      </c>
      <c r="G207" t="s">
        <v>1723</v>
      </c>
      <c r="H207" t="s">
        <v>2477</v>
      </c>
      <c r="I207">
        <v>31</v>
      </c>
      <c r="J207" t="s">
        <v>3604</v>
      </c>
      <c r="K207">
        <v>10034</v>
      </c>
      <c r="L207" t="s">
        <v>3610</v>
      </c>
      <c r="M207" t="s">
        <v>3610</v>
      </c>
      <c r="N207" t="s">
        <v>3706</v>
      </c>
      <c r="O207" t="s">
        <v>4209</v>
      </c>
      <c r="P207" t="s">
        <v>4242</v>
      </c>
      <c r="Q207" t="s">
        <v>4250</v>
      </c>
      <c r="R207" t="s">
        <v>4258</v>
      </c>
      <c r="S207" t="s">
        <v>3611</v>
      </c>
      <c r="U207" t="s">
        <v>4268</v>
      </c>
      <c r="V207" t="s">
        <v>4274</v>
      </c>
      <c r="W207" t="s">
        <v>665</v>
      </c>
      <c r="X207">
        <v>984.99</v>
      </c>
      <c r="Y207" t="s">
        <v>4351</v>
      </c>
      <c r="Z207" t="s">
        <v>4353</v>
      </c>
      <c r="AA207" t="s">
        <v>4373</v>
      </c>
      <c r="AB207" t="s">
        <v>4569</v>
      </c>
      <c r="AD207" t="s">
        <v>5994</v>
      </c>
      <c r="AE207">
        <v>42</v>
      </c>
      <c r="AF207" t="s">
        <v>7101</v>
      </c>
      <c r="AG207" t="s">
        <v>4228</v>
      </c>
      <c r="AH207">
        <v>16</v>
      </c>
      <c r="AI207">
        <v>1</v>
      </c>
      <c r="AJ207">
        <v>0</v>
      </c>
      <c r="AK207">
        <v>38.55</v>
      </c>
      <c r="AM207" t="s">
        <v>7134</v>
      </c>
      <c r="AN207" t="s">
        <v>7139</v>
      </c>
      <c r="AO207">
        <v>4680</v>
      </c>
      <c r="AU207">
        <v>0.35</v>
      </c>
      <c r="AV207" t="s">
        <v>438</v>
      </c>
      <c r="AW207" t="s">
        <v>7359</v>
      </c>
    </row>
    <row r="208" spans="1:50">
      <c r="A208" s="1">
        <f>HYPERLINK("https://lsnyc.legalserver.org/matter/dynamic-profile/view/1881365","18-1881365")</f>
        <v>0</v>
      </c>
      <c r="B208" t="s">
        <v>53</v>
      </c>
      <c r="C208" t="s">
        <v>105</v>
      </c>
      <c r="D208" t="s">
        <v>220</v>
      </c>
      <c r="F208" t="s">
        <v>847</v>
      </c>
      <c r="G208" t="s">
        <v>1724</v>
      </c>
      <c r="H208" t="s">
        <v>2565</v>
      </c>
      <c r="I208" t="s">
        <v>3357</v>
      </c>
      <c r="J208" t="s">
        <v>3604</v>
      </c>
      <c r="K208">
        <v>10031</v>
      </c>
      <c r="L208" t="s">
        <v>3610</v>
      </c>
      <c r="M208" t="s">
        <v>3610</v>
      </c>
      <c r="N208" t="s">
        <v>3676</v>
      </c>
      <c r="O208" t="s">
        <v>4213</v>
      </c>
      <c r="P208" t="s">
        <v>4241</v>
      </c>
      <c r="R208" t="s">
        <v>4258</v>
      </c>
      <c r="S208" t="s">
        <v>3610</v>
      </c>
      <c r="U208" t="s">
        <v>4268</v>
      </c>
      <c r="V208" t="s">
        <v>4274</v>
      </c>
      <c r="W208" t="s">
        <v>293</v>
      </c>
      <c r="X208">
        <v>2216</v>
      </c>
      <c r="Y208" t="s">
        <v>4351</v>
      </c>
      <c r="Z208" t="s">
        <v>4361</v>
      </c>
      <c r="AB208" t="s">
        <v>4570</v>
      </c>
      <c r="AD208" t="s">
        <v>5995</v>
      </c>
      <c r="AE208">
        <v>44</v>
      </c>
      <c r="AF208" t="s">
        <v>7106</v>
      </c>
      <c r="AG208" t="s">
        <v>7116</v>
      </c>
      <c r="AH208">
        <v>10</v>
      </c>
      <c r="AI208">
        <v>1</v>
      </c>
      <c r="AJ208">
        <v>0</v>
      </c>
      <c r="AK208">
        <v>39.35</v>
      </c>
      <c r="AN208" t="s">
        <v>7138</v>
      </c>
      <c r="AO208">
        <v>4777</v>
      </c>
      <c r="AU208">
        <v>3</v>
      </c>
      <c r="AV208" t="s">
        <v>7300</v>
      </c>
      <c r="AW208" t="s">
        <v>7341</v>
      </c>
    </row>
    <row r="209" spans="1:50">
      <c r="A209" s="1">
        <f>HYPERLINK("https://lsnyc.legalserver.org/matter/dynamic-profile/view/1880512","18-1880512")</f>
        <v>0</v>
      </c>
      <c r="B209" t="s">
        <v>62</v>
      </c>
      <c r="C209" t="s">
        <v>104</v>
      </c>
      <c r="D209" t="s">
        <v>263</v>
      </c>
      <c r="E209" t="s">
        <v>236</v>
      </c>
      <c r="F209" t="s">
        <v>848</v>
      </c>
      <c r="G209" t="s">
        <v>1725</v>
      </c>
      <c r="H209" t="s">
        <v>2610</v>
      </c>
      <c r="I209" t="s">
        <v>3358</v>
      </c>
      <c r="J209" t="s">
        <v>3604</v>
      </c>
      <c r="K209">
        <v>10034</v>
      </c>
      <c r="L209" t="s">
        <v>3610</v>
      </c>
      <c r="M209" t="s">
        <v>3610</v>
      </c>
      <c r="O209" t="s">
        <v>4213</v>
      </c>
      <c r="P209" t="s">
        <v>4242</v>
      </c>
      <c r="Q209" t="s">
        <v>4250</v>
      </c>
      <c r="R209" t="s">
        <v>4258</v>
      </c>
      <c r="S209" t="s">
        <v>3611</v>
      </c>
      <c r="U209" t="s">
        <v>4268</v>
      </c>
      <c r="W209" t="s">
        <v>263</v>
      </c>
      <c r="X209">
        <v>1395</v>
      </c>
      <c r="Y209" t="s">
        <v>4351</v>
      </c>
      <c r="Z209" t="s">
        <v>4357</v>
      </c>
      <c r="AA209" t="s">
        <v>4373</v>
      </c>
      <c r="AB209" t="s">
        <v>4571</v>
      </c>
      <c r="AD209" t="s">
        <v>5996</v>
      </c>
      <c r="AE209">
        <v>160</v>
      </c>
      <c r="AF209" t="s">
        <v>7101</v>
      </c>
      <c r="AG209" t="s">
        <v>3745</v>
      </c>
      <c r="AH209">
        <v>20</v>
      </c>
      <c r="AI209">
        <v>1</v>
      </c>
      <c r="AJ209">
        <v>0</v>
      </c>
      <c r="AK209">
        <v>39.54</v>
      </c>
      <c r="AN209" t="s">
        <v>7138</v>
      </c>
      <c r="AO209">
        <v>4800</v>
      </c>
      <c r="AU209">
        <v>1</v>
      </c>
      <c r="AV209" t="s">
        <v>263</v>
      </c>
      <c r="AW209" t="s">
        <v>7342</v>
      </c>
    </row>
    <row r="210" spans="1:50">
      <c r="A210" s="1">
        <f>HYPERLINK("https://lsnyc.legalserver.org/matter/dynamic-profile/view/1866247","18-1866247")</f>
        <v>0</v>
      </c>
      <c r="B210" t="s">
        <v>62</v>
      </c>
      <c r="C210" t="s">
        <v>104</v>
      </c>
      <c r="D210" t="s">
        <v>239</v>
      </c>
      <c r="E210" t="s">
        <v>192</v>
      </c>
      <c r="F210" t="s">
        <v>848</v>
      </c>
      <c r="G210" t="s">
        <v>1725</v>
      </c>
      <c r="H210" t="s">
        <v>2610</v>
      </c>
      <c r="I210" t="s">
        <v>3358</v>
      </c>
      <c r="J210" t="s">
        <v>3604</v>
      </c>
      <c r="K210">
        <v>10034</v>
      </c>
      <c r="L210" t="s">
        <v>3610</v>
      </c>
      <c r="M210" t="s">
        <v>3610</v>
      </c>
      <c r="O210" t="s">
        <v>4209</v>
      </c>
      <c r="P210" t="s">
        <v>4241</v>
      </c>
      <c r="Q210" t="s">
        <v>4248</v>
      </c>
      <c r="R210" t="s">
        <v>4258</v>
      </c>
      <c r="U210" t="s">
        <v>4268</v>
      </c>
      <c r="W210" t="s">
        <v>225</v>
      </c>
      <c r="X210">
        <v>1395</v>
      </c>
      <c r="Y210" t="s">
        <v>4351</v>
      </c>
      <c r="Z210" t="s">
        <v>4363</v>
      </c>
      <c r="AA210" t="s">
        <v>4373</v>
      </c>
      <c r="AB210" t="s">
        <v>4571</v>
      </c>
      <c r="AD210" t="s">
        <v>5996</v>
      </c>
      <c r="AE210">
        <v>20</v>
      </c>
      <c r="AF210" t="s">
        <v>7101</v>
      </c>
      <c r="AG210" t="s">
        <v>3745</v>
      </c>
      <c r="AH210">
        <v>20</v>
      </c>
      <c r="AI210">
        <v>1</v>
      </c>
      <c r="AJ210">
        <v>0</v>
      </c>
      <c r="AK210">
        <v>39.54</v>
      </c>
      <c r="AN210" t="s">
        <v>7138</v>
      </c>
      <c r="AO210">
        <v>4800</v>
      </c>
      <c r="AU210">
        <v>22.4</v>
      </c>
      <c r="AV210" t="s">
        <v>262</v>
      </c>
      <c r="AW210" t="s">
        <v>7353</v>
      </c>
    </row>
    <row r="211" spans="1:50">
      <c r="A211" s="1">
        <f>HYPERLINK("https://lsnyc.legalserver.org/matter/dynamic-profile/view/1874194","18-1874194")</f>
        <v>0</v>
      </c>
      <c r="B211" t="s">
        <v>53</v>
      </c>
      <c r="C211" t="s">
        <v>104</v>
      </c>
      <c r="D211" t="s">
        <v>173</v>
      </c>
      <c r="E211" t="s">
        <v>325</v>
      </c>
      <c r="F211" t="s">
        <v>849</v>
      </c>
      <c r="G211" t="s">
        <v>1669</v>
      </c>
      <c r="H211" t="s">
        <v>2611</v>
      </c>
      <c r="I211" t="s">
        <v>3314</v>
      </c>
      <c r="J211" t="s">
        <v>3604</v>
      </c>
      <c r="K211">
        <v>10035</v>
      </c>
      <c r="L211" t="s">
        <v>3610</v>
      </c>
      <c r="M211" t="s">
        <v>3610</v>
      </c>
      <c r="N211" t="s">
        <v>3707</v>
      </c>
      <c r="O211" t="s">
        <v>4209</v>
      </c>
      <c r="P211" t="s">
        <v>4241</v>
      </c>
      <c r="Q211" t="s">
        <v>4248</v>
      </c>
      <c r="R211" t="s">
        <v>4258</v>
      </c>
      <c r="S211" t="s">
        <v>3611</v>
      </c>
      <c r="U211" t="s">
        <v>4268</v>
      </c>
      <c r="V211" t="s">
        <v>4274</v>
      </c>
      <c r="W211" t="s">
        <v>173</v>
      </c>
      <c r="X211">
        <v>953.39</v>
      </c>
      <c r="Y211" t="s">
        <v>4351</v>
      </c>
      <c r="Z211" t="s">
        <v>4354</v>
      </c>
      <c r="AA211" t="s">
        <v>4374</v>
      </c>
      <c r="AB211" t="s">
        <v>4572</v>
      </c>
      <c r="AD211" t="s">
        <v>5997</v>
      </c>
      <c r="AE211">
        <v>9</v>
      </c>
      <c r="AF211" t="s">
        <v>7101</v>
      </c>
      <c r="AG211" t="s">
        <v>7121</v>
      </c>
      <c r="AH211">
        <v>3</v>
      </c>
      <c r="AI211">
        <v>1</v>
      </c>
      <c r="AJ211">
        <v>0</v>
      </c>
      <c r="AK211">
        <v>39.84</v>
      </c>
      <c r="AN211" t="s">
        <v>7138</v>
      </c>
      <c r="AO211">
        <v>4836</v>
      </c>
      <c r="AQ211" t="s">
        <v>7196</v>
      </c>
      <c r="AR211" t="s">
        <v>7212</v>
      </c>
      <c r="AS211" t="s">
        <v>7231</v>
      </c>
      <c r="AT211" t="s">
        <v>7246</v>
      </c>
      <c r="AU211">
        <v>42.65</v>
      </c>
      <c r="AV211" t="s">
        <v>340</v>
      </c>
      <c r="AW211" t="s">
        <v>7341</v>
      </c>
      <c r="AX211" t="s">
        <v>7377</v>
      </c>
    </row>
    <row r="212" spans="1:50">
      <c r="A212" s="1">
        <f>HYPERLINK("https://lsnyc.legalserver.org/matter/dynamic-profile/view/1887510","19-1887510")</f>
        <v>0</v>
      </c>
      <c r="B212" t="s">
        <v>52</v>
      </c>
      <c r="C212" t="s">
        <v>105</v>
      </c>
      <c r="D212" t="s">
        <v>264</v>
      </c>
      <c r="F212" t="s">
        <v>850</v>
      </c>
      <c r="G212" t="s">
        <v>1726</v>
      </c>
      <c r="H212" t="s">
        <v>2612</v>
      </c>
      <c r="I212" t="s">
        <v>3359</v>
      </c>
      <c r="J212" t="s">
        <v>3604</v>
      </c>
      <c r="K212">
        <v>10034</v>
      </c>
      <c r="L212" t="s">
        <v>3610</v>
      </c>
      <c r="M212" t="s">
        <v>3610</v>
      </c>
      <c r="N212" t="s">
        <v>3708</v>
      </c>
      <c r="O212" t="s">
        <v>4209</v>
      </c>
      <c r="P212" t="s">
        <v>4241</v>
      </c>
      <c r="R212" t="s">
        <v>4258</v>
      </c>
      <c r="S212" t="s">
        <v>3611</v>
      </c>
      <c r="U212" t="s">
        <v>4268</v>
      </c>
      <c r="V212" t="s">
        <v>4276</v>
      </c>
      <c r="W212" t="s">
        <v>264</v>
      </c>
      <c r="X212">
        <v>1223.79</v>
      </c>
      <c r="Y212" t="s">
        <v>4351</v>
      </c>
      <c r="Z212" t="s">
        <v>4353</v>
      </c>
      <c r="AB212" t="s">
        <v>4573</v>
      </c>
      <c r="AC212" t="s">
        <v>5803</v>
      </c>
      <c r="AD212" t="s">
        <v>5998</v>
      </c>
      <c r="AE212">
        <v>0</v>
      </c>
      <c r="AF212" t="s">
        <v>7105</v>
      </c>
      <c r="AG212" t="s">
        <v>7116</v>
      </c>
      <c r="AH212">
        <v>14</v>
      </c>
      <c r="AI212">
        <v>1</v>
      </c>
      <c r="AJ212">
        <v>2</v>
      </c>
      <c r="AK212">
        <v>40.14</v>
      </c>
      <c r="AN212" t="s">
        <v>7138</v>
      </c>
      <c r="AO212">
        <v>8341.200000000001</v>
      </c>
      <c r="AU212">
        <v>28.85</v>
      </c>
      <c r="AV212" t="s">
        <v>321</v>
      </c>
      <c r="AW212" t="s">
        <v>7344</v>
      </c>
    </row>
    <row r="213" spans="1:50">
      <c r="A213" s="1">
        <f>HYPERLINK("https://lsnyc.legalserver.org/matter/dynamic-profile/view/1847171","17-1847171")</f>
        <v>0</v>
      </c>
      <c r="B213" t="s">
        <v>55</v>
      </c>
      <c r="C213" t="s">
        <v>104</v>
      </c>
      <c r="D213" t="s">
        <v>265</v>
      </c>
      <c r="E213" t="s">
        <v>575</v>
      </c>
      <c r="F213" t="s">
        <v>851</v>
      </c>
      <c r="G213" t="s">
        <v>1727</v>
      </c>
      <c r="H213" t="s">
        <v>2613</v>
      </c>
      <c r="I213" t="s">
        <v>3316</v>
      </c>
      <c r="J213" t="s">
        <v>3604</v>
      </c>
      <c r="K213">
        <v>10029</v>
      </c>
      <c r="L213" t="s">
        <v>3610</v>
      </c>
      <c r="M213" t="s">
        <v>3610</v>
      </c>
      <c r="O213" t="s">
        <v>4211</v>
      </c>
      <c r="P213" t="s">
        <v>4245</v>
      </c>
      <c r="Q213" t="s">
        <v>4249</v>
      </c>
      <c r="R213" t="s">
        <v>4258</v>
      </c>
      <c r="S213" t="s">
        <v>3611</v>
      </c>
      <c r="U213" t="s">
        <v>4268</v>
      </c>
      <c r="V213" t="s">
        <v>4274</v>
      </c>
      <c r="W213" t="s">
        <v>265</v>
      </c>
      <c r="X213">
        <v>250</v>
      </c>
      <c r="Y213" t="s">
        <v>4351</v>
      </c>
      <c r="Z213" t="s">
        <v>4354</v>
      </c>
      <c r="AA213" t="s">
        <v>4373</v>
      </c>
      <c r="AB213" t="s">
        <v>4574</v>
      </c>
      <c r="AD213" t="s">
        <v>5999</v>
      </c>
      <c r="AE213">
        <v>10</v>
      </c>
      <c r="AF213" t="s">
        <v>7104</v>
      </c>
      <c r="AG213" t="s">
        <v>3745</v>
      </c>
      <c r="AH213">
        <v>45</v>
      </c>
      <c r="AI213">
        <v>2</v>
      </c>
      <c r="AJ213">
        <v>0</v>
      </c>
      <c r="AK213">
        <v>40.24</v>
      </c>
      <c r="AN213" t="s">
        <v>7138</v>
      </c>
      <c r="AO213">
        <v>6535.2</v>
      </c>
      <c r="AU213">
        <v>16.1</v>
      </c>
      <c r="AV213" t="s">
        <v>377</v>
      </c>
      <c r="AW213" t="s">
        <v>7341</v>
      </c>
    </row>
    <row r="214" spans="1:50">
      <c r="A214" s="1">
        <f>HYPERLINK("https://lsnyc.legalserver.org/matter/dynamic-profile/view/0822474","16-0822474")</f>
        <v>0</v>
      </c>
      <c r="B214" t="s">
        <v>64</v>
      </c>
      <c r="C214" t="s">
        <v>104</v>
      </c>
      <c r="D214" t="s">
        <v>266</v>
      </c>
      <c r="E214" t="s">
        <v>341</v>
      </c>
      <c r="F214" t="s">
        <v>852</v>
      </c>
      <c r="G214" t="s">
        <v>1728</v>
      </c>
      <c r="H214" t="s">
        <v>2496</v>
      </c>
      <c r="I214">
        <v>63</v>
      </c>
      <c r="J214" t="s">
        <v>3604</v>
      </c>
      <c r="K214">
        <v>10032</v>
      </c>
      <c r="L214" t="s">
        <v>3610</v>
      </c>
      <c r="M214" t="s">
        <v>3609</v>
      </c>
      <c r="P214" t="s">
        <v>4244</v>
      </c>
      <c r="Q214" t="s">
        <v>4254</v>
      </c>
      <c r="R214" t="s">
        <v>4258</v>
      </c>
      <c r="S214" t="s">
        <v>3610</v>
      </c>
      <c r="U214" t="s">
        <v>4268</v>
      </c>
      <c r="W214" t="s">
        <v>228</v>
      </c>
      <c r="X214">
        <v>333.87</v>
      </c>
      <c r="Y214" t="s">
        <v>4351</v>
      </c>
      <c r="Z214" t="s">
        <v>4352</v>
      </c>
      <c r="AA214" t="s">
        <v>4377</v>
      </c>
      <c r="AB214" t="s">
        <v>4575</v>
      </c>
      <c r="AD214" t="s">
        <v>6000</v>
      </c>
      <c r="AE214">
        <v>35</v>
      </c>
      <c r="AF214" t="s">
        <v>7104</v>
      </c>
      <c r="AG214" t="s">
        <v>3745</v>
      </c>
      <c r="AH214">
        <v>53</v>
      </c>
      <c r="AI214">
        <v>1</v>
      </c>
      <c r="AJ214">
        <v>0</v>
      </c>
      <c r="AK214">
        <v>40.4</v>
      </c>
      <c r="AL214" t="s">
        <v>4311</v>
      </c>
      <c r="AN214" t="s">
        <v>7138</v>
      </c>
      <c r="AO214">
        <v>4800</v>
      </c>
      <c r="AU214">
        <v>26.4</v>
      </c>
      <c r="AV214" t="s">
        <v>359</v>
      </c>
      <c r="AW214" t="s">
        <v>64</v>
      </c>
    </row>
    <row r="215" spans="1:50">
      <c r="A215" s="1">
        <f>HYPERLINK("https://lsnyc.legalserver.org/matter/dynamic-profile/view/1846774","17-1846774")</f>
        <v>0</v>
      </c>
      <c r="B215" t="s">
        <v>53</v>
      </c>
      <c r="C215" t="s">
        <v>104</v>
      </c>
      <c r="D215" t="s">
        <v>267</v>
      </c>
      <c r="E215" t="s">
        <v>396</v>
      </c>
      <c r="F215" t="s">
        <v>853</v>
      </c>
      <c r="G215" t="s">
        <v>1729</v>
      </c>
      <c r="H215" t="s">
        <v>2531</v>
      </c>
      <c r="I215" t="s">
        <v>3291</v>
      </c>
      <c r="J215" t="s">
        <v>3604</v>
      </c>
      <c r="K215">
        <v>10035</v>
      </c>
      <c r="L215" t="s">
        <v>3610</v>
      </c>
      <c r="M215" t="s">
        <v>3610</v>
      </c>
      <c r="N215" t="s">
        <v>3709</v>
      </c>
      <c r="O215" t="s">
        <v>4213</v>
      </c>
      <c r="P215" t="s">
        <v>4241</v>
      </c>
      <c r="Q215" t="s">
        <v>4248</v>
      </c>
      <c r="R215" t="s">
        <v>4258</v>
      </c>
      <c r="S215" t="s">
        <v>3610</v>
      </c>
      <c r="U215" t="s">
        <v>4268</v>
      </c>
      <c r="V215" t="s">
        <v>4274</v>
      </c>
      <c r="W215" t="s">
        <v>472</v>
      </c>
      <c r="X215">
        <v>858.95</v>
      </c>
      <c r="Y215" t="s">
        <v>4351</v>
      </c>
      <c r="Z215" t="s">
        <v>4357</v>
      </c>
      <c r="AA215" t="s">
        <v>4379</v>
      </c>
      <c r="AB215" t="s">
        <v>4576</v>
      </c>
      <c r="AD215" t="s">
        <v>6001</v>
      </c>
      <c r="AE215">
        <v>35</v>
      </c>
      <c r="AF215" t="s">
        <v>7101</v>
      </c>
      <c r="AG215" t="s">
        <v>3745</v>
      </c>
      <c r="AH215">
        <v>23</v>
      </c>
      <c r="AI215">
        <v>3</v>
      </c>
      <c r="AJ215">
        <v>1</v>
      </c>
      <c r="AK215">
        <v>40.65</v>
      </c>
      <c r="AN215" t="s">
        <v>7139</v>
      </c>
      <c r="AO215">
        <v>10000</v>
      </c>
      <c r="AQ215" t="s">
        <v>7197</v>
      </c>
      <c r="AR215" t="s">
        <v>7208</v>
      </c>
      <c r="AS215" t="s">
        <v>7231</v>
      </c>
      <c r="AT215" t="s">
        <v>7244</v>
      </c>
      <c r="AU215">
        <v>7.55</v>
      </c>
      <c r="AV215" t="s">
        <v>500</v>
      </c>
      <c r="AW215" t="s">
        <v>7341</v>
      </c>
      <c r="AX215" t="s">
        <v>7377</v>
      </c>
    </row>
    <row r="216" spans="1:50">
      <c r="A216" s="1">
        <f>HYPERLINK("https://lsnyc.legalserver.org/matter/dynamic-profile/view/1839991","17-1839991")</f>
        <v>0</v>
      </c>
      <c r="B216" t="s">
        <v>53</v>
      </c>
      <c r="C216" t="s">
        <v>104</v>
      </c>
      <c r="D216" t="s">
        <v>268</v>
      </c>
      <c r="E216" t="s">
        <v>260</v>
      </c>
      <c r="F216" t="s">
        <v>854</v>
      </c>
      <c r="G216" t="s">
        <v>1730</v>
      </c>
      <c r="H216" t="s">
        <v>2594</v>
      </c>
      <c r="I216" t="s">
        <v>3294</v>
      </c>
      <c r="J216" t="s">
        <v>3604</v>
      </c>
      <c r="K216">
        <v>10034</v>
      </c>
      <c r="L216" t="s">
        <v>3610</v>
      </c>
      <c r="M216" t="s">
        <v>3609</v>
      </c>
      <c r="O216" t="s">
        <v>4211</v>
      </c>
      <c r="P216" t="s">
        <v>4245</v>
      </c>
      <c r="Q216" t="s">
        <v>4249</v>
      </c>
      <c r="R216" t="s">
        <v>4258</v>
      </c>
      <c r="S216" t="s">
        <v>3611</v>
      </c>
      <c r="U216" t="s">
        <v>4268</v>
      </c>
      <c r="W216" t="s">
        <v>379</v>
      </c>
      <c r="X216">
        <v>294.68</v>
      </c>
      <c r="Y216" t="s">
        <v>4351</v>
      </c>
      <c r="Z216" t="s">
        <v>4354</v>
      </c>
      <c r="AA216" t="s">
        <v>4385</v>
      </c>
      <c r="AB216" t="s">
        <v>4577</v>
      </c>
      <c r="AE216">
        <v>50</v>
      </c>
      <c r="AF216" t="s">
        <v>7101</v>
      </c>
      <c r="AG216" t="s">
        <v>3745</v>
      </c>
      <c r="AH216">
        <v>49</v>
      </c>
      <c r="AI216">
        <v>3</v>
      </c>
      <c r="AJ216">
        <v>0</v>
      </c>
      <c r="AK216">
        <v>41.14</v>
      </c>
      <c r="AN216" t="s">
        <v>7139</v>
      </c>
      <c r="AO216">
        <v>8400</v>
      </c>
      <c r="AP216" t="s">
        <v>7169</v>
      </c>
      <c r="AU216">
        <v>2</v>
      </c>
      <c r="AV216" t="s">
        <v>7301</v>
      </c>
      <c r="AW216" t="s">
        <v>7342</v>
      </c>
    </row>
    <row r="217" spans="1:50">
      <c r="A217" s="1">
        <f>HYPERLINK("https://lsnyc.legalserver.org/matter/dynamic-profile/view/1880115","18-1880115")</f>
        <v>0</v>
      </c>
      <c r="B217" t="s">
        <v>52</v>
      </c>
      <c r="C217" t="s">
        <v>104</v>
      </c>
      <c r="D217" t="s">
        <v>269</v>
      </c>
      <c r="E217" t="s">
        <v>262</v>
      </c>
      <c r="F217" t="s">
        <v>815</v>
      </c>
      <c r="G217" t="s">
        <v>1731</v>
      </c>
      <c r="H217" t="s">
        <v>2614</v>
      </c>
      <c r="I217" t="s">
        <v>3342</v>
      </c>
      <c r="J217" t="s">
        <v>3604</v>
      </c>
      <c r="K217">
        <v>10034</v>
      </c>
      <c r="L217" t="s">
        <v>3611</v>
      </c>
      <c r="M217" t="s">
        <v>3611</v>
      </c>
      <c r="P217" t="s">
        <v>4242</v>
      </c>
      <c r="Q217" t="s">
        <v>4250</v>
      </c>
      <c r="R217" t="s">
        <v>4258</v>
      </c>
      <c r="S217" t="s">
        <v>3611</v>
      </c>
      <c r="U217" t="s">
        <v>4268</v>
      </c>
      <c r="W217" t="s">
        <v>269</v>
      </c>
      <c r="X217">
        <v>927.11</v>
      </c>
      <c r="Y217" t="s">
        <v>4351</v>
      </c>
      <c r="Z217" t="s">
        <v>4354</v>
      </c>
      <c r="AA217" t="s">
        <v>4373</v>
      </c>
      <c r="AB217" t="s">
        <v>4578</v>
      </c>
      <c r="AE217">
        <v>43</v>
      </c>
      <c r="AF217" t="s">
        <v>7101</v>
      </c>
      <c r="AG217" t="s">
        <v>3745</v>
      </c>
      <c r="AH217">
        <v>20</v>
      </c>
      <c r="AI217">
        <v>2</v>
      </c>
      <c r="AJ217">
        <v>2</v>
      </c>
      <c r="AK217">
        <v>41.43</v>
      </c>
      <c r="AN217" t="s">
        <v>7139</v>
      </c>
      <c r="AO217">
        <v>10400</v>
      </c>
      <c r="AU217">
        <v>0.2</v>
      </c>
      <c r="AV217" t="s">
        <v>7284</v>
      </c>
      <c r="AW217" t="s">
        <v>7342</v>
      </c>
      <c r="AX217" t="s">
        <v>7377</v>
      </c>
    </row>
    <row r="218" spans="1:50">
      <c r="A218" s="1">
        <f>HYPERLINK("https://lsnyc.legalserver.org/matter/dynamic-profile/view/1856404","18-1856404")</f>
        <v>0</v>
      </c>
      <c r="B218" t="s">
        <v>86</v>
      </c>
      <c r="C218" t="s">
        <v>104</v>
      </c>
      <c r="D218" t="s">
        <v>181</v>
      </c>
      <c r="E218" t="s">
        <v>175</v>
      </c>
      <c r="F218" t="s">
        <v>855</v>
      </c>
      <c r="G218" t="s">
        <v>1732</v>
      </c>
      <c r="H218" t="s">
        <v>2615</v>
      </c>
      <c r="I218" t="s">
        <v>3360</v>
      </c>
      <c r="J218" t="s">
        <v>3604</v>
      </c>
      <c r="K218">
        <v>10031</v>
      </c>
      <c r="L218" t="s">
        <v>3610</v>
      </c>
      <c r="M218" t="s">
        <v>3609</v>
      </c>
      <c r="N218" t="s">
        <v>3710</v>
      </c>
      <c r="O218" t="s">
        <v>4210</v>
      </c>
      <c r="P218" t="s">
        <v>4242</v>
      </c>
      <c r="Q218" t="s">
        <v>4250</v>
      </c>
      <c r="R218" t="s">
        <v>4258</v>
      </c>
      <c r="S218" t="s">
        <v>3611</v>
      </c>
      <c r="T218" t="s">
        <v>4259</v>
      </c>
      <c r="U218" t="s">
        <v>4268</v>
      </c>
      <c r="W218" t="s">
        <v>428</v>
      </c>
      <c r="X218">
        <v>1700</v>
      </c>
      <c r="Y218" t="s">
        <v>4351</v>
      </c>
      <c r="Z218" t="s">
        <v>4353</v>
      </c>
      <c r="AA218" t="s">
        <v>4373</v>
      </c>
      <c r="AB218" t="s">
        <v>4579</v>
      </c>
      <c r="AD218" t="s">
        <v>6002</v>
      </c>
      <c r="AE218">
        <v>63</v>
      </c>
      <c r="AF218" t="s">
        <v>7101</v>
      </c>
      <c r="AG218" t="s">
        <v>3745</v>
      </c>
      <c r="AH218">
        <v>3</v>
      </c>
      <c r="AI218">
        <v>1</v>
      </c>
      <c r="AJ218">
        <v>0</v>
      </c>
      <c r="AK218">
        <v>41.46</v>
      </c>
      <c r="AN218" t="s">
        <v>7138</v>
      </c>
      <c r="AO218">
        <v>5000</v>
      </c>
      <c r="AU218">
        <v>3.95</v>
      </c>
      <c r="AV218" t="s">
        <v>160</v>
      </c>
      <c r="AW218" t="s">
        <v>7344</v>
      </c>
    </row>
    <row r="219" spans="1:50">
      <c r="A219" s="1">
        <f>HYPERLINK("https://lsnyc.legalserver.org/matter/dynamic-profile/view/1874679","18-1874679")</f>
        <v>0</v>
      </c>
      <c r="B219" t="s">
        <v>56</v>
      </c>
      <c r="C219" t="s">
        <v>104</v>
      </c>
      <c r="D219" t="s">
        <v>144</v>
      </c>
      <c r="E219" t="s">
        <v>204</v>
      </c>
      <c r="F219" t="s">
        <v>727</v>
      </c>
      <c r="G219" t="s">
        <v>1656</v>
      </c>
      <c r="H219" t="s">
        <v>2616</v>
      </c>
      <c r="I219" t="s">
        <v>3306</v>
      </c>
      <c r="J219" t="s">
        <v>3604</v>
      </c>
      <c r="K219">
        <v>10033</v>
      </c>
      <c r="L219" t="s">
        <v>3610</v>
      </c>
      <c r="M219" t="s">
        <v>3610</v>
      </c>
      <c r="O219" t="s">
        <v>4211</v>
      </c>
      <c r="P219" t="s">
        <v>4242</v>
      </c>
      <c r="Q219" t="s">
        <v>4250</v>
      </c>
      <c r="R219" t="s">
        <v>4258</v>
      </c>
      <c r="S219" t="s">
        <v>3611</v>
      </c>
      <c r="U219" t="s">
        <v>4268</v>
      </c>
      <c r="W219" t="s">
        <v>144</v>
      </c>
      <c r="X219">
        <v>841.77</v>
      </c>
      <c r="Y219" t="s">
        <v>4351</v>
      </c>
      <c r="Z219" t="s">
        <v>4354</v>
      </c>
      <c r="AA219" t="s">
        <v>4373</v>
      </c>
      <c r="AB219" t="s">
        <v>4580</v>
      </c>
      <c r="AE219">
        <v>39</v>
      </c>
      <c r="AF219" t="s">
        <v>7101</v>
      </c>
      <c r="AG219" t="s">
        <v>7116</v>
      </c>
      <c r="AH219">
        <v>25</v>
      </c>
      <c r="AI219">
        <v>4</v>
      </c>
      <c r="AJ219">
        <v>0</v>
      </c>
      <c r="AK219">
        <v>41.59</v>
      </c>
      <c r="AN219" t="s">
        <v>7139</v>
      </c>
      <c r="AO219">
        <v>10440</v>
      </c>
      <c r="AU219">
        <v>1</v>
      </c>
      <c r="AV219" t="s">
        <v>204</v>
      </c>
      <c r="AW219" t="s">
        <v>7342</v>
      </c>
    </row>
    <row r="220" spans="1:50">
      <c r="A220" s="1">
        <f>HYPERLINK("https://lsnyc.legalserver.org/matter/dynamic-profile/view/1887194","19-1887194")</f>
        <v>0</v>
      </c>
      <c r="B220" t="s">
        <v>53</v>
      </c>
      <c r="C220" t="s">
        <v>104</v>
      </c>
      <c r="D220" t="s">
        <v>270</v>
      </c>
      <c r="E220" t="s">
        <v>396</v>
      </c>
      <c r="F220" t="s">
        <v>856</v>
      </c>
      <c r="G220" t="s">
        <v>1733</v>
      </c>
      <c r="H220" t="s">
        <v>2617</v>
      </c>
      <c r="I220" t="s">
        <v>3361</v>
      </c>
      <c r="J220" t="s">
        <v>3604</v>
      </c>
      <c r="K220">
        <v>10029</v>
      </c>
      <c r="L220" t="s">
        <v>3610</v>
      </c>
      <c r="M220" t="s">
        <v>3610</v>
      </c>
      <c r="N220" t="s">
        <v>3711</v>
      </c>
      <c r="O220" t="s">
        <v>4210</v>
      </c>
      <c r="P220" t="s">
        <v>4242</v>
      </c>
      <c r="Q220" t="s">
        <v>4250</v>
      </c>
      <c r="R220" t="s">
        <v>4258</v>
      </c>
      <c r="S220" t="s">
        <v>3611</v>
      </c>
      <c r="U220" t="s">
        <v>4268</v>
      </c>
      <c r="V220" t="s">
        <v>4274</v>
      </c>
      <c r="W220" t="s">
        <v>319</v>
      </c>
      <c r="X220">
        <v>3600</v>
      </c>
      <c r="Y220" t="s">
        <v>4351</v>
      </c>
      <c r="Z220" t="s">
        <v>4357</v>
      </c>
      <c r="AA220" t="s">
        <v>4373</v>
      </c>
      <c r="AB220" t="s">
        <v>4581</v>
      </c>
      <c r="AD220" t="s">
        <v>6003</v>
      </c>
      <c r="AE220">
        <v>130</v>
      </c>
      <c r="AF220" t="s">
        <v>7105</v>
      </c>
      <c r="AG220" t="s">
        <v>7116</v>
      </c>
      <c r="AH220">
        <v>6</v>
      </c>
      <c r="AI220">
        <v>1</v>
      </c>
      <c r="AJ220">
        <v>2</v>
      </c>
      <c r="AK220">
        <v>41.69</v>
      </c>
      <c r="AN220" t="s">
        <v>7138</v>
      </c>
      <c r="AO220">
        <v>8664</v>
      </c>
      <c r="AU220">
        <v>1.55</v>
      </c>
      <c r="AV220" t="s">
        <v>341</v>
      </c>
      <c r="AW220" t="s">
        <v>7361</v>
      </c>
      <c r="AX220" t="s">
        <v>7377</v>
      </c>
    </row>
    <row r="221" spans="1:50">
      <c r="A221" s="1">
        <f>HYPERLINK("https://lsnyc.legalserver.org/matter/dynamic-profile/view/1886182","18-1886182")</f>
        <v>0</v>
      </c>
      <c r="B221" t="s">
        <v>53</v>
      </c>
      <c r="C221" t="s">
        <v>105</v>
      </c>
      <c r="D221" t="s">
        <v>271</v>
      </c>
      <c r="F221" t="s">
        <v>851</v>
      </c>
      <c r="G221" t="s">
        <v>1727</v>
      </c>
      <c r="H221" t="s">
        <v>2613</v>
      </c>
      <c r="I221" t="s">
        <v>3316</v>
      </c>
      <c r="J221" t="s">
        <v>3604</v>
      </c>
      <c r="K221">
        <v>10029</v>
      </c>
      <c r="L221" t="s">
        <v>3610</v>
      </c>
      <c r="M221" t="s">
        <v>3610</v>
      </c>
      <c r="N221" t="s">
        <v>3712</v>
      </c>
      <c r="O221" t="s">
        <v>4210</v>
      </c>
      <c r="P221" t="s">
        <v>4241</v>
      </c>
      <c r="R221" t="s">
        <v>4258</v>
      </c>
      <c r="S221" t="s">
        <v>3611</v>
      </c>
      <c r="U221" t="s">
        <v>4268</v>
      </c>
      <c r="V221" t="s">
        <v>4274</v>
      </c>
      <c r="W221" t="s">
        <v>271</v>
      </c>
      <c r="X221">
        <v>250</v>
      </c>
      <c r="Y221" t="s">
        <v>4351</v>
      </c>
      <c r="Z221" t="s">
        <v>4357</v>
      </c>
      <c r="AB221" t="s">
        <v>4574</v>
      </c>
      <c r="AD221" t="s">
        <v>5999</v>
      </c>
      <c r="AE221">
        <v>10</v>
      </c>
      <c r="AF221" t="s">
        <v>7101</v>
      </c>
      <c r="AG221" t="s">
        <v>3745</v>
      </c>
      <c r="AH221">
        <v>45</v>
      </c>
      <c r="AI221">
        <v>2</v>
      </c>
      <c r="AJ221">
        <v>0</v>
      </c>
      <c r="AK221">
        <v>42.07</v>
      </c>
      <c r="AN221" t="s">
        <v>7138</v>
      </c>
      <c r="AO221">
        <v>6924</v>
      </c>
      <c r="AU221">
        <v>22.9</v>
      </c>
      <c r="AV221" t="s">
        <v>676</v>
      </c>
      <c r="AW221" t="s">
        <v>7341</v>
      </c>
      <c r="AX221" t="s">
        <v>7377</v>
      </c>
    </row>
    <row r="222" spans="1:50">
      <c r="A222" s="1">
        <f>HYPERLINK("https://lsnyc.legalserver.org/matter/dynamic-profile/view/1890403","19-1890403")</f>
        <v>0</v>
      </c>
      <c r="B222" t="s">
        <v>62</v>
      </c>
      <c r="C222" t="s">
        <v>104</v>
      </c>
      <c r="D222" t="s">
        <v>272</v>
      </c>
      <c r="E222" t="s">
        <v>214</v>
      </c>
      <c r="F222" t="s">
        <v>857</v>
      </c>
      <c r="G222" t="s">
        <v>1579</v>
      </c>
      <c r="H222" t="s">
        <v>2618</v>
      </c>
      <c r="I222" t="s">
        <v>3357</v>
      </c>
      <c r="J222" t="s">
        <v>3604</v>
      </c>
      <c r="K222">
        <v>10033</v>
      </c>
      <c r="L222" t="s">
        <v>3610</v>
      </c>
      <c r="M222" t="s">
        <v>3610</v>
      </c>
      <c r="O222" t="s">
        <v>4210</v>
      </c>
      <c r="P222" t="s">
        <v>4242</v>
      </c>
      <c r="Q222" t="s">
        <v>4250</v>
      </c>
      <c r="R222" t="s">
        <v>4258</v>
      </c>
      <c r="S222" t="s">
        <v>3611</v>
      </c>
      <c r="U222" t="s">
        <v>4268</v>
      </c>
      <c r="W222" t="s">
        <v>272</v>
      </c>
      <c r="X222">
        <v>1055</v>
      </c>
      <c r="Y222" t="s">
        <v>4351</v>
      </c>
      <c r="Z222" t="s">
        <v>4357</v>
      </c>
      <c r="AA222" t="s">
        <v>4373</v>
      </c>
      <c r="AB222" t="s">
        <v>4582</v>
      </c>
      <c r="AD222" t="s">
        <v>6004</v>
      </c>
      <c r="AE222">
        <v>57</v>
      </c>
      <c r="AF222" t="s">
        <v>7101</v>
      </c>
      <c r="AG222" t="s">
        <v>7118</v>
      </c>
      <c r="AH222">
        <v>26</v>
      </c>
      <c r="AI222">
        <v>2</v>
      </c>
      <c r="AJ222">
        <v>1</v>
      </c>
      <c r="AK222">
        <v>42.19</v>
      </c>
      <c r="AN222" t="s">
        <v>7139</v>
      </c>
      <c r="AO222">
        <v>9000</v>
      </c>
      <c r="AU222">
        <v>1</v>
      </c>
      <c r="AV222" t="s">
        <v>272</v>
      </c>
      <c r="AW222" t="s">
        <v>7342</v>
      </c>
    </row>
    <row r="223" spans="1:50">
      <c r="A223" s="1">
        <f>HYPERLINK("https://lsnyc.legalserver.org/matter/dynamic-profile/view/1898843","19-1898843")</f>
        <v>0</v>
      </c>
      <c r="B223" t="s">
        <v>52</v>
      </c>
      <c r="C223" t="s">
        <v>105</v>
      </c>
      <c r="D223" t="s">
        <v>273</v>
      </c>
      <c r="F223" t="s">
        <v>704</v>
      </c>
      <c r="G223" t="s">
        <v>1734</v>
      </c>
      <c r="H223" t="s">
        <v>2619</v>
      </c>
      <c r="I223" t="s">
        <v>3356</v>
      </c>
      <c r="J223" t="s">
        <v>3604</v>
      </c>
      <c r="K223">
        <v>10033</v>
      </c>
      <c r="L223" t="s">
        <v>3610</v>
      </c>
      <c r="M223" t="s">
        <v>3610</v>
      </c>
      <c r="O223" t="s">
        <v>4219</v>
      </c>
      <c r="P223" t="s">
        <v>4241</v>
      </c>
      <c r="R223" t="s">
        <v>4258</v>
      </c>
      <c r="S223" t="s">
        <v>3611</v>
      </c>
      <c r="U223" t="s">
        <v>4268</v>
      </c>
      <c r="W223" t="s">
        <v>273</v>
      </c>
      <c r="X223">
        <v>740</v>
      </c>
      <c r="Y223" t="s">
        <v>4351</v>
      </c>
      <c r="Z223" t="s">
        <v>4354</v>
      </c>
      <c r="AB223" t="s">
        <v>4583</v>
      </c>
      <c r="AD223" t="s">
        <v>6005</v>
      </c>
      <c r="AE223">
        <v>29</v>
      </c>
      <c r="AF223" t="s">
        <v>7101</v>
      </c>
      <c r="AG223" t="s">
        <v>3745</v>
      </c>
      <c r="AH223">
        <v>24</v>
      </c>
      <c r="AI223">
        <v>3</v>
      </c>
      <c r="AJ223">
        <v>0</v>
      </c>
      <c r="AK223">
        <v>42.42</v>
      </c>
      <c r="AN223" t="s">
        <v>7139</v>
      </c>
      <c r="AO223">
        <v>9048</v>
      </c>
      <c r="AU223">
        <v>3.1</v>
      </c>
      <c r="AV223" t="s">
        <v>689</v>
      </c>
      <c r="AW223" t="s">
        <v>7342</v>
      </c>
    </row>
    <row r="224" spans="1:50">
      <c r="A224" s="1">
        <f>HYPERLINK("https://lsnyc.legalserver.org/matter/dynamic-profile/view/1873216","18-1873216")</f>
        <v>0</v>
      </c>
      <c r="B224" t="s">
        <v>56</v>
      </c>
      <c r="C224" t="s">
        <v>104</v>
      </c>
      <c r="D224" t="s">
        <v>260</v>
      </c>
      <c r="E224" t="s">
        <v>372</v>
      </c>
      <c r="F224" t="s">
        <v>858</v>
      </c>
      <c r="G224" t="s">
        <v>1735</v>
      </c>
      <c r="H224" t="s">
        <v>2620</v>
      </c>
      <c r="I224" t="s">
        <v>3362</v>
      </c>
      <c r="J224" t="s">
        <v>3604</v>
      </c>
      <c r="K224">
        <v>10034</v>
      </c>
      <c r="L224" t="s">
        <v>3610</v>
      </c>
      <c r="M224" t="s">
        <v>3610</v>
      </c>
      <c r="O224" t="s">
        <v>4209</v>
      </c>
      <c r="P224" t="s">
        <v>4242</v>
      </c>
      <c r="Q224" t="s">
        <v>4250</v>
      </c>
      <c r="R224" t="s">
        <v>4258</v>
      </c>
      <c r="S224" t="s">
        <v>3611</v>
      </c>
      <c r="U224" t="s">
        <v>4268</v>
      </c>
      <c r="W224" t="s">
        <v>260</v>
      </c>
      <c r="X224">
        <v>882.02</v>
      </c>
      <c r="Y224" t="s">
        <v>4351</v>
      </c>
      <c r="Z224" t="s">
        <v>4354</v>
      </c>
      <c r="AA224" t="s">
        <v>4373</v>
      </c>
      <c r="AB224" t="s">
        <v>4584</v>
      </c>
      <c r="AD224" t="s">
        <v>6006</v>
      </c>
      <c r="AE224">
        <v>31</v>
      </c>
      <c r="AF224" t="s">
        <v>7101</v>
      </c>
      <c r="AG224" t="s">
        <v>7118</v>
      </c>
      <c r="AH224">
        <v>32</v>
      </c>
      <c r="AI224">
        <v>1</v>
      </c>
      <c r="AJ224">
        <v>0</v>
      </c>
      <c r="AK224">
        <v>42.7</v>
      </c>
      <c r="AN224" t="s">
        <v>7139</v>
      </c>
      <c r="AO224">
        <v>5184</v>
      </c>
      <c r="AU224">
        <v>2.98</v>
      </c>
      <c r="AV224" t="s">
        <v>493</v>
      </c>
      <c r="AW224" t="s">
        <v>7342</v>
      </c>
    </row>
    <row r="225" spans="1:50">
      <c r="A225" s="1">
        <f>HYPERLINK("https://lsnyc.legalserver.org/matter/dynamic-profile/view/1868211","18-1868211")</f>
        <v>0</v>
      </c>
      <c r="B225" t="s">
        <v>67</v>
      </c>
      <c r="C225" t="s">
        <v>104</v>
      </c>
      <c r="D225" t="s">
        <v>233</v>
      </c>
      <c r="E225" t="s">
        <v>575</v>
      </c>
      <c r="F225" t="s">
        <v>859</v>
      </c>
      <c r="G225" t="s">
        <v>1736</v>
      </c>
      <c r="H225" t="s">
        <v>2532</v>
      </c>
      <c r="I225">
        <v>602</v>
      </c>
      <c r="J225" t="s">
        <v>3604</v>
      </c>
      <c r="K225">
        <v>10029</v>
      </c>
      <c r="L225" t="s">
        <v>3610</v>
      </c>
      <c r="M225" t="s">
        <v>3610</v>
      </c>
      <c r="O225" t="s">
        <v>4211</v>
      </c>
      <c r="P225" t="s">
        <v>4245</v>
      </c>
      <c r="Q225" t="s">
        <v>4250</v>
      </c>
      <c r="R225" t="s">
        <v>4258</v>
      </c>
      <c r="S225" t="s">
        <v>3611</v>
      </c>
      <c r="U225" t="s">
        <v>4268</v>
      </c>
      <c r="V225" t="s">
        <v>4274</v>
      </c>
      <c r="W225" t="s">
        <v>233</v>
      </c>
      <c r="X225">
        <v>152</v>
      </c>
      <c r="Y225" t="s">
        <v>4351</v>
      </c>
      <c r="Z225" t="s">
        <v>4228</v>
      </c>
      <c r="AA225" t="s">
        <v>4373</v>
      </c>
      <c r="AB225" t="s">
        <v>4585</v>
      </c>
      <c r="AD225" t="s">
        <v>6007</v>
      </c>
      <c r="AE225">
        <v>135</v>
      </c>
      <c r="AF225" t="s">
        <v>7104</v>
      </c>
      <c r="AG225" t="s">
        <v>3745</v>
      </c>
      <c r="AH225">
        <v>7</v>
      </c>
      <c r="AI225">
        <v>1</v>
      </c>
      <c r="AJ225">
        <v>0</v>
      </c>
      <c r="AK225">
        <v>43</v>
      </c>
      <c r="AN225" t="s">
        <v>7139</v>
      </c>
      <c r="AO225">
        <v>5220</v>
      </c>
      <c r="AU225">
        <v>2.85</v>
      </c>
      <c r="AV225" t="s">
        <v>209</v>
      </c>
      <c r="AW225" t="s">
        <v>7365</v>
      </c>
    </row>
    <row r="226" spans="1:50">
      <c r="A226" s="1">
        <f>HYPERLINK("https://lsnyc.legalserver.org/matter/dynamic-profile/view/0827517","17-0827517")</f>
        <v>0</v>
      </c>
      <c r="B226" t="s">
        <v>51</v>
      </c>
      <c r="C226" t="s">
        <v>104</v>
      </c>
      <c r="D226" t="s">
        <v>107</v>
      </c>
      <c r="E226" t="s">
        <v>653</v>
      </c>
      <c r="F226" t="s">
        <v>704</v>
      </c>
      <c r="G226" t="s">
        <v>887</v>
      </c>
      <c r="H226" t="s">
        <v>2621</v>
      </c>
      <c r="I226" t="s">
        <v>3294</v>
      </c>
      <c r="J226" t="s">
        <v>3604</v>
      </c>
      <c r="K226">
        <v>10035</v>
      </c>
      <c r="L226" t="s">
        <v>3610</v>
      </c>
      <c r="M226" t="s">
        <v>3610</v>
      </c>
      <c r="O226" t="s">
        <v>4227</v>
      </c>
      <c r="P226" t="s">
        <v>4244</v>
      </c>
      <c r="Q226" t="s">
        <v>4249</v>
      </c>
      <c r="R226" t="s">
        <v>4258</v>
      </c>
      <c r="S226" t="s">
        <v>3611</v>
      </c>
      <c r="U226" t="s">
        <v>4268</v>
      </c>
      <c r="V226" t="s">
        <v>4274</v>
      </c>
      <c r="W226" t="s">
        <v>107</v>
      </c>
      <c r="X226">
        <v>1243</v>
      </c>
      <c r="Y226" t="s">
        <v>4351</v>
      </c>
      <c r="Z226" t="s">
        <v>4357</v>
      </c>
      <c r="AA226" t="s">
        <v>4379</v>
      </c>
      <c r="AB226" t="s">
        <v>4586</v>
      </c>
      <c r="AC226" t="s">
        <v>5804</v>
      </c>
      <c r="AD226" t="s">
        <v>6008</v>
      </c>
      <c r="AE226">
        <v>14</v>
      </c>
      <c r="AF226" t="s">
        <v>7101</v>
      </c>
      <c r="AG226" t="s">
        <v>7116</v>
      </c>
      <c r="AH226">
        <v>25</v>
      </c>
      <c r="AI226">
        <v>2</v>
      </c>
      <c r="AJ226">
        <v>1</v>
      </c>
      <c r="AK226">
        <v>43.19</v>
      </c>
      <c r="AN226" t="s">
        <v>7139</v>
      </c>
      <c r="AO226">
        <v>8820</v>
      </c>
      <c r="AU226">
        <v>6</v>
      </c>
      <c r="AV226" t="s">
        <v>7302</v>
      </c>
      <c r="AW226" t="s">
        <v>7341</v>
      </c>
    </row>
    <row r="227" spans="1:50">
      <c r="A227" s="1">
        <f>HYPERLINK("https://lsnyc.legalserver.org/matter/dynamic-profile/view/1870983","18-1870983")</f>
        <v>0</v>
      </c>
      <c r="B227" t="s">
        <v>68</v>
      </c>
      <c r="C227" t="s">
        <v>105</v>
      </c>
      <c r="D227" t="s">
        <v>274</v>
      </c>
      <c r="F227" t="s">
        <v>860</v>
      </c>
      <c r="G227" t="s">
        <v>1737</v>
      </c>
      <c r="H227" t="s">
        <v>2622</v>
      </c>
      <c r="I227" t="s">
        <v>3350</v>
      </c>
      <c r="J227" t="s">
        <v>3604</v>
      </c>
      <c r="K227">
        <v>10035</v>
      </c>
      <c r="L227" t="s">
        <v>3610</v>
      </c>
      <c r="M227" t="s">
        <v>3610</v>
      </c>
      <c r="O227" t="s">
        <v>4211</v>
      </c>
      <c r="P227" t="s">
        <v>4245</v>
      </c>
      <c r="R227" t="s">
        <v>4258</v>
      </c>
      <c r="S227" t="s">
        <v>3611</v>
      </c>
      <c r="U227" t="s">
        <v>4268</v>
      </c>
      <c r="W227" t="s">
        <v>274</v>
      </c>
      <c r="X227">
        <v>1590.27</v>
      </c>
      <c r="Y227" t="s">
        <v>4351</v>
      </c>
      <c r="Z227" t="s">
        <v>4354</v>
      </c>
      <c r="AB227" t="s">
        <v>4587</v>
      </c>
      <c r="AD227" t="s">
        <v>6009</v>
      </c>
      <c r="AE227">
        <v>72</v>
      </c>
      <c r="AF227" t="s">
        <v>7106</v>
      </c>
      <c r="AG227" t="s">
        <v>7116</v>
      </c>
      <c r="AH227">
        <v>20</v>
      </c>
      <c r="AI227">
        <v>2</v>
      </c>
      <c r="AJ227">
        <v>0</v>
      </c>
      <c r="AK227">
        <v>43.74</v>
      </c>
      <c r="AN227" t="s">
        <v>7139</v>
      </c>
      <c r="AO227">
        <v>7200</v>
      </c>
      <c r="AU227">
        <v>43.9</v>
      </c>
      <c r="AV227" t="s">
        <v>396</v>
      </c>
      <c r="AW227" t="s">
        <v>7341</v>
      </c>
    </row>
    <row r="228" spans="1:50">
      <c r="A228" s="1">
        <f>HYPERLINK("https://lsnyc.legalserver.org/matter/dynamic-profile/view/0794943","15-0794943")</f>
        <v>0</v>
      </c>
      <c r="B228" t="s">
        <v>51</v>
      </c>
      <c r="C228" t="s">
        <v>104</v>
      </c>
      <c r="D228" t="s">
        <v>275</v>
      </c>
      <c r="E228" t="s">
        <v>385</v>
      </c>
      <c r="F228" t="s">
        <v>821</v>
      </c>
      <c r="G228" t="s">
        <v>1695</v>
      </c>
      <c r="H228" t="s">
        <v>2582</v>
      </c>
      <c r="I228" t="s">
        <v>3351</v>
      </c>
      <c r="J228" t="s">
        <v>3604</v>
      </c>
      <c r="K228">
        <v>10035</v>
      </c>
      <c r="L228" t="s">
        <v>3611</v>
      </c>
      <c r="M228" t="s">
        <v>3610</v>
      </c>
      <c r="N228" t="s">
        <v>3713</v>
      </c>
      <c r="O228" t="s">
        <v>4213</v>
      </c>
      <c r="P228" t="s">
        <v>4241</v>
      </c>
      <c r="Q228" t="s">
        <v>4248</v>
      </c>
      <c r="R228" t="s">
        <v>4258</v>
      </c>
      <c r="S228" t="s">
        <v>3611</v>
      </c>
      <c r="U228" t="s">
        <v>4268</v>
      </c>
      <c r="V228" t="s">
        <v>4274</v>
      </c>
      <c r="W228" t="s">
        <v>275</v>
      </c>
      <c r="X228">
        <v>0</v>
      </c>
      <c r="Y228" t="s">
        <v>4351</v>
      </c>
      <c r="Z228" t="s">
        <v>4364</v>
      </c>
      <c r="AA228" t="s">
        <v>4379</v>
      </c>
      <c r="AB228" t="s">
        <v>4533</v>
      </c>
      <c r="AD228" t="s">
        <v>5960</v>
      </c>
      <c r="AE228">
        <v>91</v>
      </c>
      <c r="AF228" t="s">
        <v>7101</v>
      </c>
      <c r="AH228">
        <v>0</v>
      </c>
      <c r="AI228">
        <v>4</v>
      </c>
      <c r="AJ228">
        <v>3</v>
      </c>
      <c r="AK228">
        <v>43.87</v>
      </c>
      <c r="AN228" t="s">
        <v>7138</v>
      </c>
      <c r="AO228">
        <v>16113</v>
      </c>
      <c r="AU228">
        <v>49.5</v>
      </c>
      <c r="AV228" t="s">
        <v>7303</v>
      </c>
      <c r="AW228" t="s">
        <v>51</v>
      </c>
    </row>
    <row r="229" spans="1:50">
      <c r="A229" s="1">
        <f>HYPERLINK("https://lsnyc.legalserver.org/matter/dynamic-profile/view/1863759","18-1863759")</f>
        <v>0</v>
      </c>
      <c r="B229" t="s">
        <v>53</v>
      </c>
      <c r="C229" t="s">
        <v>105</v>
      </c>
      <c r="D229" t="s">
        <v>160</v>
      </c>
      <c r="F229" t="s">
        <v>861</v>
      </c>
      <c r="G229" t="s">
        <v>1738</v>
      </c>
      <c r="H229" t="s">
        <v>2508</v>
      </c>
      <c r="I229">
        <v>711</v>
      </c>
      <c r="J229" t="s">
        <v>3604</v>
      </c>
      <c r="K229">
        <v>10029</v>
      </c>
      <c r="L229" t="s">
        <v>3610</v>
      </c>
      <c r="M229" t="s">
        <v>3610</v>
      </c>
      <c r="N229" t="s">
        <v>3642</v>
      </c>
      <c r="O229" t="s">
        <v>4213</v>
      </c>
      <c r="P229" t="s">
        <v>4241</v>
      </c>
      <c r="R229" t="s">
        <v>4258</v>
      </c>
      <c r="S229" t="s">
        <v>3610</v>
      </c>
      <c r="U229" t="s">
        <v>4268</v>
      </c>
      <c r="V229" t="s">
        <v>4274</v>
      </c>
      <c r="W229" t="s">
        <v>242</v>
      </c>
      <c r="X229">
        <v>2760</v>
      </c>
      <c r="Y229" t="s">
        <v>4351</v>
      </c>
      <c r="Z229" t="s">
        <v>4352</v>
      </c>
      <c r="AB229" t="s">
        <v>4588</v>
      </c>
      <c r="AD229" t="s">
        <v>6010</v>
      </c>
      <c r="AE229">
        <v>108</v>
      </c>
      <c r="AF229" t="s">
        <v>7106</v>
      </c>
      <c r="AG229" t="s">
        <v>7116</v>
      </c>
      <c r="AH229">
        <v>17</v>
      </c>
      <c r="AI229">
        <v>2</v>
      </c>
      <c r="AJ229">
        <v>1</v>
      </c>
      <c r="AK229">
        <v>44.12</v>
      </c>
      <c r="AN229" t="s">
        <v>7139</v>
      </c>
      <c r="AO229">
        <v>9168</v>
      </c>
      <c r="AU229">
        <v>58.1</v>
      </c>
      <c r="AV229" t="s">
        <v>7304</v>
      </c>
      <c r="AW229" t="s">
        <v>7341</v>
      </c>
    </row>
    <row r="230" spans="1:50">
      <c r="A230" s="1">
        <f>HYPERLINK("https://lsnyc.legalserver.org/matter/dynamic-profile/view/1882145","18-1882145")</f>
        <v>0</v>
      </c>
      <c r="B230" t="s">
        <v>56</v>
      </c>
      <c r="C230" t="s">
        <v>104</v>
      </c>
      <c r="D230" t="s">
        <v>276</v>
      </c>
      <c r="E230" t="s">
        <v>612</v>
      </c>
      <c r="F230" t="s">
        <v>862</v>
      </c>
      <c r="G230" t="s">
        <v>1739</v>
      </c>
      <c r="H230" t="s">
        <v>2623</v>
      </c>
      <c r="I230" t="s">
        <v>3363</v>
      </c>
      <c r="J230" t="s">
        <v>3604</v>
      </c>
      <c r="K230">
        <v>10032</v>
      </c>
      <c r="L230" t="s">
        <v>3610</v>
      </c>
      <c r="M230" t="s">
        <v>3610</v>
      </c>
      <c r="O230" t="s">
        <v>4211</v>
      </c>
      <c r="P230" t="s">
        <v>4245</v>
      </c>
      <c r="Q230" t="s">
        <v>4249</v>
      </c>
      <c r="R230" t="s">
        <v>4258</v>
      </c>
      <c r="S230" t="s">
        <v>3611</v>
      </c>
      <c r="U230" t="s">
        <v>4268</v>
      </c>
      <c r="W230" t="s">
        <v>276</v>
      </c>
      <c r="X230">
        <v>850</v>
      </c>
      <c r="Y230" t="s">
        <v>4351</v>
      </c>
      <c r="Z230" t="s">
        <v>4354</v>
      </c>
      <c r="AA230" t="s">
        <v>4377</v>
      </c>
      <c r="AB230" t="s">
        <v>4589</v>
      </c>
      <c r="AD230" t="s">
        <v>6011</v>
      </c>
      <c r="AE230">
        <v>68</v>
      </c>
      <c r="AF230" t="s">
        <v>7101</v>
      </c>
      <c r="AG230" t="s">
        <v>3745</v>
      </c>
      <c r="AH230">
        <v>18</v>
      </c>
      <c r="AI230">
        <v>3</v>
      </c>
      <c r="AJ230">
        <v>0</v>
      </c>
      <c r="AK230">
        <v>44.47</v>
      </c>
      <c r="AN230" t="s">
        <v>7139</v>
      </c>
      <c r="AO230">
        <v>9240</v>
      </c>
      <c r="AU230">
        <v>0.5</v>
      </c>
      <c r="AV230" t="s">
        <v>612</v>
      </c>
      <c r="AW230" t="s">
        <v>7342</v>
      </c>
      <c r="AX230" t="s">
        <v>7377</v>
      </c>
    </row>
    <row r="231" spans="1:50">
      <c r="A231" s="1">
        <f>HYPERLINK("https://lsnyc.legalserver.org/matter/dynamic-profile/view/1863837","18-1863837")</f>
        <v>0</v>
      </c>
      <c r="B231" t="s">
        <v>53</v>
      </c>
      <c r="C231" t="s">
        <v>105</v>
      </c>
      <c r="D231" t="s">
        <v>160</v>
      </c>
      <c r="F231" t="s">
        <v>863</v>
      </c>
      <c r="G231" t="s">
        <v>1740</v>
      </c>
      <c r="H231" t="s">
        <v>2508</v>
      </c>
      <c r="I231">
        <v>809</v>
      </c>
      <c r="J231" t="s">
        <v>3604</v>
      </c>
      <c r="K231">
        <v>10029</v>
      </c>
      <c r="L231" t="s">
        <v>3610</v>
      </c>
      <c r="M231" t="s">
        <v>3610</v>
      </c>
      <c r="N231" t="s">
        <v>3642</v>
      </c>
      <c r="O231" t="s">
        <v>4213</v>
      </c>
      <c r="P231" t="s">
        <v>4241</v>
      </c>
      <c r="R231" t="s">
        <v>4258</v>
      </c>
      <c r="S231" t="s">
        <v>3610</v>
      </c>
      <c r="U231" t="s">
        <v>4268</v>
      </c>
      <c r="V231" t="s">
        <v>4274</v>
      </c>
      <c r="W231" t="s">
        <v>242</v>
      </c>
      <c r="X231">
        <v>0</v>
      </c>
      <c r="Y231" t="s">
        <v>4351</v>
      </c>
      <c r="Z231" t="s">
        <v>4352</v>
      </c>
      <c r="AB231" t="s">
        <v>4590</v>
      </c>
      <c r="AE231">
        <v>108</v>
      </c>
      <c r="AF231" t="s">
        <v>7106</v>
      </c>
      <c r="AG231" t="s">
        <v>7116</v>
      </c>
      <c r="AH231">
        <v>32</v>
      </c>
      <c r="AI231">
        <v>2</v>
      </c>
      <c r="AJ231">
        <v>1</v>
      </c>
      <c r="AK231">
        <v>44.64</v>
      </c>
      <c r="AN231" t="s">
        <v>7138</v>
      </c>
      <c r="AO231">
        <v>9276</v>
      </c>
      <c r="AU231">
        <v>0.75</v>
      </c>
      <c r="AV231" t="s">
        <v>7304</v>
      </c>
      <c r="AW231" t="s">
        <v>7341</v>
      </c>
    </row>
    <row r="232" spans="1:50">
      <c r="A232" s="1">
        <f>HYPERLINK("https://lsnyc.legalserver.org/matter/dynamic-profile/view/1863673","18-1863673")</f>
        <v>0</v>
      </c>
      <c r="B232" t="s">
        <v>67</v>
      </c>
      <c r="C232" t="s">
        <v>104</v>
      </c>
      <c r="D232" t="s">
        <v>242</v>
      </c>
      <c r="E232" t="s">
        <v>575</v>
      </c>
      <c r="F232" t="s">
        <v>719</v>
      </c>
      <c r="G232" t="s">
        <v>1579</v>
      </c>
      <c r="H232" t="s">
        <v>2624</v>
      </c>
      <c r="I232">
        <v>307</v>
      </c>
      <c r="J232" t="s">
        <v>3604</v>
      </c>
      <c r="K232">
        <v>10029</v>
      </c>
      <c r="L232" t="s">
        <v>3610</v>
      </c>
      <c r="M232" t="s">
        <v>3610</v>
      </c>
      <c r="N232" t="s">
        <v>3714</v>
      </c>
      <c r="O232" t="s">
        <v>4209</v>
      </c>
      <c r="P232" t="s">
        <v>4241</v>
      </c>
      <c r="Q232" t="s">
        <v>4248</v>
      </c>
      <c r="R232" t="s">
        <v>4258</v>
      </c>
      <c r="S232" t="s">
        <v>3611</v>
      </c>
      <c r="U232" t="s">
        <v>4268</v>
      </c>
      <c r="V232" t="s">
        <v>4274</v>
      </c>
      <c r="W232" t="s">
        <v>242</v>
      </c>
      <c r="X232">
        <v>3000</v>
      </c>
      <c r="Y232" t="s">
        <v>4351</v>
      </c>
      <c r="Z232" t="s">
        <v>4354</v>
      </c>
      <c r="AA232" t="s">
        <v>4374</v>
      </c>
      <c r="AB232" t="s">
        <v>4591</v>
      </c>
      <c r="AD232" t="s">
        <v>6012</v>
      </c>
      <c r="AE232">
        <v>83</v>
      </c>
      <c r="AF232" t="s">
        <v>7106</v>
      </c>
      <c r="AG232" t="s">
        <v>7116</v>
      </c>
      <c r="AH232">
        <v>33</v>
      </c>
      <c r="AI232">
        <v>3</v>
      </c>
      <c r="AJ232">
        <v>0</v>
      </c>
      <c r="AK232">
        <v>44.64</v>
      </c>
      <c r="AN232" t="s">
        <v>7138</v>
      </c>
      <c r="AO232">
        <v>9276</v>
      </c>
      <c r="AU232">
        <v>9.199999999999999</v>
      </c>
      <c r="AV232" t="s">
        <v>465</v>
      </c>
      <c r="AW232" t="s">
        <v>7341</v>
      </c>
    </row>
    <row r="233" spans="1:50">
      <c r="A233" s="1">
        <f>HYPERLINK("https://lsnyc.legalserver.org/matter/dynamic-profile/view/1893217","19-1893217")</f>
        <v>0</v>
      </c>
      <c r="B233" t="s">
        <v>60</v>
      </c>
      <c r="C233" t="s">
        <v>105</v>
      </c>
      <c r="D233" t="s">
        <v>277</v>
      </c>
      <c r="F233" t="s">
        <v>864</v>
      </c>
      <c r="G233" t="s">
        <v>1741</v>
      </c>
      <c r="H233" t="s">
        <v>2625</v>
      </c>
      <c r="I233" t="s">
        <v>3294</v>
      </c>
      <c r="J233" t="s">
        <v>3604</v>
      </c>
      <c r="K233">
        <v>10033</v>
      </c>
      <c r="L233" t="s">
        <v>3610</v>
      </c>
      <c r="M233" t="s">
        <v>3610</v>
      </c>
      <c r="P233" t="s">
        <v>4241</v>
      </c>
      <c r="R233" t="s">
        <v>4258</v>
      </c>
      <c r="S233" t="s">
        <v>3611</v>
      </c>
      <c r="U233" t="s">
        <v>4268</v>
      </c>
      <c r="W233" t="s">
        <v>277</v>
      </c>
      <c r="X233">
        <v>990</v>
      </c>
      <c r="Y233" t="s">
        <v>4351</v>
      </c>
      <c r="Z233" t="s">
        <v>4354</v>
      </c>
      <c r="AB233" t="s">
        <v>4592</v>
      </c>
      <c r="AD233" t="s">
        <v>6013</v>
      </c>
      <c r="AE233">
        <v>47</v>
      </c>
      <c r="AF233" t="s">
        <v>7101</v>
      </c>
      <c r="AG233" t="s">
        <v>3745</v>
      </c>
      <c r="AH233">
        <v>40</v>
      </c>
      <c r="AI233">
        <v>1</v>
      </c>
      <c r="AJ233">
        <v>0</v>
      </c>
      <c r="AK233">
        <v>44.76</v>
      </c>
      <c r="AN233" t="s">
        <v>7138</v>
      </c>
      <c r="AO233">
        <v>5590</v>
      </c>
      <c r="AU233">
        <v>45.25</v>
      </c>
      <c r="AV233" t="s">
        <v>7293</v>
      </c>
      <c r="AW233" t="s">
        <v>7342</v>
      </c>
    </row>
    <row r="234" spans="1:50">
      <c r="A234" s="1">
        <f>HYPERLINK("https://lsnyc.legalserver.org/matter/dynamic-profile/view/1850901","17-1850901")</f>
        <v>0</v>
      </c>
      <c r="B234" t="s">
        <v>53</v>
      </c>
      <c r="C234" t="s">
        <v>104</v>
      </c>
      <c r="D234" t="s">
        <v>222</v>
      </c>
      <c r="E234" t="s">
        <v>260</v>
      </c>
      <c r="F234" t="s">
        <v>727</v>
      </c>
      <c r="G234" t="s">
        <v>1742</v>
      </c>
      <c r="H234" t="s">
        <v>2626</v>
      </c>
      <c r="I234" t="s">
        <v>3314</v>
      </c>
      <c r="J234" t="s">
        <v>3604</v>
      </c>
      <c r="K234">
        <v>10034</v>
      </c>
      <c r="L234" t="s">
        <v>3610</v>
      </c>
      <c r="M234" t="s">
        <v>3609</v>
      </c>
      <c r="N234" t="s">
        <v>3715</v>
      </c>
      <c r="O234" t="s">
        <v>4209</v>
      </c>
      <c r="P234" t="s">
        <v>4242</v>
      </c>
      <c r="Q234" t="s">
        <v>4250</v>
      </c>
      <c r="R234" t="s">
        <v>4258</v>
      </c>
      <c r="S234" t="s">
        <v>3611</v>
      </c>
      <c r="U234" t="s">
        <v>4268</v>
      </c>
      <c r="W234" t="s">
        <v>222</v>
      </c>
      <c r="X234">
        <v>894</v>
      </c>
      <c r="Y234" t="s">
        <v>4351</v>
      </c>
      <c r="Z234" t="s">
        <v>4354</v>
      </c>
      <c r="AA234" t="s">
        <v>4373</v>
      </c>
      <c r="AB234" t="s">
        <v>4593</v>
      </c>
      <c r="AD234" t="s">
        <v>6014</v>
      </c>
      <c r="AE234">
        <v>46</v>
      </c>
      <c r="AF234" t="s">
        <v>7101</v>
      </c>
      <c r="AG234" t="s">
        <v>3745</v>
      </c>
      <c r="AH234">
        <v>18</v>
      </c>
      <c r="AI234">
        <v>2</v>
      </c>
      <c r="AJ234">
        <v>0</v>
      </c>
      <c r="AK234">
        <v>44.83</v>
      </c>
      <c r="AN234" t="s">
        <v>7139</v>
      </c>
      <c r="AO234">
        <v>7280</v>
      </c>
      <c r="AU234">
        <v>2.25</v>
      </c>
      <c r="AV234" t="s">
        <v>7305</v>
      </c>
      <c r="AW234" t="s">
        <v>7342</v>
      </c>
    </row>
    <row r="235" spans="1:50">
      <c r="A235" s="1">
        <f>HYPERLINK("https://lsnyc.legalserver.org/matter/dynamic-profile/view/1866109","18-1866109")</f>
        <v>0</v>
      </c>
      <c r="B235" t="s">
        <v>53</v>
      </c>
      <c r="C235" t="s">
        <v>105</v>
      </c>
      <c r="D235" t="s">
        <v>278</v>
      </c>
      <c r="F235" t="s">
        <v>865</v>
      </c>
      <c r="G235" t="s">
        <v>1702</v>
      </c>
      <c r="H235" t="s">
        <v>2565</v>
      </c>
      <c r="I235" t="s">
        <v>3364</v>
      </c>
      <c r="J235" t="s">
        <v>3604</v>
      </c>
      <c r="K235">
        <v>10031</v>
      </c>
      <c r="L235" t="s">
        <v>3610</v>
      </c>
      <c r="M235" t="s">
        <v>3610</v>
      </c>
      <c r="O235" t="s">
        <v>4213</v>
      </c>
      <c r="P235" t="s">
        <v>4245</v>
      </c>
      <c r="R235" t="s">
        <v>4258</v>
      </c>
      <c r="S235" t="s">
        <v>3610</v>
      </c>
      <c r="U235" t="s">
        <v>4268</v>
      </c>
      <c r="V235" t="s">
        <v>4274</v>
      </c>
      <c r="W235" t="s">
        <v>278</v>
      </c>
      <c r="X235">
        <v>1712</v>
      </c>
      <c r="Y235" t="s">
        <v>4351</v>
      </c>
      <c r="Z235" t="s">
        <v>4352</v>
      </c>
      <c r="AB235" t="s">
        <v>4594</v>
      </c>
      <c r="AD235" t="s">
        <v>6015</v>
      </c>
      <c r="AE235">
        <v>44</v>
      </c>
      <c r="AF235" t="s">
        <v>7106</v>
      </c>
      <c r="AG235" t="s">
        <v>7116</v>
      </c>
      <c r="AH235">
        <v>7</v>
      </c>
      <c r="AI235">
        <v>1</v>
      </c>
      <c r="AJ235">
        <v>0</v>
      </c>
      <c r="AK235">
        <v>44.98</v>
      </c>
      <c r="AN235" t="s">
        <v>7139</v>
      </c>
      <c r="AO235">
        <v>5460</v>
      </c>
      <c r="AU235">
        <v>0</v>
      </c>
      <c r="AW235" t="s">
        <v>7341</v>
      </c>
    </row>
    <row r="236" spans="1:50">
      <c r="A236" s="1">
        <f>HYPERLINK("https://lsnyc.legalserver.org/matter/dynamic-profile/view/1868446","18-1868446")</f>
        <v>0</v>
      </c>
      <c r="B236" t="s">
        <v>52</v>
      </c>
      <c r="C236" t="s">
        <v>105</v>
      </c>
      <c r="D236" t="s">
        <v>279</v>
      </c>
      <c r="F236" t="s">
        <v>866</v>
      </c>
      <c r="G236" t="s">
        <v>1743</v>
      </c>
      <c r="H236" t="s">
        <v>2627</v>
      </c>
      <c r="I236" t="s">
        <v>3365</v>
      </c>
      <c r="J236" t="s">
        <v>3604</v>
      </c>
      <c r="K236">
        <v>10034</v>
      </c>
      <c r="L236" t="s">
        <v>3610</v>
      </c>
      <c r="M236" t="s">
        <v>3610</v>
      </c>
      <c r="N236" t="s">
        <v>3716</v>
      </c>
      <c r="O236" t="s">
        <v>4209</v>
      </c>
      <c r="P236" t="s">
        <v>4241</v>
      </c>
      <c r="R236" t="s">
        <v>4258</v>
      </c>
      <c r="S236" t="s">
        <v>3611</v>
      </c>
      <c r="U236" t="s">
        <v>4268</v>
      </c>
      <c r="W236" t="s">
        <v>279</v>
      </c>
      <c r="X236">
        <v>1098.91</v>
      </c>
      <c r="Y236" t="s">
        <v>4351</v>
      </c>
      <c r="Z236" t="s">
        <v>4354</v>
      </c>
      <c r="AB236" t="s">
        <v>4595</v>
      </c>
      <c r="AC236" t="s">
        <v>5805</v>
      </c>
      <c r="AD236" t="s">
        <v>6016</v>
      </c>
      <c r="AE236">
        <v>52</v>
      </c>
      <c r="AF236" t="s">
        <v>7101</v>
      </c>
      <c r="AG236" t="s">
        <v>3745</v>
      </c>
      <c r="AH236">
        <v>18</v>
      </c>
      <c r="AI236">
        <v>1</v>
      </c>
      <c r="AJ236">
        <v>0</v>
      </c>
      <c r="AK236">
        <v>45.3</v>
      </c>
      <c r="AN236" t="s">
        <v>7138</v>
      </c>
      <c r="AO236">
        <v>5500</v>
      </c>
      <c r="AU236">
        <v>69.2</v>
      </c>
      <c r="AV236" t="s">
        <v>637</v>
      </c>
      <c r="AW236" t="s">
        <v>7342</v>
      </c>
    </row>
    <row r="237" spans="1:50">
      <c r="A237" s="1">
        <f>HYPERLINK("https://lsnyc.legalserver.org/matter/dynamic-profile/view/1874990","18-1874990")</f>
        <v>0</v>
      </c>
      <c r="B237" t="s">
        <v>62</v>
      </c>
      <c r="C237" t="s">
        <v>104</v>
      </c>
      <c r="D237" t="s">
        <v>280</v>
      </c>
      <c r="E237" t="s">
        <v>529</v>
      </c>
      <c r="F237" t="s">
        <v>719</v>
      </c>
      <c r="G237" t="s">
        <v>1596</v>
      </c>
      <c r="H237" t="s">
        <v>2628</v>
      </c>
      <c r="I237">
        <v>3</v>
      </c>
      <c r="J237" t="s">
        <v>3604</v>
      </c>
      <c r="K237">
        <v>10034</v>
      </c>
      <c r="L237" t="s">
        <v>3610</v>
      </c>
      <c r="M237" t="s">
        <v>3610</v>
      </c>
      <c r="O237" t="s">
        <v>4213</v>
      </c>
      <c r="P237" t="s">
        <v>4242</v>
      </c>
      <c r="Q237" t="s">
        <v>4250</v>
      </c>
      <c r="R237" t="s">
        <v>4258</v>
      </c>
      <c r="S237" t="s">
        <v>3611</v>
      </c>
      <c r="U237" t="s">
        <v>4268</v>
      </c>
      <c r="W237" t="s">
        <v>280</v>
      </c>
      <c r="X237">
        <v>865.62</v>
      </c>
      <c r="Y237" t="s">
        <v>4351</v>
      </c>
      <c r="Z237" t="s">
        <v>4357</v>
      </c>
      <c r="AA237" t="s">
        <v>4373</v>
      </c>
      <c r="AB237" t="s">
        <v>4596</v>
      </c>
      <c r="AD237" t="s">
        <v>6017</v>
      </c>
      <c r="AE237">
        <v>29</v>
      </c>
      <c r="AF237" t="s">
        <v>7101</v>
      </c>
      <c r="AG237" t="s">
        <v>3745</v>
      </c>
      <c r="AH237">
        <v>38</v>
      </c>
      <c r="AI237">
        <v>3</v>
      </c>
      <c r="AJ237">
        <v>0</v>
      </c>
      <c r="AK237">
        <v>45.62</v>
      </c>
      <c r="AN237" t="s">
        <v>7139</v>
      </c>
      <c r="AO237">
        <v>9480</v>
      </c>
      <c r="AU237">
        <v>0.9</v>
      </c>
      <c r="AV237" t="s">
        <v>269</v>
      </c>
      <c r="AW237" t="s">
        <v>7342</v>
      </c>
      <c r="AX237" t="s">
        <v>7377</v>
      </c>
    </row>
    <row r="238" spans="1:50">
      <c r="A238" s="1">
        <f>HYPERLINK("https://lsnyc.legalserver.org/matter/dynamic-profile/view/1864546","18-1864546")</f>
        <v>0</v>
      </c>
      <c r="B238" t="s">
        <v>86</v>
      </c>
      <c r="C238" t="s">
        <v>104</v>
      </c>
      <c r="D238" t="s">
        <v>157</v>
      </c>
      <c r="E238" t="s">
        <v>335</v>
      </c>
      <c r="F238" t="s">
        <v>867</v>
      </c>
      <c r="G238" t="s">
        <v>1744</v>
      </c>
      <c r="H238" t="s">
        <v>2629</v>
      </c>
      <c r="I238">
        <v>14</v>
      </c>
      <c r="J238" t="s">
        <v>3604</v>
      </c>
      <c r="K238">
        <v>10002</v>
      </c>
      <c r="L238" t="s">
        <v>3610</v>
      </c>
      <c r="M238" t="s">
        <v>3609</v>
      </c>
      <c r="N238" t="s">
        <v>3717</v>
      </c>
      <c r="O238" t="s">
        <v>4209</v>
      </c>
      <c r="P238" t="s">
        <v>4242</v>
      </c>
      <c r="Q238" t="s">
        <v>4250</v>
      </c>
      <c r="R238" t="s">
        <v>4258</v>
      </c>
      <c r="S238" t="s">
        <v>3611</v>
      </c>
      <c r="T238" t="s">
        <v>4259</v>
      </c>
      <c r="U238" t="s">
        <v>4268</v>
      </c>
      <c r="W238" t="s">
        <v>157</v>
      </c>
      <c r="X238">
        <v>1553.99</v>
      </c>
      <c r="Y238" t="s">
        <v>4351</v>
      </c>
      <c r="Z238" t="s">
        <v>4352</v>
      </c>
      <c r="AA238" t="s">
        <v>4373</v>
      </c>
      <c r="AB238" t="s">
        <v>4597</v>
      </c>
      <c r="AD238" t="s">
        <v>6018</v>
      </c>
      <c r="AE238">
        <v>15</v>
      </c>
      <c r="AF238" t="s">
        <v>7101</v>
      </c>
      <c r="AG238" t="s">
        <v>3745</v>
      </c>
      <c r="AH238">
        <v>9</v>
      </c>
      <c r="AI238">
        <v>3</v>
      </c>
      <c r="AJ238">
        <v>0</v>
      </c>
      <c r="AK238">
        <v>46.03</v>
      </c>
      <c r="AN238" t="s">
        <v>7143</v>
      </c>
      <c r="AO238">
        <v>9564</v>
      </c>
      <c r="AU238">
        <v>0.6</v>
      </c>
      <c r="AV238" t="s">
        <v>117</v>
      </c>
      <c r="AW238" t="s">
        <v>7344</v>
      </c>
    </row>
    <row r="239" spans="1:50">
      <c r="A239" s="1">
        <f>HYPERLINK("https://lsnyc.legalserver.org/matter/dynamic-profile/view/1874758","18-1874758")</f>
        <v>0</v>
      </c>
      <c r="B239" t="s">
        <v>67</v>
      </c>
      <c r="C239" t="s">
        <v>104</v>
      </c>
      <c r="D239" t="s">
        <v>144</v>
      </c>
      <c r="E239" t="s">
        <v>442</v>
      </c>
      <c r="F239" t="s">
        <v>868</v>
      </c>
      <c r="G239" t="s">
        <v>1745</v>
      </c>
      <c r="H239" t="s">
        <v>2630</v>
      </c>
      <c r="I239" t="s">
        <v>3366</v>
      </c>
      <c r="J239" t="s">
        <v>3604</v>
      </c>
      <c r="K239">
        <v>10035</v>
      </c>
      <c r="L239" t="s">
        <v>3610</v>
      </c>
      <c r="M239" t="s">
        <v>3610</v>
      </c>
      <c r="O239" t="s">
        <v>4211</v>
      </c>
      <c r="P239" t="s">
        <v>4242</v>
      </c>
      <c r="Q239" t="s">
        <v>4250</v>
      </c>
      <c r="R239" t="s">
        <v>4258</v>
      </c>
      <c r="S239" t="s">
        <v>3611</v>
      </c>
      <c r="U239" t="s">
        <v>4268</v>
      </c>
      <c r="V239" t="s">
        <v>4274</v>
      </c>
      <c r="W239" t="s">
        <v>204</v>
      </c>
      <c r="X239">
        <v>1600</v>
      </c>
      <c r="Y239" t="s">
        <v>4351</v>
      </c>
      <c r="Z239" t="s">
        <v>4357</v>
      </c>
      <c r="AA239" t="s">
        <v>4373</v>
      </c>
      <c r="AB239" t="s">
        <v>4598</v>
      </c>
      <c r="AE239">
        <v>3</v>
      </c>
      <c r="AF239" t="s">
        <v>7105</v>
      </c>
      <c r="AG239" t="s">
        <v>3745</v>
      </c>
      <c r="AH239">
        <v>7</v>
      </c>
      <c r="AI239">
        <v>4</v>
      </c>
      <c r="AJ239">
        <v>2</v>
      </c>
      <c r="AK239">
        <v>46.24</v>
      </c>
      <c r="AN239" t="s">
        <v>7139</v>
      </c>
      <c r="AO239">
        <v>15600</v>
      </c>
      <c r="AU239">
        <v>2.6</v>
      </c>
      <c r="AV239" t="s">
        <v>209</v>
      </c>
      <c r="AW239" t="s">
        <v>7343</v>
      </c>
      <c r="AX239" t="s">
        <v>7377</v>
      </c>
    </row>
    <row r="240" spans="1:50">
      <c r="A240" s="1">
        <f>HYPERLINK("https://lsnyc.legalserver.org/matter/dynamic-profile/view/1849813","17-1849813")</f>
        <v>0</v>
      </c>
      <c r="B240" t="s">
        <v>64</v>
      </c>
      <c r="C240" t="s">
        <v>104</v>
      </c>
      <c r="D240" t="s">
        <v>281</v>
      </c>
      <c r="E240" t="s">
        <v>646</v>
      </c>
      <c r="F240" t="s">
        <v>719</v>
      </c>
      <c r="G240" t="s">
        <v>1596</v>
      </c>
      <c r="H240" t="s">
        <v>2628</v>
      </c>
      <c r="I240">
        <v>3</v>
      </c>
      <c r="J240" t="s">
        <v>3604</v>
      </c>
      <c r="K240">
        <v>10034</v>
      </c>
      <c r="L240" t="s">
        <v>3610</v>
      </c>
      <c r="M240" t="s">
        <v>3609</v>
      </c>
      <c r="N240" t="s">
        <v>3718</v>
      </c>
      <c r="O240" t="s">
        <v>4209</v>
      </c>
      <c r="P240" t="s">
        <v>4245</v>
      </c>
      <c r="Q240" t="s">
        <v>4249</v>
      </c>
      <c r="R240" t="s">
        <v>4258</v>
      </c>
      <c r="S240" t="s">
        <v>3611</v>
      </c>
      <c r="U240" t="s">
        <v>4268</v>
      </c>
      <c r="W240" t="s">
        <v>281</v>
      </c>
      <c r="X240">
        <v>845.75</v>
      </c>
      <c r="Y240" t="s">
        <v>4351</v>
      </c>
      <c r="Z240" t="s">
        <v>4354</v>
      </c>
      <c r="AA240" t="s">
        <v>4377</v>
      </c>
      <c r="AB240" t="s">
        <v>4596</v>
      </c>
      <c r="AD240" t="s">
        <v>6017</v>
      </c>
      <c r="AE240">
        <v>29</v>
      </c>
      <c r="AF240" t="s">
        <v>7101</v>
      </c>
      <c r="AG240" t="s">
        <v>3745</v>
      </c>
      <c r="AH240">
        <v>37</v>
      </c>
      <c r="AI240">
        <v>2</v>
      </c>
      <c r="AJ240">
        <v>1</v>
      </c>
      <c r="AK240">
        <v>46.43</v>
      </c>
      <c r="AN240" t="s">
        <v>7139</v>
      </c>
      <c r="AO240">
        <v>9480</v>
      </c>
      <c r="AU240">
        <v>4</v>
      </c>
      <c r="AV240" t="s">
        <v>346</v>
      </c>
      <c r="AW240" t="s">
        <v>7342</v>
      </c>
    </row>
    <row r="241" spans="1:50">
      <c r="A241" s="1">
        <f>HYPERLINK("https://lsnyc.legalserver.org/matter/dynamic-profile/view/1878934","18-1878934")</f>
        <v>0</v>
      </c>
      <c r="B241" t="s">
        <v>64</v>
      </c>
      <c r="C241" t="s">
        <v>105</v>
      </c>
      <c r="D241" t="s">
        <v>282</v>
      </c>
      <c r="F241" t="s">
        <v>733</v>
      </c>
      <c r="G241" t="s">
        <v>1746</v>
      </c>
      <c r="H241" t="s">
        <v>2576</v>
      </c>
      <c r="I241" t="s">
        <v>3296</v>
      </c>
      <c r="J241" t="s">
        <v>3604</v>
      </c>
      <c r="K241">
        <v>10040</v>
      </c>
      <c r="L241" t="s">
        <v>3610</v>
      </c>
      <c r="M241" t="s">
        <v>3610</v>
      </c>
      <c r="O241" t="s">
        <v>4218</v>
      </c>
      <c r="P241" t="s">
        <v>4241</v>
      </c>
      <c r="R241" t="s">
        <v>4258</v>
      </c>
      <c r="S241" t="s">
        <v>3610</v>
      </c>
      <c r="U241" t="s">
        <v>4268</v>
      </c>
      <c r="W241" t="s">
        <v>282</v>
      </c>
      <c r="X241">
        <v>102536</v>
      </c>
      <c r="Y241" t="s">
        <v>4351</v>
      </c>
      <c r="Z241" t="s">
        <v>4352</v>
      </c>
      <c r="AB241" t="s">
        <v>4599</v>
      </c>
      <c r="AD241" t="s">
        <v>6019</v>
      </c>
      <c r="AE241">
        <v>88</v>
      </c>
      <c r="AF241" t="s">
        <v>7101</v>
      </c>
      <c r="AG241" t="s">
        <v>7118</v>
      </c>
      <c r="AH241">
        <v>26</v>
      </c>
      <c r="AI241">
        <v>1</v>
      </c>
      <c r="AJ241">
        <v>0</v>
      </c>
      <c r="AK241">
        <v>46.46</v>
      </c>
      <c r="AN241" t="s">
        <v>7139</v>
      </c>
      <c r="AO241">
        <v>5640</v>
      </c>
      <c r="AU241">
        <v>0</v>
      </c>
      <c r="AW241" t="s">
        <v>7342</v>
      </c>
    </row>
    <row r="242" spans="1:50">
      <c r="A242" s="1">
        <f>HYPERLINK("https://lsnyc.legalserver.org/matter/dynamic-profile/view/1887372","19-1887372")</f>
        <v>0</v>
      </c>
      <c r="B242" t="s">
        <v>61</v>
      </c>
      <c r="C242" t="s">
        <v>104</v>
      </c>
      <c r="D242" t="s">
        <v>283</v>
      </c>
      <c r="E242" t="s">
        <v>283</v>
      </c>
      <c r="F242" t="s">
        <v>869</v>
      </c>
      <c r="G242" t="s">
        <v>1747</v>
      </c>
      <c r="H242" t="s">
        <v>2631</v>
      </c>
      <c r="I242">
        <v>25</v>
      </c>
      <c r="J242" t="s">
        <v>3604</v>
      </c>
      <c r="K242">
        <v>10034</v>
      </c>
      <c r="L242" t="s">
        <v>3610</v>
      </c>
      <c r="M242" t="s">
        <v>3610</v>
      </c>
      <c r="O242" t="s">
        <v>4219</v>
      </c>
      <c r="P242" t="s">
        <v>4242</v>
      </c>
      <c r="Q242" t="s">
        <v>4250</v>
      </c>
      <c r="R242" t="s">
        <v>4258</v>
      </c>
      <c r="S242" t="s">
        <v>3611</v>
      </c>
      <c r="U242" t="s">
        <v>4268</v>
      </c>
      <c r="W242" t="s">
        <v>283</v>
      </c>
      <c r="X242">
        <v>1008.29</v>
      </c>
      <c r="Y242" t="s">
        <v>4351</v>
      </c>
      <c r="Z242" t="s">
        <v>4354</v>
      </c>
      <c r="AA242" t="s">
        <v>4373</v>
      </c>
      <c r="AB242" t="s">
        <v>4600</v>
      </c>
      <c r="AD242" t="s">
        <v>6020</v>
      </c>
      <c r="AE242">
        <v>25</v>
      </c>
      <c r="AF242" t="s">
        <v>7101</v>
      </c>
      <c r="AG242" t="s">
        <v>3745</v>
      </c>
      <c r="AH242">
        <v>25</v>
      </c>
      <c r="AI242">
        <v>4</v>
      </c>
      <c r="AJ242">
        <v>0</v>
      </c>
      <c r="AK242">
        <v>46.49</v>
      </c>
      <c r="AN242" t="s">
        <v>7139</v>
      </c>
      <c r="AO242">
        <v>11668.28</v>
      </c>
      <c r="AU242">
        <v>1.82</v>
      </c>
      <c r="AV242" t="s">
        <v>283</v>
      </c>
      <c r="AW242" t="s">
        <v>7342</v>
      </c>
      <c r="AX242" t="s">
        <v>7377</v>
      </c>
    </row>
    <row r="243" spans="1:50">
      <c r="A243" s="1">
        <f>HYPERLINK("https://lsnyc.legalserver.org/matter/dynamic-profile/view/1889042","19-1889042")</f>
        <v>0</v>
      </c>
      <c r="B243" t="s">
        <v>64</v>
      </c>
      <c r="C243" t="s">
        <v>105</v>
      </c>
      <c r="D243" t="s">
        <v>145</v>
      </c>
      <c r="F243" t="s">
        <v>852</v>
      </c>
      <c r="G243" t="s">
        <v>1728</v>
      </c>
      <c r="H243" t="s">
        <v>2496</v>
      </c>
      <c r="I243">
        <v>63</v>
      </c>
      <c r="J243" t="s">
        <v>3604</v>
      </c>
      <c r="K243">
        <v>10032</v>
      </c>
      <c r="L243" t="s">
        <v>3610</v>
      </c>
      <c r="M243" t="s">
        <v>3610</v>
      </c>
      <c r="N243" t="s">
        <v>3719</v>
      </c>
      <c r="O243" t="s">
        <v>4209</v>
      </c>
      <c r="P243" t="s">
        <v>4241</v>
      </c>
      <c r="R243" t="s">
        <v>4258</v>
      </c>
      <c r="S243" t="s">
        <v>3611</v>
      </c>
      <c r="U243" t="s">
        <v>4268</v>
      </c>
      <c r="V243" t="s">
        <v>4274</v>
      </c>
      <c r="W243" t="s">
        <v>341</v>
      </c>
      <c r="X243">
        <v>481</v>
      </c>
      <c r="Y243" t="s">
        <v>4351</v>
      </c>
      <c r="Z243" t="s">
        <v>4354</v>
      </c>
      <c r="AB243" t="s">
        <v>4575</v>
      </c>
      <c r="AD243" t="s">
        <v>6000</v>
      </c>
      <c r="AE243">
        <v>35</v>
      </c>
      <c r="AF243" t="s">
        <v>7104</v>
      </c>
      <c r="AH243">
        <v>50</v>
      </c>
      <c r="AI243">
        <v>2</v>
      </c>
      <c r="AJ243">
        <v>0</v>
      </c>
      <c r="AK243">
        <v>46.49</v>
      </c>
      <c r="AN243" t="s">
        <v>7138</v>
      </c>
      <c r="AO243">
        <v>7860.96</v>
      </c>
      <c r="AU243">
        <v>13.9</v>
      </c>
      <c r="AV243" t="s">
        <v>4302</v>
      </c>
      <c r="AW243" t="s">
        <v>64</v>
      </c>
    </row>
    <row r="244" spans="1:50">
      <c r="A244" s="1">
        <f>HYPERLINK("https://lsnyc.legalserver.org/matter/dynamic-profile/view/1847633","17-1847633")</f>
        <v>0</v>
      </c>
      <c r="B244" t="s">
        <v>64</v>
      </c>
      <c r="C244" t="s">
        <v>105</v>
      </c>
      <c r="D244" t="s">
        <v>284</v>
      </c>
      <c r="F244" t="s">
        <v>704</v>
      </c>
      <c r="G244" t="s">
        <v>1748</v>
      </c>
      <c r="H244" t="s">
        <v>2632</v>
      </c>
      <c r="I244" t="s">
        <v>3367</v>
      </c>
      <c r="J244" t="s">
        <v>3604</v>
      </c>
      <c r="K244">
        <v>10034</v>
      </c>
      <c r="L244" t="s">
        <v>3610</v>
      </c>
      <c r="M244" t="s">
        <v>3609</v>
      </c>
      <c r="O244" t="s">
        <v>4213</v>
      </c>
      <c r="P244" t="s">
        <v>4241</v>
      </c>
      <c r="R244" t="s">
        <v>4258</v>
      </c>
      <c r="S244" t="s">
        <v>3610</v>
      </c>
      <c r="U244" t="s">
        <v>4268</v>
      </c>
      <c r="W244" t="s">
        <v>609</v>
      </c>
      <c r="X244">
        <v>822.01</v>
      </c>
      <c r="Y244" t="s">
        <v>4351</v>
      </c>
      <c r="Z244" t="s">
        <v>4354</v>
      </c>
      <c r="AB244" t="s">
        <v>4601</v>
      </c>
      <c r="AD244" t="s">
        <v>6021</v>
      </c>
      <c r="AE244">
        <v>50</v>
      </c>
      <c r="AF244" t="s">
        <v>7101</v>
      </c>
      <c r="AG244" t="s">
        <v>3745</v>
      </c>
      <c r="AH244">
        <v>40</v>
      </c>
      <c r="AI244">
        <v>2</v>
      </c>
      <c r="AJ244">
        <v>0</v>
      </c>
      <c r="AK244">
        <v>46.55</v>
      </c>
      <c r="AN244" t="s">
        <v>7139</v>
      </c>
      <c r="AO244">
        <v>7560</v>
      </c>
      <c r="AU244">
        <v>0</v>
      </c>
      <c r="AW244" t="s">
        <v>7342</v>
      </c>
    </row>
    <row r="245" spans="1:50">
      <c r="A245" s="1">
        <f>HYPERLINK("https://lsnyc.legalserver.org/matter/dynamic-profile/view/1882796","18-1882796")</f>
        <v>0</v>
      </c>
      <c r="B245" t="s">
        <v>50</v>
      </c>
      <c r="C245" t="s">
        <v>105</v>
      </c>
      <c r="D245" t="s">
        <v>262</v>
      </c>
      <c r="F245" t="s">
        <v>870</v>
      </c>
      <c r="G245" t="s">
        <v>1749</v>
      </c>
      <c r="H245" t="s">
        <v>2633</v>
      </c>
      <c r="I245" t="s">
        <v>3304</v>
      </c>
      <c r="J245" t="s">
        <v>3604</v>
      </c>
      <c r="K245">
        <v>10034</v>
      </c>
      <c r="L245" t="s">
        <v>3609</v>
      </c>
      <c r="M245" t="s">
        <v>3609</v>
      </c>
      <c r="R245" t="s">
        <v>4258</v>
      </c>
      <c r="U245" t="s">
        <v>4267</v>
      </c>
      <c r="X245">
        <v>0</v>
      </c>
      <c r="Y245" t="s">
        <v>4351</v>
      </c>
      <c r="AB245" t="s">
        <v>4602</v>
      </c>
      <c r="AD245" t="s">
        <v>6022</v>
      </c>
      <c r="AE245">
        <v>0</v>
      </c>
      <c r="AH245">
        <v>0</v>
      </c>
      <c r="AI245">
        <v>1</v>
      </c>
      <c r="AJ245">
        <v>0</v>
      </c>
      <c r="AK245">
        <v>47.12</v>
      </c>
      <c r="AN245" t="s">
        <v>7138</v>
      </c>
      <c r="AO245">
        <v>5720</v>
      </c>
      <c r="AU245">
        <v>51.65</v>
      </c>
      <c r="AV245" t="s">
        <v>678</v>
      </c>
      <c r="AW245" t="s">
        <v>7340</v>
      </c>
    </row>
    <row r="246" spans="1:50">
      <c r="A246" s="1">
        <f>HYPERLINK("https://lsnyc.legalserver.org/matter/dynamic-profile/view/1899724","19-1899724")</f>
        <v>0</v>
      </c>
      <c r="B246" t="s">
        <v>52</v>
      </c>
      <c r="C246" t="s">
        <v>105</v>
      </c>
      <c r="D246" t="s">
        <v>285</v>
      </c>
      <c r="F246" t="s">
        <v>871</v>
      </c>
      <c r="G246" t="s">
        <v>1750</v>
      </c>
      <c r="H246" t="s">
        <v>2634</v>
      </c>
      <c r="I246" t="s">
        <v>3368</v>
      </c>
      <c r="J246" t="s">
        <v>3604</v>
      </c>
      <c r="K246">
        <v>10034</v>
      </c>
      <c r="L246" t="s">
        <v>3610</v>
      </c>
      <c r="M246" t="s">
        <v>3609</v>
      </c>
      <c r="P246" t="s">
        <v>4245</v>
      </c>
      <c r="R246" t="s">
        <v>4258</v>
      </c>
      <c r="S246" t="s">
        <v>3611</v>
      </c>
      <c r="U246" t="s">
        <v>4268</v>
      </c>
      <c r="W246" t="s">
        <v>285</v>
      </c>
      <c r="X246">
        <v>149</v>
      </c>
      <c r="Y246" t="s">
        <v>4351</v>
      </c>
      <c r="Z246" t="s">
        <v>4357</v>
      </c>
      <c r="AB246" t="s">
        <v>4603</v>
      </c>
      <c r="AD246" t="s">
        <v>6023</v>
      </c>
      <c r="AE246">
        <v>95</v>
      </c>
      <c r="AF246" t="s">
        <v>7101</v>
      </c>
      <c r="AG246" t="s">
        <v>3745</v>
      </c>
      <c r="AH246">
        <v>5</v>
      </c>
      <c r="AI246">
        <v>2</v>
      </c>
      <c r="AJ246">
        <v>0</v>
      </c>
      <c r="AK246">
        <v>47.31</v>
      </c>
      <c r="AN246" t="s">
        <v>7139</v>
      </c>
      <c r="AO246">
        <v>8000</v>
      </c>
      <c r="AU246">
        <v>2.3</v>
      </c>
      <c r="AV246" t="s">
        <v>661</v>
      </c>
      <c r="AW246" t="s">
        <v>7342</v>
      </c>
    </row>
    <row r="247" spans="1:50">
      <c r="A247" s="1">
        <f>HYPERLINK("https://lsnyc.legalserver.org/matter/dynamic-profile/view/1851049","17-1851049")</f>
        <v>0</v>
      </c>
      <c r="B247" t="s">
        <v>56</v>
      </c>
      <c r="C247" t="s">
        <v>104</v>
      </c>
      <c r="D247" t="s">
        <v>286</v>
      </c>
      <c r="E247" t="s">
        <v>669</v>
      </c>
      <c r="F247" t="s">
        <v>872</v>
      </c>
      <c r="G247" t="s">
        <v>1751</v>
      </c>
      <c r="H247" t="s">
        <v>2635</v>
      </c>
      <c r="I247" t="s">
        <v>3294</v>
      </c>
      <c r="J247" t="s">
        <v>3604</v>
      </c>
      <c r="K247">
        <v>10034</v>
      </c>
      <c r="L247" t="s">
        <v>3610</v>
      </c>
      <c r="M247" t="s">
        <v>3610</v>
      </c>
      <c r="N247" t="s">
        <v>3720</v>
      </c>
      <c r="O247" t="s">
        <v>4209</v>
      </c>
      <c r="P247" t="s">
        <v>4241</v>
      </c>
      <c r="Q247" t="s">
        <v>4248</v>
      </c>
      <c r="R247" t="s">
        <v>4258</v>
      </c>
      <c r="S247" t="s">
        <v>3611</v>
      </c>
      <c r="U247" t="s">
        <v>4268</v>
      </c>
      <c r="W247" t="s">
        <v>286</v>
      </c>
      <c r="X247">
        <v>980.67</v>
      </c>
      <c r="Y247" t="s">
        <v>4351</v>
      </c>
      <c r="Z247" t="s">
        <v>4354</v>
      </c>
      <c r="AA247" t="s">
        <v>4374</v>
      </c>
      <c r="AB247" t="s">
        <v>4604</v>
      </c>
      <c r="AD247" t="s">
        <v>6024</v>
      </c>
      <c r="AE247">
        <v>26</v>
      </c>
      <c r="AF247" t="s">
        <v>7101</v>
      </c>
      <c r="AG247" t="s">
        <v>7118</v>
      </c>
      <c r="AH247">
        <v>8</v>
      </c>
      <c r="AI247">
        <v>2</v>
      </c>
      <c r="AJ247">
        <v>1</v>
      </c>
      <c r="AK247">
        <v>47.37</v>
      </c>
      <c r="AN247" t="s">
        <v>7139</v>
      </c>
      <c r="AO247">
        <v>9672</v>
      </c>
      <c r="AU247">
        <v>140.9</v>
      </c>
      <c r="AV247" t="s">
        <v>7294</v>
      </c>
      <c r="AW247" t="s">
        <v>7342</v>
      </c>
    </row>
    <row r="248" spans="1:50">
      <c r="A248" s="1">
        <f>HYPERLINK("https://lsnyc.legalserver.org/matter/dynamic-profile/view/1859387","18-1859387")</f>
        <v>0</v>
      </c>
      <c r="B248" t="s">
        <v>57</v>
      </c>
      <c r="C248" t="s">
        <v>105</v>
      </c>
      <c r="D248" t="s">
        <v>237</v>
      </c>
      <c r="F248" t="s">
        <v>872</v>
      </c>
      <c r="G248" t="s">
        <v>1751</v>
      </c>
      <c r="H248" t="s">
        <v>2635</v>
      </c>
      <c r="I248" t="s">
        <v>3294</v>
      </c>
      <c r="J248" t="s">
        <v>3604</v>
      </c>
      <c r="K248">
        <v>10034</v>
      </c>
      <c r="L248" t="s">
        <v>3610</v>
      </c>
      <c r="M248" t="s">
        <v>3609</v>
      </c>
      <c r="O248" t="s">
        <v>4212</v>
      </c>
      <c r="P248" t="s">
        <v>4244</v>
      </c>
      <c r="R248" t="s">
        <v>4258</v>
      </c>
      <c r="S248" t="s">
        <v>3611</v>
      </c>
      <c r="U248" t="s">
        <v>4270</v>
      </c>
      <c r="W248" t="s">
        <v>237</v>
      </c>
      <c r="X248">
        <v>980.67</v>
      </c>
      <c r="Y248" t="s">
        <v>4351</v>
      </c>
      <c r="Z248" t="s">
        <v>4356</v>
      </c>
      <c r="AB248" t="s">
        <v>4604</v>
      </c>
      <c r="AD248" t="s">
        <v>6024</v>
      </c>
      <c r="AE248">
        <v>26</v>
      </c>
      <c r="AF248" t="s">
        <v>7101</v>
      </c>
      <c r="AG248" t="s">
        <v>7118</v>
      </c>
      <c r="AH248">
        <v>8</v>
      </c>
      <c r="AI248">
        <v>2</v>
      </c>
      <c r="AJ248">
        <v>1</v>
      </c>
      <c r="AK248">
        <v>47.37</v>
      </c>
      <c r="AN248" t="s">
        <v>7139</v>
      </c>
      <c r="AO248">
        <v>19344</v>
      </c>
      <c r="AU248">
        <v>26.5</v>
      </c>
      <c r="AV248" t="s">
        <v>468</v>
      </c>
      <c r="AW248" t="s">
        <v>7341</v>
      </c>
    </row>
    <row r="249" spans="1:50">
      <c r="A249" s="1">
        <f>HYPERLINK("https://lsnyc.legalserver.org/matter/dynamic-profile/view/1873802","18-1873802")</f>
        <v>0</v>
      </c>
      <c r="B249" t="s">
        <v>62</v>
      </c>
      <c r="C249" t="s">
        <v>105</v>
      </c>
      <c r="D249" t="s">
        <v>287</v>
      </c>
      <c r="F249" t="s">
        <v>873</v>
      </c>
      <c r="G249" t="s">
        <v>1752</v>
      </c>
      <c r="H249" t="s">
        <v>2488</v>
      </c>
      <c r="I249" t="s">
        <v>3369</v>
      </c>
      <c r="J249" t="s">
        <v>3604</v>
      </c>
      <c r="K249">
        <v>10033</v>
      </c>
      <c r="L249" t="s">
        <v>3610</v>
      </c>
      <c r="M249" t="s">
        <v>3610</v>
      </c>
      <c r="O249" t="s">
        <v>4213</v>
      </c>
      <c r="P249" t="s">
        <v>4245</v>
      </c>
      <c r="R249" t="s">
        <v>4258</v>
      </c>
      <c r="S249" t="s">
        <v>3610</v>
      </c>
      <c r="U249" t="s">
        <v>4268</v>
      </c>
      <c r="W249" t="s">
        <v>287</v>
      </c>
      <c r="X249">
        <v>0</v>
      </c>
      <c r="Y249" t="s">
        <v>4351</v>
      </c>
      <c r="Z249" t="s">
        <v>4352</v>
      </c>
      <c r="AB249" t="s">
        <v>4605</v>
      </c>
      <c r="AE249">
        <v>232</v>
      </c>
      <c r="AF249" t="s">
        <v>7101</v>
      </c>
      <c r="AG249" t="s">
        <v>3745</v>
      </c>
      <c r="AH249">
        <v>15</v>
      </c>
      <c r="AI249">
        <v>3</v>
      </c>
      <c r="AJ249">
        <v>2</v>
      </c>
      <c r="AK249">
        <v>47.59</v>
      </c>
      <c r="AN249" t="s">
        <v>7139</v>
      </c>
      <c r="AO249">
        <v>14000</v>
      </c>
      <c r="AU249">
        <v>0</v>
      </c>
      <c r="AW249" t="s">
        <v>7342</v>
      </c>
    </row>
    <row r="250" spans="1:50">
      <c r="A250" s="1">
        <f>HYPERLINK("https://lsnyc.legalserver.org/matter/dynamic-profile/view/1866167","18-1866167")</f>
        <v>0</v>
      </c>
      <c r="B250" t="s">
        <v>53</v>
      </c>
      <c r="C250" t="s">
        <v>105</v>
      </c>
      <c r="D250" t="s">
        <v>288</v>
      </c>
      <c r="F250" t="s">
        <v>874</v>
      </c>
      <c r="G250" t="s">
        <v>1702</v>
      </c>
      <c r="H250" t="s">
        <v>2636</v>
      </c>
      <c r="I250" t="s">
        <v>3357</v>
      </c>
      <c r="J250" t="s">
        <v>3605</v>
      </c>
      <c r="K250">
        <v>10031</v>
      </c>
      <c r="L250" t="s">
        <v>3610</v>
      </c>
      <c r="M250" t="s">
        <v>3610</v>
      </c>
      <c r="O250" t="s">
        <v>4213</v>
      </c>
      <c r="P250" t="s">
        <v>4241</v>
      </c>
      <c r="R250" t="s">
        <v>4258</v>
      </c>
      <c r="S250" t="s">
        <v>3610</v>
      </c>
      <c r="U250" t="s">
        <v>4268</v>
      </c>
      <c r="V250" t="s">
        <v>4274</v>
      </c>
      <c r="W250" t="s">
        <v>288</v>
      </c>
      <c r="X250">
        <v>2126</v>
      </c>
      <c r="Y250" t="s">
        <v>4351</v>
      </c>
      <c r="Z250" t="s">
        <v>4352</v>
      </c>
      <c r="AB250" t="s">
        <v>4606</v>
      </c>
      <c r="AD250" t="s">
        <v>6025</v>
      </c>
      <c r="AE250">
        <v>42</v>
      </c>
      <c r="AF250" t="s">
        <v>7106</v>
      </c>
      <c r="AG250" t="s">
        <v>7116</v>
      </c>
      <c r="AH250">
        <v>11</v>
      </c>
      <c r="AI250">
        <v>3</v>
      </c>
      <c r="AJ250">
        <v>1</v>
      </c>
      <c r="AK250">
        <v>47.81</v>
      </c>
      <c r="AN250" t="s">
        <v>7139</v>
      </c>
      <c r="AO250">
        <v>12000</v>
      </c>
      <c r="AU250">
        <v>4.95</v>
      </c>
      <c r="AV250" t="s">
        <v>7293</v>
      </c>
      <c r="AW250" t="s">
        <v>7341</v>
      </c>
    </row>
    <row r="251" spans="1:50">
      <c r="A251" s="1">
        <f>HYPERLINK("https://lsnyc.legalserver.org/matter/dynamic-profile/view/0806911","16-0806911")</f>
        <v>0</v>
      </c>
      <c r="B251" t="s">
        <v>63</v>
      </c>
      <c r="C251" t="s">
        <v>105</v>
      </c>
      <c r="D251" t="s">
        <v>289</v>
      </c>
      <c r="F251" t="s">
        <v>875</v>
      </c>
      <c r="G251" t="s">
        <v>1753</v>
      </c>
      <c r="H251" t="s">
        <v>2637</v>
      </c>
      <c r="I251" t="s">
        <v>3304</v>
      </c>
      <c r="J251" t="s">
        <v>3604</v>
      </c>
      <c r="K251">
        <v>10034</v>
      </c>
      <c r="L251" t="s">
        <v>3610</v>
      </c>
      <c r="M251" t="s">
        <v>3609</v>
      </c>
      <c r="N251" t="s">
        <v>3721</v>
      </c>
      <c r="O251" t="s">
        <v>4213</v>
      </c>
      <c r="P251" t="s">
        <v>4241</v>
      </c>
      <c r="R251" t="s">
        <v>4258</v>
      </c>
      <c r="S251" t="s">
        <v>3610</v>
      </c>
      <c r="U251" t="s">
        <v>4268</v>
      </c>
      <c r="W251" t="s">
        <v>4292</v>
      </c>
      <c r="X251">
        <v>850.41</v>
      </c>
      <c r="Y251" t="s">
        <v>4351</v>
      </c>
      <c r="Z251" t="s">
        <v>4364</v>
      </c>
      <c r="AB251" t="s">
        <v>4607</v>
      </c>
      <c r="AC251" t="s">
        <v>5806</v>
      </c>
      <c r="AE251">
        <v>44</v>
      </c>
      <c r="AF251" t="s">
        <v>7101</v>
      </c>
      <c r="AG251" t="s">
        <v>3745</v>
      </c>
      <c r="AH251">
        <v>23</v>
      </c>
      <c r="AI251">
        <v>1</v>
      </c>
      <c r="AJ251">
        <v>3</v>
      </c>
      <c r="AK251">
        <v>47.95</v>
      </c>
      <c r="AN251" t="s">
        <v>7138</v>
      </c>
      <c r="AO251">
        <v>11650.88</v>
      </c>
      <c r="AU251">
        <v>1.2</v>
      </c>
      <c r="AV251" t="s">
        <v>4312</v>
      </c>
      <c r="AW251" t="s">
        <v>7341</v>
      </c>
    </row>
    <row r="252" spans="1:50">
      <c r="A252" s="1">
        <f>HYPERLINK("https://lsnyc.legalserver.org/matter/dynamic-profile/view/1840577","17-1840577")</f>
        <v>0</v>
      </c>
      <c r="B252" t="s">
        <v>61</v>
      </c>
      <c r="C252" t="s">
        <v>105</v>
      </c>
      <c r="D252" t="s">
        <v>290</v>
      </c>
      <c r="F252" t="s">
        <v>876</v>
      </c>
      <c r="G252" t="s">
        <v>1754</v>
      </c>
      <c r="H252" t="s">
        <v>2638</v>
      </c>
      <c r="I252">
        <v>35</v>
      </c>
      <c r="J252" t="s">
        <v>3604</v>
      </c>
      <c r="K252">
        <v>10034</v>
      </c>
      <c r="L252" t="s">
        <v>3610</v>
      </c>
      <c r="M252" t="s">
        <v>3609</v>
      </c>
      <c r="O252" t="s">
        <v>4228</v>
      </c>
      <c r="P252" t="s">
        <v>4244</v>
      </c>
      <c r="R252" t="s">
        <v>4258</v>
      </c>
      <c r="S252" t="s">
        <v>3611</v>
      </c>
      <c r="T252" t="s">
        <v>4258</v>
      </c>
      <c r="U252" t="s">
        <v>4268</v>
      </c>
      <c r="W252" t="s">
        <v>133</v>
      </c>
      <c r="X252">
        <v>900</v>
      </c>
      <c r="Y252" t="s">
        <v>4351</v>
      </c>
      <c r="Z252" t="s">
        <v>4228</v>
      </c>
      <c r="AB252" t="s">
        <v>4608</v>
      </c>
      <c r="AD252" t="s">
        <v>6026</v>
      </c>
      <c r="AE252">
        <v>60</v>
      </c>
      <c r="AF252" t="s">
        <v>7105</v>
      </c>
      <c r="AG252" t="s">
        <v>3745</v>
      </c>
      <c r="AH252">
        <v>23</v>
      </c>
      <c r="AI252">
        <v>2</v>
      </c>
      <c r="AJ252">
        <v>2</v>
      </c>
      <c r="AK252">
        <v>48.29</v>
      </c>
      <c r="AN252" t="s">
        <v>7138</v>
      </c>
      <c r="AO252">
        <v>11880</v>
      </c>
      <c r="AU252">
        <v>32.5</v>
      </c>
      <c r="AV252" t="s">
        <v>122</v>
      </c>
      <c r="AW252" t="s">
        <v>7361</v>
      </c>
    </row>
    <row r="253" spans="1:50">
      <c r="A253" s="1">
        <f>HYPERLINK("https://lsnyc.legalserver.org/matter/dynamic-profile/view/1871476","18-1871476")</f>
        <v>0</v>
      </c>
      <c r="B253" t="s">
        <v>58</v>
      </c>
      <c r="C253" t="s">
        <v>105</v>
      </c>
      <c r="D253" t="s">
        <v>291</v>
      </c>
      <c r="F253" t="s">
        <v>877</v>
      </c>
      <c r="G253" t="s">
        <v>1755</v>
      </c>
      <c r="H253" t="s">
        <v>2639</v>
      </c>
      <c r="I253">
        <v>10037</v>
      </c>
      <c r="J253" t="s">
        <v>3604</v>
      </c>
      <c r="K253">
        <v>10037</v>
      </c>
      <c r="L253" t="s">
        <v>3609</v>
      </c>
      <c r="M253" t="s">
        <v>3609</v>
      </c>
      <c r="P253" t="s">
        <v>4241</v>
      </c>
      <c r="R253" t="s">
        <v>4258</v>
      </c>
      <c r="U253" t="s">
        <v>4268</v>
      </c>
      <c r="X253">
        <v>0</v>
      </c>
      <c r="Y253" t="s">
        <v>4351</v>
      </c>
      <c r="AB253" t="s">
        <v>4609</v>
      </c>
      <c r="AD253" t="s">
        <v>6027</v>
      </c>
      <c r="AE253">
        <v>0</v>
      </c>
      <c r="AH253">
        <v>0</v>
      </c>
      <c r="AI253">
        <v>3</v>
      </c>
      <c r="AJ253">
        <v>0</v>
      </c>
      <c r="AK253">
        <v>48.66</v>
      </c>
      <c r="AN253" t="s">
        <v>7138</v>
      </c>
      <c r="AO253">
        <v>9936</v>
      </c>
      <c r="AU253">
        <v>22.95</v>
      </c>
      <c r="AV253" t="s">
        <v>477</v>
      </c>
      <c r="AW253" t="s">
        <v>58</v>
      </c>
    </row>
    <row r="254" spans="1:50">
      <c r="A254" s="1">
        <f>HYPERLINK("https://lsnyc.legalserver.org/matter/dynamic-profile/view/1836319","17-1836319")</f>
        <v>0</v>
      </c>
      <c r="B254" t="s">
        <v>67</v>
      </c>
      <c r="C254" t="s">
        <v>105</v>
      </c>
      <c r="D254" t="s">
        <v>292</v>
      </c>
      <c r="F254" t="s">
        <v>878</v>
      </c>
      <c r="G254" t="s">
        <v>1756</v>
      </c>
      <c r="H254" t="s">
        <v>2640</v>
      </c>
      <c r="I254" t="s">
        <v>3333</v>
      </c>
      <c r="J254" t="s">
        <v>3604</v>
      </c>
      <c r="K254">
        <v>10029</v>
      </c>
      <c r="L254" t="s">
        <v>3611</v>
      </c>
      <c r="M254" t="s">
        <v>3609</v>
      </c>
      <c r="N254" t="s">
        <v>3722</v>
      </c>
      <c r="O254" t="s">
        <v>4209</v>
      </c>
      <c r="P254" t="s">
        <v>4244</v>
      </c>
      <c r="R254" t="s">
        <v>4258</v>
      </c>
      <c r="S254" t="s">
        <v>3610</v>
      </c>
      <c r="U254" t="s">
        <v>4268</v>
      </c>
      <c r="W254" t="s">
        <v>292</v>
      </c>
      <c r="X254">
        <v>465</v>
      </c>
      <c r="Y254" t="s">
        <v>4351</v>
      </c>
      <c r="Z254" t="s">
        <v>4352</v>
      </c>
      <c r="AB254" t="s">
        <v>4610</v>
      </c>
      <c r="AD254" t="s">
        <v>6028</v>
      </c>
      <c r="AE254">
        <v>20</v>
      </c>
      <c r="AF254" t="s">
        <v>7101</v>
      </c>
      <c r="AG254" t="s">
        <v>4228</v>
      </c>
      <c r="AH254">
        <v>22</v>
      </c>
      <c r="AI254">
        <v>3</v>
      </c>
      <c r="AJ254">
        <v>2</v>
      </c>
      <c r="AK254">
        <v>48.7</v>
      </c>
      <c r="AN254" t="s">
        <v>7138</v>
      </c>
      <c r="AO254">
        <v>14016</v>
      </c>
      <c r="AU254">
        <v>0</v>
      </c>
      <c r="AW254" t="s">
        <v>7364</v>
      </c>
    </row>
    <row r="255" spans="1:50">
      <c r="A255" s="1">
        <f>HYPERLINK("https://lsnyc.legalserver.org/matter/dynamic-profile/view/1880991","18-1880991")</f>
        <v>0</v>
      </c>
      <c r="B255" t="s">
        <v>84</v>
      </c>
      <c r="C255" t="s">
        <v>104</v>
      </c>
      <c r="D255" t="s">
        <v>293</v>
      </c>
      <c r="E255" t="s">
        <v>662</v>
      </c>
      <c r="F255" t="s">
        <v>879</v>
      </c>
      <c r="G255" t="s">
        <v>1757</v>
      </c>
      <c r="H255" t="s">
        <v>2641</v>
      </c>
      <c r="I255" t="s">
        <v>3370</v>
      </c>
      <c r="J255" t="s">
        <v>3604</v>
      </c>
      <c r="K255">
        <v>10013</v>
      </c>
      <c r="L255" t="s">
        <v>3611</v>
      </c>
      <c r="M255" t="s">
        <v>3611</v>
      </c>
      <c r="O255" t="s">
        <v>4211</v>
      </c>
      <c r="P255" t="s">
        <v>4242</v>
      </c>
      <c r="Q255" t="s">
        <v>4250</v>
      </c>
      <c r="R255" t="s">
        <v>4258</v>
      </c>
      <c r="S255" t="s">
        <v>3611</v>
      </c>
      <c r="U255" t="s">
        <v>4268</v>
      </c>
      <c r="V255" t="s">
        <v>4274</v>
      </c>
      <c r="X255">
        <v>286</v>
      </c>
      <c r="Y255" t="s">
        <v>4351</v>
      </c>
      <c r="AA255" t="s">
        <v>4373</v>
      </c>
      <c r="AB255" t="s">
        <v>4611</v>
      </c>
      <c r="AC255" t="s">
        <v>5807</v>
      </c>
      <c r="AD255" t="s">
        <v>6029</v>
      </c>
      <c r="AE255">
        <v>104</v>
      </c>
      <c r="AF255" t="s">
        <v>7110</v>
      </c>
      <c r="AH255">
        <v>2</v>
      </c>
      <c r="AI255">
        <v>1</v>
      </c>
      <c r="AJ255">
        <v>0</v>
      </c>
      <c r="AK255">
        <v>49.03</v>
      </c>
      <c r="AN255" t="s">
        <v>7144</v>
      </c>
      <c r="AO255">
        <v>5952</v>
      </c>
      <c r="AU255">
        <v>0.75</v>
      </c>
      <c r="AV255" t="s">
        <v>283</v>
      </c>
      <c r="AW255" t="s">
        <v>7340</v>
      </c>
    </row>
    <row r="256" spans="1:50">
      <c r="A256" s="1">
        <f>HYPERLINK("https://lsnyc.legalserver.org/matter/dynamic-profile/view/1863818","18-1863818")</f>
        <v>0</v>
      </c>
      <c r="B256" t="s">
        <v>53</v>
      </c>
      <c r="C256" t="s">
        <v>105</v>
      </c>
      <c r="D256" t="s">
        <v>160</v>
      </c>
      <c r="F256" t="s">
        <v>733</v>
      </c>
      <c r="G256" t="s">
        <v>1758</v>
      </c>
      <c r="H256" t="s">
        <v>2508</v>
      </c>
      <c r="I256">
        <v>804</v>
      </c>
      <c r="J256" t="s">
        <v>3604</v>
      </c>
      <c r="K256">
        <v>10029</v>
      </c>
      <c r="L256" t="s">
        <v>3610</v>
      </c>
      <c r="M256" t="s">
        <v>3610</v>
      </c>
      <c r="N256" t="s">
        <v>3642</v>
      </c>
      <c r="O256" t="s">
        <v>4213</v>
      </c>
      <c r="P256" t="s">
        <v>4241</v>
      </c>
      <c r="R256" t="s">
        <v>4258</v>
      </c>
      <c r="S256" t="s">
        <v>3610</v>
      </c>
      <c r="U256" t="s">
        <v>4268</v>
      </c>
      <c r="V256" t="s">
        <v>4274</v>
      </c>
      <c r="W256" t="s">
        <v>242</v>
      </c>
      <c r="X256">
        <v>0</v>
      </c>
      <c r="Y256" t="s">
        <v>4351</v>
      </c>
      <c r="Z256" t="s">
        <v>4352</v>
      </c>
      <c r="AB256" t="s">
        <v>4612</v>
      </c>
      <c r="AC256" t="s">
        <v>5808</v>
      </c>
      <c r="AE256">
        <v>108</v>
      </c>
      <c r="AF256" t="s">
        <v>7106</v>
      </c>
      <c r="AG256" t="s">
        <v>7116</v>
      </c>
      <c r="AH256">
        <v>30</v>
      </c>
      <c r="AI256">
        <v>1</v>
      </c>
      <c r="AJ256">
        <v>1</v>
      </c>
      <c r="AK256">
        <v>49.21</v>
      </c>
      <c r="AN256" t="s">
        <v>7138</v>
      </c>
      <c r="AO256">
        <v>8100</v>
      </c>
      <c r="AU256">
        <v>0.85</v>
      </c>
      <c r="AV256" t="s">
        <v>122</v>
      </c>
      <c r="AW256" t="s">
        <v>7341</v>
      </c>
    </row>
    <row r="257" spans="1:50">
      <c r="A257" s="1">
        <f>HYPERLINK("https://lsnyc.legalserver.org/matter/dynamic-profile/view/1864378","18-1864378")</f>
        <v>0</v>
      </c>
      <c r="B257" t="s">
        <v>53</v>
      </c>
      <c r="C257" t="s">
        <v>105</v>
      </c>
      <c r="D257" t="s">
        <v>162</v>
      </c>
      <c r="F257" t="s">
        <v>719</v>
      </c>
      <c r="G257" t="s">
        <v>1600</v>
      </c>
      <c r="H257" t="s">
        <v>2508</v>
      </c>
      <c r="I257">
        <v>103</v>
      </c>
      <c r="J257" t="s">
        <v>3604</v>
      </c>
      <c r="K257">
        <v>10029</v>
      </c>
      <c r="L257" t="s">
        <v>3610</v>
      </c>
      <c r="M257" t="s">
        <v>3609</v>
      </c>
      <c r="N257" t="s">
        <v>3642</v>
      </c>
      <c r="O257" t="s">
        <v>4213</v>
      </c>
      <c r="P257" t="s">
        <v>4241</v>
      </c>
      <c r="R257" t="s">
        <v>4258</v>
      </c>
      <c r="S257" t="s">
        <v>3610</v>
      </c>
      <c r="U257" t="s">
        <v>4268</v>
      </c>
      <c r="V257" t="s">
        <v>4274</v>
      </c>
      <c r="W257" t="s">
        <v>162</v>
      </c>
      <c r="X257">
        <v>0</v>
      </c>
      <c r="Y257" t="s">
        <v>4351</v>
      </c>
      <c r="Z257" t="s">
        <v>4352</v>
      </c>
      <c r="AB257" t="s">
        <v>4613</v>
      </c>
      <c r="AD257" t="s">
        <v>6030</v>
      </c>
      <c r="AE257">
        <v>108</v>
      </c>
      <c r="AF257" t="s">
        <v>7106</v>
      </c>
      <c r="AG257" t="s">
        <v>7116</v>
      </c>
      <c r="AH257">
        <v>20</v>
      </c>
      <c r="AI257">
        <v>1</v>
      </c>
      <c r="AJ257">
        <v>1</v>
      </c>
      <c r="AK257">
        <v>49.21</v>
      </c>
      <c r="AN257" t="s">
        <v>7139</v>
      </c>
      <c r="AO257">
        <v>8100</v>
      </c>
      <c r="AU257">
        <v>0.5</v>
      </c>
      <c r="AV257" t="s">
        <v>688</v>
      </c>
      <c r="AW257" t="s">
        <v>7341</v>
      </c>
      <c r="AX257" t="s">
        <v>7377</v>
      </c>
    </row>
    <row r="258" spans="1:50">
      <c r="A258" s="1">
        <f>HYPERLINK("https://lsnyc.legalserver.org/matter/dynamic-profile/view/1851670","17-1851670")</f>
        <v>0</v>
      </c>
      <c r="B258" t="s">
        <v>64</v>
      </c>
      <c r="C258" t="s">
        <v>105</v>
      </c>
      <c r="D258" t="s">
        <v>294</v>
      </c>
      <c r="F258" t="s">
        <v>880</v>
      </c>
      <c r="G258" t="s">
        <v>1109</v>
      </c>
      <c r="H258" t="s">
        <v>2642</v>
      </c>
      <c r="I258" t="s">
        <v>3371</v>
      </c>
      <c r="J258" t="s">
        <v>3604</v>
      </c>
      <c r="K258">
        <v>10034</v>
      </c>
      <c r="L258" t="s">
        <v>3610</v>
      </c>
      <c r="M258" t="s">
        <v>3609</v>
      </c>
      <c r="O258" t="s">
        <v>4213</v>
      </c>
      <c r="P258" t="s">
        <v>4241</v>
      </c>
      <c r="R258" t="s">
        <v>4258</v>
      </c>
      <c r="S258" t="s">
        <v>3610</v>
      </c>
      <c r="U258" t="s">
        <v>4268</v>
      </c>
      <c r="W258" t="s">
        <v>294</v>
      </c>
      <c r="X258">
        <v>715.64</v>
      </c>
      <c r="Y258" t="s">
        <v>4351</v>
      </c>
      <c r="Z258" t="s">
        <v>4354</v>
      </c>
      <c r="AB258" t="s">
        <v>4614</v>
      </c>
      <c r="AD258" t="s">
        <v>6031</v>
      </c>
      <c r="AE258">
        <v>49</v>
      </c>
      <c r="AF258" t="s">
        <v>7101</v>
      </c>
      <c r="AG258" t="s">
        <v>3745</v>
      </c>
      <c r="AH258">
        <v>20</v>
      </c>
      <c r="AI258">
        <v>2</v>
      </c>
      <c r="AJ258">
        <v>0</v>
      </c>
      <c r="AK258">
        <v>49.26</v>
      </c>
      <c r="AN258" t="s">
        <v>7139</v>
      </c>
      <c r="AO258">
        <v>8000</v>
      </c>
      <c r="AU258">
        <v>0.65</v>
      </c>
      <c r="AV258" t="s">
        <v>335</v>
      </c>
      <c r="AW258" t="s">
        <v>7342</v>
      </c>
    </row>
    <row r="259" spans="1:50">
      <c r="A259" s="1">
        <f>HYPERLINK("https://lsnyc.legalserver.org/matter/dynamic-profile/view/1851667","17-1851667")</f>
        <v>0</v>
      </c>
      <c r="B259" t="s">
        <v>64</v>
      </c>
      <c r="C259" t="s">
        <v>104</v>
      </c>
      <c r="D259" t="s">
        <v>294</v>
      </c>
      <c r="E259" t="s">
        <v>335</v>
      </c>
      <c r="F259" t="s">
        <v>880</v>
      </c>
      <c r="G259" t="s">
        <v>1109</v>
      </c>
      <c r="H259" t="s">
        <v>2642</v>
      </c>
      <c r="I259" t="s">
        <v>3371</v>
      </c>
      <c r="J259" t="s">
        <v>3604</v>
      </c>
      <c r="K259">
        <v>10034</v>
      </c>
      <c r="L259" t="s">
        <v>3610</v>
      </c>
      <c r="M259" t="s">
        <v>3609</v>
      </c>
      <c r="O259" t="s">
        <v>4228</v>
      </c>
      <c r="P259" t="s">
        <v>4245</v>
      </c>
      <c r="Q259" t="s">
        <v>4254</v>
      </c>
      <c r="R259" t="s">
        <v>4258</v>
      </c>
      <c r="S259" t="s">
        <v>3611</v>
      </c>
      <c r="U259" t="s">
        <v>4268</v>
      </c>
      <c r="W259" t="s">
        <v>294</v>
      </c>
      <c r="X259">
        <v>715.64</v>
      </c>
      <c r="Y259" t="s">
        <v>4351</v>
      </c>
      <c r="Z259" t="s">
        <v>4354</v>
      </c>
      <c r="AA259" t="s">
        <v>4385</v>
      </c>
      <c r="AB259" t="s">
        <v>4614</v>
      </c>
      <c r="AD259" t="s">
        <v>6031</v>
      </c>
      <c r="AE259">
        <v>49</v>
      </c>
      <c r="AF259" t="s">
        <v>7101</v>
      </c>
      <c r="AG259" t="s">
        <v>3745</v>
      </c>
      <c r="AH259">
        <v>20</v>
      </c>
      <c r="AI259">
        <v>2</v>
      </c>
      <c r="AJ259">
        <v>0</v>
      </c>
      <c r="AK259">
        <v>49.26</v>
      </c>
      <c r="AN259" t="s">
        <v>7139</v>
      </c>
      <c r="AO259">
        <v>8000</v>
      </c>
      <c r="AU259">
        <v>1.6</v>
      </c>
      <c r="AV259" t="s">
        <v>226</v>
      </c>
      <c r="AW259" t="s">
        <v>7342</v>
      </c>
    </row>
    <row r="260" spans="1:50">
      <c r="A260" s="1">
        <f>HYPERLINK("https://lsnyc.legalserver.org/matter/dynamic-profile/view/1878942","18-1878942")</f>
        <v>0</v>
      </c>
      <c r="B260" t="s">
        <v>64</v>
      </c>
      <c r="C260" t="s">
        <v>105</v>
      </c>
      <c r="D260" t="s">
        <v>282</v>
      </c>
      <c r="F260" t="s">
        <v>815</v>
      </c>
      <c r="G260" t="s">
        <v>1689</v>
      </c>
      <c r="H260" t="s">
        <v>2576</v>
      </c>
      <c r="I260" t="s">
        <v>3350</v>
      </c>
      <c r="J260" t="s">
        <v>3604</v>
      </c>
      <c r="K260">
        <v>10040</v>
      </c>
      <c r="L260" t="s">
        <v>3610</v>
      </c>
      <c r="M260" t="s">
        <v>3610</v>
      </c>
      <c r="O260" t="s">
        <v>4218</v>
      </c>
      <c r="P260" t="s">
        <v>4241</v>
      </c>
      <c r="R260" t="s">
        <v>4258</v>
      </c>
      <c r="S260" t="s">
        <v>3610</v>
      </c>
      <c r="U260" t="s">
        <v>4268</v>
      </c>
      <c r="W260" t="s">
        <v>282</v>
      </c>
      <c r="X260">
        <v>1155</v>
      </c>
      <c r="Y260" t="s">
        <v>4351</v>
      </c>
      <c r="Z260" t="s">
        <v>4352</v>
      </c>
      <c r="AB260" t="s">
        <v>4526</v>
      </c>
      <c r="AC260" t="s">
        <v>5795</v>
      </c>
      <c r="AD260" t="s">
        <v>5954</v>
      </c>
      <c r="AE260">
        <v>88</v>
      </c>
      <c r="AF260" t="s">
        <v>7101</v>
      </c>
      <c r="AG260" t="s">
        <v>3745</v>
      </c>
      <c r="AH260">
        <v>8</v>
      </c>
      <c r="AI260">
        <v>1</v>
      </c>
      <c r="AJ260">
        <v>0</v>
      </c>
      <c r="AK260">
        <v>49.42</v>
      </c>
      <c r="AN260" t="s">
        <v>7138</v>
      </c>
      <c r="AO260">
        <v>6000</v>
      </c>
      <c r="AU260">
        <v>0</v>
      </c>
      <c r="AW260" t="s">
        <v>7342</v>
      </c>
    </row>
    <row r="261" spans="1:50">
      <c r="A261" s="1">
        <f>HYPERLINK("https://lsnyc.legalserver.org/matter/dynamic-profile/view/1867112","18-1867112")</f>
        <v>0</v>
      </c>
      <c r="B261" t="s">
        <v>66</v>
      </c>
      <c r="C261" t="s">
        <v>104</v>
      </c>
      <c r="D261" t="s">
        <v>240</v>
      </c>
      <c r="E261" t="s">
        <v>271</v>
      </c>
      <c r="F261" t="s">
        <v>881</v>
      </c>
      <c r="G261" t="s">
        <v>1759</v>
      </c>
      <c r="H261" t="s">
        <v>2643</v>
      </c>
      <c r="I261">
        <v>52</v>
      </c>
      <c r="J261" t="s">
        <v>3604</v>
      </c>
      <c r="K261">
        <v>10033</v>
      </c>
      <c r="L261" t="s">
        <v>3610</v>
      </c>
      <c r="M261" t="s">
        <v>3609</v>
      </c>
      <c r="O261" t="s">
        <v>4209</v>
      </c>
      <c r="P261" t="s">
        <v>4245</v>
      </c>
      <c r="Q261" t="s">
        <v>4249</v>
      </c>
      <c r="R261" t="s">
        <v>4258</v>
      </c>
      <c r="S261" t="s">
        <v>3611</v>
      </c>
      <c r="U261" t="s">
        <v>4268</v>
      </c>
      <c r="W261" t="s">
        <v>240</v>
      </c>
      <c r="X261">
        <v>663.4299999999999</v>
      </c>
      <c r="Y261" t="s">
        <v>4351</v>
      </c>
      <c r="Z261" t="s">
        <v>4354</v>
      </c>
      <c r="AA261" t="s">
        <v>4373</v>
      </c>
      <c r="AB261" t="s">
        <v>4615</v>
      </c>
      <c r="AD261" t="s">
        <v>6032</v>
      </c>
      <c r="AE261">
        <v>30</v>
      </c>
      <c r="AF261" t="s">
        <v>7101</v>
      </c>
      <c r="AG261" t="s">
        <v>3745</v>
      </c>
      <c r="AH261">
        <v>30</v>
      </c>
      <c r="AI261">
        <v>1</v>
      </c>
      <c r="AJ261">
        <v>2</v>
      </c>
      <c r="AK261">
        <v>49.49</v>
      </c>
      <c r="AN261" t="s">
        <v>7139</v>
      </c>
      <c r="AO261">
        <v>10284</v>
      </c>
      <c r="AU261">
        <v>1.1</v>
      </c>
      <c r="AV261" t="s">
        <v>271</v>
      </c>
      <c r="AW261" t="s">
        <v>7342</v>
      </c>
    </row>
    <row r="262" spans="1:50">
      <c r="A262" s="1">
        <f>HYPERLINK("https://lsnyc.legalserver.org/matter/dynamic-profile/view/1900546","19-1900546")</f>
        <v>0</v>
      </c>
      <c r="B262" t="s">
        <v>74</v>
      </c>
      <c r="C262" t="s">
        <v>105</v>
      </c>
      <c r="D262" t="s">
        <v>196</v>
      </c>
      <c r="F262" t="s">
        <v>882</v>
      </c>
      <c r="G262" t="s">
        <v>1760</v>
      </c>
      <c r="H262" t="s">
        <v>2644</v>
      </c>
      <c r="J262" t="s">
        <v>3606</v>
      </c>
      <c r="K262">
        <v>11229</v>
      </c>
      <c r="L262" t="s">
        <v>3610</v>
      </c>
      <c r="M262" t="s">
        <v>3609</v>
      </c>
      <c r="O262" t="s">
        <v>4211</v>
      </c>
      <c r="P262" t="s">
        <v>4245</v>
      </c>
      <c r="R262" t="s">
        <v>4258</v>
      </c>
      <c r="S262" t="s">
        <v>3611</v>
      </c>
      <c r="U262" t="s">
        <v>4268</v>
      </c>
      <c r="W262" t="s">
        <v>196</v>
      </c>
      <c r="X262">
        <v>0</v>
      </c>
      <c r="Y262" t="s">
        <v>4351</v>
      </c>
      <c r="Z262" t="s">
        <v>4352</v>
      </c>
      <c r="AB262" t="s">
        <v>4616</v>
      </c>
      <c r="AE262">
        <v>0</v>
      </c>
      <c r="AF262" t="s">
        <v>7105</v>
      </c>
      <c r="AG262" t="s">
        <v>3745</v>
      </c>
      <c r="AH262">
        <v>0</v>
      </c>
      <c r="AI262">
        <v>2</v>
      </c>
      <c r="AJ262">
        <v>0</v>
      </c>
      <c r="AK262">
        <v>49.67</v>
      </c>
      <c r="AN262" t="s">
        <v>7144</v>
      </c>
      <c r="AO262">
        <v>8400</v>
      </c>
      <c r="AU262">
        <v>0</v>
      </c>
      <c r="AW262" t="s">
        <v>7344</v>
      </c>
      <c r="AX262" t="s">
        <v>7377</v>
      </c>
    </row>
    <row r="263" spans="1:50">
      <c r="A263" s="1">
        <f>HYPERLINK("https://lsnyc.legalserver.org/matter/dynamic-profile/view/1850116","17-1850116")</f>
        <v>0</v>
      </c>
      <c r="B263" t="s">
        <v>55</v>
      </c>
      <c r="C263" t="s">
        <v>104</v>
      </c>
      <c r="D263" t="s">
        <v>295</v>
      </c>
      <c r="E263" t="s">
        <v>656</v>
      </c>
      <c r="F263" t="s">
        <v>719</v>
      </c>
      <c r="G263" t="s">
        <v>1761</v>
      </c>
      <c r="H263" t="s">
        <v>2645</v>
      </c>
      <c r="I263" t="s">
        <v>3314</v>
      </c>
      <c r="J263" t="s">
        <v>3604</v>
      </c>
      <c r="K263">
        <v>10029</v>
      </c>
      <c r="L263" t="s">
        <v>3610</v>
      </c>
      <c r="M263" t="s">
        <v>3610</v>
      </c>
      <c r="O263" t="s">
        <v>4211</v>
      </c>
      <c r="P263" t="s">
        <v>4245</v>
      </c>
      <c r="Q263" t="s">
        <v>4250</v>
      </c>
      <c r="R263" t="s">
        <v>4258</v>
      </c>
      <c r="S263" t="s">
        <v>3611</v>
      </c>
      <c r="U263" t="s">
        <v>4268</v>
      </c>
      <c r="V263" t="s">
        <v>4274</v>
      </c>
      <c r="W263" t="s">
        <v>391</v>
      </c>
      <c r="X263">
        <v>567</v>
      </c>
      <c r="Y263" t="s">
        <v>4351</v>
      </c>
      <c r="Z263" t="s">
        <v>4228</v>
      </c>
      <c r="AA263" t="s">
        <v>4373</v>
      </c>
      <c r="AB263" t="s">
        <v>4617</v>
      </c>
      <c r="AE263">
        <v>11</v>
      </c>
      <c r="AF263" t="s">
        <v>7101</v>
      </c>
      <c r="AG263" t="s">
        <v>7118</v>
      </c>
      <c r="AH263">
        <v>18</v>
      </c>
      <c r="AI263">
        <v>1</v>
      </c>
      <c r="AJ263">
        <v>0</v>
      </c>
      <c r="AK263">
        <v>49.75</v>
      </c>
      <c r="AN263" t="s">
        <v>7138</v>
      </c>
      <c r="AO263">
        <v>6000</v>
      </c>
      <c r="AP263" t="s">
        <v>7158</v>
      </c>
      <c r="AU263">
        <v>0.8</v>
      </c>
      <c r="AV263" t="s">
        <v>578</v>
      </c>
      <c r="AW263" t="s">
        <v>7361</v>
      </c>
    </row>
    <row r="264" spans="1:50">
      <c r="A264" s="1">
        <f>HYPERLINK("https://lsnyc.legalserver.org/matter/dynamic-profile/view/1848068","17-1848068")</f>
        <v>0</v>
      </c>
      <c r="B264" t="s">
        <v>56</v>
      </c>
      <c r="C264" t="s">
        <v>104</v>
      </c>
      <c r="D264" t="s">
        <v>296</v>
      </c>
      <c r="E264" t="s">
        <v>659</v>
      </c>
      <c r="F264" t="s">
        <v>883</v>
      </c>
      <c r="G264" t="s">
        <v>1762</v>
      </c>
      <c r="H264" t="s">
        <v>2646</v>
      </c>
      <c r="I264">
        <v>41</v>
      </c>
      <c r="J264" t="s">
        <v>3604</v>
      </c>
      <c r="K264">
        <v>10027</v>
      </c>
      <c r="L264" t="s">
        <v>3610</v>
      </c>
      <c r="M264" t="s">
        <v>3609</v>
      </c>
      <c r="P264" t="s">
        <v>4242</v>
      </c>
      <c r="Q264" t="s">
        <v>4250</v>
      </c>
      <c r="R264" t="s">
        <v>4257</v>
      </c>
      <c r="S264" t="s">
        <v>3611</v>
      </c>
      <c r="U264" t="s">
        <v>4268</v>
      </c>
      <c r="X264">
        <v>1955.29</v>
      </c>
      <c r="Y264" t="s">
        <v>4351</v>
      </c>
      <c r="Z264" t="s">
        <v>4355</v>
      </c>
      <c r="AA264" t="s">
        <v>4373</v>
      </c>
      <c r="AB264" t="s">
        <v>4618</v>
      </c>
      <c r="AE264">
        <v>61</v>
      </c>
      <c r="AF264" t="s">
        <v>7101</v>
      </c>
      <c r="AH264">
        <v>3</v>
      </c>
      <c r="AI264">
        <v>1</v>
      </c>
      <c r="AJ264">
        <v>0</v>
      </c>
      <c r="AK264">
        <v>49.75</v>
      </c>
      <c r="AL264" t="s">
        <v>369</v>
      </c>
      <c r="AN264" t="s">
        <v>7139</v>
      </c>
      <c r="AO264">
        <v>6000</v>
      </c>
      <c r="AU264">
        <v>0.25</v>
      </c>
      <c r="AV264" t="s">
        <v>659</v>
      </c>
      <c r="AW264" t="s">
        <v>102</v>
      </c>
    </row>
    <row r="265" spans="1:50">
      <c r="A265" s="1">
        <f>HYPERLINK("https://lsnyc.legalserver.org/matter/dynamic-profile/view/1840383","17-1840383")</f>
        <v>0</v>
      </c>
      <c r="B265" t="s">
        <v>63</v>
      </c>
      <c r="C265" t="s">
        <v>104</v>
      </c>
      <c r="D265" t="s">
        <v>297</v>
      </c>
      <c r="E265" t="s">
        <v>561</v>
      </c>
      <c r="F265" t="s">
        <v>884</v>
      </c>
      <c r="G265" t="s">
        <v>1763</v>
      </c>
      <c r="H265" t="s">
        <v>2647</v>
      </c>
      <c r="I265">
        <v>44</v>
      </c>
      <c r="J265" t="s">
        <v>3604</v>
      </c>
      <c r="K265">
        <v>10033</v>
      </c>
      <c r="L265" t="s">
        <v>3610</v>
      </c>
      <c r="M265" t="s">
        <v>3609</v>
      </c>
      <c r="O265" t="s">
        <v>4225</v>
      </c>
      <c r="P265" t="s">
        <v>4241</v>
      </c>
      <c r="Q265" t="s">
        <v>4248</v>
      </c>
      <c r="R265" t="s">
        <v>4258</v>
      </c>
      <c r="S265" t="s">
        <v>3610</v>
      </c>
      <c r="U265" t="s">
        <v>4268</v>
      </c>
      <c r="W265" t="s">
        <v>133</v>
      </c>
      <c r="X265">
        <v>828</v>
      </c>
      <c r="Y265" t="s">
        <v>4351</v>
      </c>
      <c r="Z265" t="s">
        <v>4354</v>
      </c>
      <c r="AA265" t="s">
        <v>4378</v>
      </c>
      <c r="AB265" t="s">
        <v>4619</v>
      </c>
      <c r="AD265" t="s">
        <v>6033</v>
      </c>
      <c r="AE265">
        <v>33</v>
      </c>
      <c r="AF265" t="s">
        <v>7101</v>
      </c>
      <c r="AG265" t="s">
        <v>7118</v>
      </c>
      <c r="AH265">
        <v>30</v>
      </c>
      <c r="AI265">
        <v>1</v>
      </c>
      <c r="AJ265">
        <v>1</v>
      </c>
      <c r="AK265">
        <v>49.88</v>
      </c>
      <c r="AL265" t="s">
        <v>7124</v>
      </c>
      <c r="AN265" t="s">
        <v>7139</v>
      </c>
      <c r="AO265">
        <v>8100</v>
      </c>
      <c r="AU265">
        <v>22.93</v>
      </c>
      <c r="AV265" t="s">
        <v>7290</v>
      </c>
      <c r="AW265" t="s">
        <v>7342</v>
      </c>
    </row>
    <row r="266" spans="1:50">
      <c r="A266" s="1">
        <f>HYPERLINK("https://lsnyc.legalserver.org/matter/dynamic-profile/view/1874172","18-1874172")</f>
        <v>0</v>
      </c>
      <c r="B266" t="s">
        <v>62</v>
      </c>
      <c r="C266" t="s">
        <v>104</v>
      </c>
      <c r="D266" t="s">
        <v>173</v>
      </c>
      <c r="E266" t="s">
        <v>263</v>
      </c>
      <c r="F266" t="s">
        <v>733</v>
      </c>
      <c r="G266" t="s">
        <v>1764</v>
      </c>
      <c r="H266" t="s">
        <v>2648</v>
      </c>
      <c r="I266" t="s">
        <v>3293</v>
      </c>
      <c r="J266" t="s">
        <v>3604</v>
      </c>
      <c r="K266">
        <v>10034</v>
      </c>
      <c r="L266" t="s">
        <v>3610</v>
      </c>
      <c r="M266" t="s">
        <v>3610</v>
      </c>
      <c r="O266" t="s">
        <v>4209</v>
      </c>
      <c r="P266" t="s">
        <v>4242</v>
      </c>
      <c r="Q266" t="s">
        <v>4250</v>
      </c>
      <c r="R266" t="s">
        <v>4258</v>
      </c>
      <c r="S266" t="s">
        <v>3611</v>
      </c>
      <c r="U266" t="s">
        <v>4268</v>
      </c>
      <c r="W266" t="s">
        <v>173</v>
      </c>
      <c r="X266">
        <v>828.3099999999999</v>
      </c>
      <c r="Y266" t="s">
        <v>4351</v>
      </c>
      <c r="Z266" t="s">
        <v>4354</v>
      </c>
      <c r="AA266" t="s">
        <v>4373</v>
      </c>
      <c r="AB266" t="s">
        <v>4620</v>
      </c>
      <c r="AD266" t="s">
        <v>6034</v>
      </c>
      <c r="AE266">
        <v>40</v>
      </c>
      <c r="AF266" t="s">
        <v>7101</v>
      </c>
      <c r="AG266" t="s">
        <v>7118</v>
      </c>
      <c r="AH266">
        <v>44</v>
      </c>
      <c r="AI266">
        <v>1</v>
      </c>
      <c r="AJ266">
        <v>0</v>
      </c>
      <c r="AK266">
        <v>50.33</v>
      </c>
      <c r="AN266" t="s">
        <v>7138</v>
      </c>
      <c r="AO266">
        <v>6110.4</v>
      </c>
      <c r="AU266">
        <v>0.1</v>
      </c>
      <c r="AV266" t="s">
        <v>142</v>
      </c>
      <c r="AW266" t="s">
        <v>7342</v>
      </c>
    </row>
    <row r="267" spans="1:50">
      <c r="A267" s="1">
        <f>HYPERLINK("https://lsnyc.legalserver.org/matter/dynamic-profile/view/1879757","18-1879757")</f>
        <v>0</v>
      </c>
      <c r="B267" t="s">
        <v>53</v>
      </c>
      <c r="C267" t="s">
        <v>105</v>
      </c>
      <c r="D267" t="s">
        <v>298</v>
      </c>
      <c r="F267" t="s">
        <v>885</v>
      </c>
      <c r="G267" t="s">
        <v>1765</v>
      </c>
      <c r="H267" t="s">
        <v>2649</v>
      </c>
      <c r="I267">
        <v>805</v>
      </c>
      <c r="J267" t="s">
        <v>3604</v>
      </c>
      <c r="K267">
        <v>10029</v>
      </c>
      <c r="L267" t="s">
        <v>3610</v>
      </c>
      <c r="M267" t="s">
        <v>3610</v>
      </c>
      <c r="N267" t="s">
        <v>3723</v>
      </c>
      <c r="O267" t="s">
        <v>4210</v>
      </c>
      <c r="P267" t="s">
        <v>4241</v>
      </c>
      <c r="R267" t="s">
        <v>4258</v>
      </c>
      <c r="S267" t="s">
        <v>3611</v>
      </c>
      <c r="U267" t="s">
        <v>4268</v>
      </c>
      <c r="V267" t="s">
        <v>4274</v>
      </c>
      <c r="W267" t="s">
        <v>293</v>
      </c>
      <c r="X267">
        <v>1600</v>
      </c>
      <c r="Y267" t="s">
        <v>4351</v>
      </c>
      <c r="Z267" t="s">
        <v>4360</v>
      </c>
      <c r="AB267" t="s">
        <v>4621</v>
      </c>
      <c r="AD267" t="s">
        <v>6035</v>
      </c>
      <c r="AE267">
        <v>259</v>
      </c>
      <c r="AF267" t="s">
        <v>7101</v>
      </c>
      <c r="AG267" t="s">
        <v>7116</v>
      </c>
      <c r="AH267">
        <v>5</v>
      </c>
      <c r="AI267">
        <v>2</v>
      </c>
      <c r="AJ267">
        <v>0</v>
      </c>
      <c r="AK267">
        <v>50.35</v>
      </c>
      <c r="AN267" t="s">
        <v>7138</v>
      </c>
      <c r="AO267">
        <v>8288</v>
      </c>
      <c r="AP267" t="s">
        <v>7164</v>
      </c>
      <c r="AU267">
        <v>34.28</v>
      </c>
      <c r="AV267" t="s">
        <v>143</v>
      </c>
      <c r="AW267" t="s">
        <v>7366</v>
      </c>
      <c r="AX267" t="s">
        <v>7377</v>
      </c>
    </row>
    <row r="268" spans="1:50">
      <c r="A268" s="1">
        <f>HYPERLINK("https://lsnyc.legalserver.org/matter/dynamic-profile/view/1890030","19-1890030")</f>
        <v>0</v>
      </c>
      <c r="B268" t="s">
        <v>63</v>
      </c>
      <c r="C268" t="s">
        <v>104</v>
      </c>
      <c r="D268" t="s">
        <v>299</v>
      </c>
      <c r="E268" t="s">
        <v>396</v>
      </c>
      <c r="F268" t="s">
        <v>886</v>
      </c>
      <c r="G268" t="s">
        <v>1766</v>
      </c>
      <c r="H268" t="s">
        <v>2650</v>
      </c>
      <c r="I268" t="s">
        <v>3316</v>
      </c>
      <c r="J268" t="s">
        <v>3604</v>
      </c>
      <c r="K268">
        <v>10040</v>
      </c>
      <c r="L268" t="s">
        <v>3610</v>
      </c>
      <c r="M268" t="s">
        <v>3610</v>
      </c>
      <c r="P268" t="s">
        <v>4242</v>
      </c>
      <c r="Q268" t="s">
        <v>4250</v>
      </c>
      <c r="R268" t="s">
        <v>4258</v>
      </c>
      <c r="S268" t="s">
        <v>3611</v>
      </c>
      <c r="U268" t="s">
        <v>4268</v>
      </c>
      <c r="W268" t="s">
        <v>299</v>
      </c>
      <c r="X268">
        <v>714</v>
      </c>
      <c r="Y268" t="s">
        <v>4351</v>
      </c>
      <c r="Z268" t="s">
        <v>4354</v>
      </c>
      <c r="AA268" t="s">
        <v>4373</v>
      </c>
      <c r="AB268" t="s">
        <v>4622</v>
      </c>
      <c r="AD268" t="s">
        <v>6036</v>
      </c>
      <c r="AE268">
        <v>68</v>
      </c>
      <c r="AF268" t="s">
        <v>7101</v>
      </c>
      <c r="AG268" t="s">
        <v>7118</v>
      </c>
      <c r="AH268">
        <v>23</v>
      </c>
      <c r="AI268">
        <v>2</v>
      </c>
      <c r="AJ268">
        <v>0</v>
      </c>
      <c r="AK268">
        <v>51.09</v>
      </c>
      <c r="AN268" t="s">
        <v>7138</v>
      </c>
      <c r="AO268">
        <v>8640</v>
      </c>
      <c r="AU268">
        <v>0.2</v>
      </c>
      <c r="AV268" t="s">
        <v>438</v>
      </c>
      <c r="AW268" t="s">
        <v>7342</v>
      </c>
      <c r="AX268" t="s">
        <v>7377</v>
      </c>
    </row>
    <row r="269" spans="1:50">
      <c r="A269" s="1">
        <f>HYPERLINK("https://lsnyc.legalserver.org/matter/dynamic-profile/view/0828029","17-0828029")</f>
        <v>0</v>
      </c>
      <c r="B269" t="s">
        <v>64</v>
      </c>
      <c r="C269" t="s">
        <v>105</v>
      </c>
      <c r="D269" t="s">
        <v>300</v>
      </c>
      <c r="F269" t="s">
        <v>727</v>
      </c>
      <c r="G269" t="s">
        <v>1676</v>
      </c>
      <c r="H269" t="s">
        <v>2651</v>
      </c>
      <c r="I269">
        <v>53</v>
      </c>
      <c r="J269" t="s">
        <v>3604</v>
      </c>
      <c r="K269">
        <v>10034</v>
      </c>
      <c r="L269" t="s">
        <v>3611</v>
      </c>
      <c r="M269" t="s">
        <v>3609</v>
      </c>
      <c r="O269" t="s">
        <v>4211</v>
      </c>
      <c r="P269" t="s">
        <v>4241</v>
      </c>
      <c r="R269" t="s">
        <v>4258</v>
      </c>
      <c r="S269" t="s">
        <v>3610</v>
      </c>
      <c r="U269" t="s">
        <v>4268</v>
      </c>
      <c r="W269" t="s">
        <v>436</v>
      </c>
      <c r="X269">
        <v>816.66</v>
      </c>
      <c r="Y269" t="s">
        <v>4351</v>
      </c>
      <c r="Z269" t="s">
        <v>4352</v>
      </c>
      <c r="AB269" t="s">
        <v>4623</v>
      </c>
      <c r="AD269" t="s">
        <v>6037</v>
      </c>
      <c r="AE269">
        <v>25</v>
      </c>
      <c r="AF269" t="s">
        <v>7101</v>
      </c>
      <c r="AG269" t="s">
        <v>3745</v>
      </c>
      <c r="AH269">
        <v>34</v>
      </c>
      <c r="AI269">
        <v>1</v>
      </c>
      <c r="AJ269">
        <v>0</v>
      </c>
      <c r="AK269">
        <v>51.24</v>
      </c>
      <c r="AN269" t="s">
        <v>7139</v>
      </c>
      <c r="AO269">
        <v>6180</v>
      </c>
      <c r="AU269">
        <v>0.7</v>
      </c>
      <c r="AV269" t="s">
        <v>226</v>
      </c>
      <c r="AW269" t="s">
        <v>7341</v>
      </c>
    </row>
    <row r="270" spans="1:50">
      <c r="A270" s="1">
        <f>HYPERLINK("https://lsnyc.legalserver.org/matter/dynamic-profile/view/1852216","17-1852216")</f>
        <v>0</v>
      </c>
      <c r="B270" t="s">
        <v>53</v>
      </c>
      <c r="C270" t="s">
        <v>104</v>
      </c>
      <c r="D270" t="s">
        <v>301</v>
      </c>
      <c r="E270" t="s">
        <v>335</v>
      </c>
      <c r="F270" t="s">
        <v>887</v>
      </c>
      <c r="G270" t="s">
        <v>1767</v>
      </c>
      <c r="H270" t="s">
        <v>2652</v>
      </c>
      <c r="I270" t="s">
        <v>3372</v>
      </c>
      <c r="J270" t="s">
        <v>3604</v>
      </c>
      <c r="K270">
        <v>10034</v>
      </c>
      <c r="L270" t="s">
        <v>3610</v>
      </c>
      <c r="M270" t="s">
        <v>3610</v>
      </c>
      <c r="N270" t="s">
        <v>3724</v>
      </c>
      <c r="O270" t="s">
        <v>4213</v>
      </c>
      <c r="P270" t="s">
        <v>4241</v>
      </c>
      <c r="Q270" t="s">
        <v>4248</v>
      </c>
      <c r="R270" t="s">
        <v>4258</v>
      </c>
      <c r="S270" t="s">
        <v>3611</v>
      </c>
      <c r="U270" t="s">
        <v>4268</v>
      </c>
      <c r="V270" t="s">
        <v>4274</v>
      </c>
      <c r="W270" t="s">
        <v>301</v>
      </c>
      <c r="X270">
        <v>1429.05</v>
      </c>
      <c r="Y270" t="s">
        <v>4351</v>
      </c>
      <c r="Z270" t="s">
        <v>4357</v>
      </c>
      <c r="AA270" t="s">
        <v>4379</v>
      </c>
      <c r="AB270" t="s">
        <v>4624</v>
      </c>
      <c r="AD270" t="s">
        <v>6038</v>
      </c>
      <c r="AE270">
        <v>26</v>
      </c>
      <c r="AF270" t="s">
        <v>7101</v>
      </c>
      <c r="AG270" t="s">
        <v>3745</v>
      </c>
      <c r="AH270">
        <v>17</v>
      </c>
      <c r="AI270">
        <v>2</v>
      </c>
      <c r="AJ270">
        <v>1</v>
      </c>
      <c r="AK270">
        <v>51.6</v>
      </c>
      <c r="AN270" t="s">
        <v>7139</v>
      </c>
      <c r="AO270">
        <v>10536</v>
      </c>
      <c r="AU270">
        <v>4.15</v>
      </c>
      <c r="AV270" t="s">
        <v>553</v>
      </c>
      <c r="AW270" t="s">
        <v>7342</v>
      </c>
    </row>
    <row r="271" spans="1:50">
      <c r="A271" s="1">
        <f>HYPERLINK("https://lsnyc.legalserver.org/matter/dynamic-profile/view/1838617","17-1838617")</f>
        <v>0</v>
      </c>
      <c r="B271" t="s">
        <v>53</v>
      </c>
      <c r="C271" t="s">
        <v>104</v>
      </c>
      <c r="D271" t="s">
        <v>189</v>
      </c>
      <c r="E271" t="s">
        <v>335</v>
      </c>
      <c r="F271" t="s">
        <v>887</v>
      </c>
      <c r="G271" t="s">
        <v>1767</v>
      </c>
      <c r="H271" t="s">
        <v>2652</v>
      </c>
      <c r="I271" t="s">
        <v>3372</v>
      </c>
      <c r="J271" t="s">
        <v>3604</v>
      </c>
      <c r="K271">
        <v>10034</v>
      </c>
      <c r="L271" t="s">
        <v>3610</v>
      </c>
      <c r="M271" t="s">
        <v>3610</v>
      </c>
      <c r="O271" t="s">
        <v>4211</v>
      </c>
      <c r="P271" t="s">
        <v>4244</v>
      </c>
      <c r="Q271" t="s">
        <v>4249</v>
      </c>
      <c r="R271" t="s">
        <v>4258</v>
      </c>
      <c r="S271" t="s">
        <v>3611</v>
      </c>
      <c r="U271" t="s">
        <v>4268</v>
      </c>
      <c r="V271" t="s">
        <v>4274</v>
      </c>
      <c r="W271" t="s">
        <v>189</v>
      </c>
      <c r="X271">
        <v>1429.05</v>
      </c>
      <c r="Y271" t="s">
        <v>4351</v>
      </c>
      <c r="Z271" t="s">
        <v>4354</v>
      </c>
      <c r="AA271" t="s">
        <v>4373</v>
      </c>
      <c r="AB271" t="s">
        <v>4624</v>
      </c>
      <c r="AD271" t="s">
        <v>6038</v>
      </c>
      <c r="AE271">
        <v>26</v>
      </c>
      <c r="AF271" t="s">
        <v>7101</v>
      </c>
      <c r="AG271" t="s">
        <v>3745</v>
      </c>
      <c r="AH271">
        <v>17</v>
      </c>
      <c r="AI271">
        <v>2</v>
      </c>
      <c r="AJ271">
        <v>1</v>
      </c>
      <c r="AK271">
        <v>51.6</v>
      </c>
      <c r="AN271" t="s">
        <v>7139</v>
      </c>
      <c r="AO271">
        <v>10536</v>
      </c>
      <c r="AU271">
        <v>12.6</v>
      </c>
      <c r="AV271" t="s">
        <v>211</v>
      </c>
      <c r="AW271" t="s">
        <v>7341</v>
      </c>
    </row>
    <row r="272" spans="1:50">
      <c r="A272" s="1">
        <f>HYPERLINK("https://lsnyc.legalserver.org/matter/dynamic-profile/view/1860642","18-1860642")</f>
        <v>0</v>
      </c>
      <c r="B272" t="s">
        <v>53</v>
      </c>
      <c r="C272" t="s">
        <v>105</v>
      </c>
      <c r="D272" t="s">
        <v>257</v>
      </c>
      <c r="F272" t="s">
        <v>888</v>
      </c>
      <c r="G272" t="s">
        <v>1669</v>
      </c>
      <c r="H272" t="s">
        <v>2565</v>
      </c>
      <c r="I272" t="s">
        <v>3344</v>
      </c>
      <c r="J272" t="s">
        <v>3604</v>
      </c>
      <c r="K272">
        <v>10031</v>
      </c>
      <c r="L272" t="s">
        <v>3610</v>
      </c>
      <c r="M272" t="s">
        <v>3609</v>
      </c>
      <c r="O272" t="s">
        <v>4213</v>
      </c>
      <c r="P272" t="s">
        <v>4245</v>
      </c>
      <c r="R272" t="s">
        <v>4258</v>
      </c>
      <c r="S272" t="s">
        <v>3610</v>
      </c>
      <c r="U272" t="s">
        <v>4268</v>
      </c>
      <c r="V272" t="s">
        <v>4274</v>
      </c>
      <c r="W272" t="s">
        <v>126</v>
      </c>
      <c r="X272">
        <v>2697</v>
      </c>
      <c r="Y272" t="s">
        <v>4351</v>
      </c>
      <c r="Z272" t="s">
        <v>4352</v>
      </c>
      <c r="AB272" t="s">
        <v>4625</v>
      </c>
      <c r="AD272" t="s">
        <v>6039</v>
      </c>
      <c r="AE272">
        <v>44</v>
      </c>
      <c r="AF272" t="s">
        <v>7106</v>
      </c>
      <c r="AG272" t="s">
        <v>7116</v>
      </c>
      <c r="AH272">
        <v>13</v>
      </c>
      <c r="AI272">
        <v>1</v>
      </c>
      <c r="AJ272">
        <v>1</v>
      </c>
      <c r="AK272">
        <v>52.13</v>
      </c>
      <c r="AN272" t="s">
        <v>7138</v>
      </c>
      <c r="AO272">
        <v>8580</v>
      </c>
      <c r="AU272">
        <v>1.5</v>
      </c>
      <c r="AV272" t="s">
        <v>7304</v>
      </c>
      <c r="AW272" t="s">
        <v>7341</v>
      </c>
    </row>
    <row r="273" spans="1:50">
      <c r="A273" s="1">
        <f>HYPERLINK("https://lsnyc.legalserver.org/matter/dynamic-profile/view/1864750","18-1864750")</f>
        <v>0</v>
      </c>
      <c r="B273" t="s">
        <v>53</v>
      </c>
      <c r="C273" t="s">
        <v>105</v>
      </c>
      <c r="D273" t="s">
        <v>151</v>
      </c>
      <c r="F273" t="s">
        <v>889</v>
      </c>
      <c r="G273" t="s">
        <v>1768</v>
      </c>
      <c r="H273" t="s">
        <v>2508</v>
      </c>
      <c r="I273">
        <v>602</v>
      </c>
      <c r="J273" t="s">
        <v>3604</v>
      </c>
      <c r="K273">
        <v>10029</v>
      </c>
      <c r="L273" t="s">
        <v>3610</v>
      </c>
      <c r="M273" t="s">
        <v>3610</v>
      </c>
      <c r="N273" t="s">
        <v>3642</v>
      </c>
      <c r="O273" t="s">
        <v>4213</v>
      </c>
      <c r="P273" t="s">
        <v>4241</v>
      </c>
      <c r="R273" t="s">
        <v>4258</v>
      </c>
      <c r="S273" t="s">
        <v>3610</v>
      </c>
      <c r="U273" t="s">
        <v>4268</v>
      </c>
      <c r="V273" t="s">
        <v>4274</v>
      </c>
      <c r="W273" t="s">
        <v>151</v>
      </c>
      <c r="X273">
        <v>0</v>
      </c>
      <c r="Y273" t="s">
        <v>4351</v>
      </c>
      <c r="Z273" t="s">
        <v>4352</v>
      </c>
      <c r="AB273" t="s">
        <v>4626</v>
      </c>
      <c r="AD273" t="s">
        <v>6040</v>
      </c>
      <c r="AE273">
        <v>108</v>
      </c>
      <c r="AF273" t="s">
        <v>7106</v>
      </c>
      <c r="AG273" t="s">
        <v>7116</v>
      </c>
      <c r="AH273">
        <v>4</v>
      </c>
      <c r="AI273">
        <v>2</v>
      </c>
      <c r="AJ273">
        <v>1</v>
      </c>
      <c r="AK273">
        <v>52.15</v>
      </c>
      <c r="AN273" t="s">
        <v>7139</v>
      </c>
      <c r="AO273">
        <v>10836</v>
      </c>
      <c r="AU273">
        <v>0.25</v>
      </c>
      <c r="AV273" t="s">
        <v>688</v>
      </c>
      <c r="AW273" t="s">
        <v>7341</v>
      </c>
    </row>
    <row r="274" spans="1:50">
      <c r="A274" s="1">
        <f>HYPERLINK("https://lsnyc.legalserver.org/matter/dynamic-profile/view/1877623","18-1877623")</f>
        <v>0</v>
      </c>
      <c r="B274" t="s">
        <v>70</v>
      </c>
      <c r="C274" t="s">
        <v>104</v>
      </c>
      <c r="D274" t="s">
        <v>167</v>
      </c>
      <c r="E274" t="s">
        <v>319</v>
      </c>
      <c r="F274" t="s">
        <v>890</v>
      </c>
      <c r="G274" t="s">
        <v>1769</v>
      </c>
      <c r="H274" t="s">
        <v>2653</v>
      </c>
      <c r="I274" t="s">
        <v>3359</v>
      </c>
      <c r="J274" t="s">
        <v>3604</v>
      </c>
      <c r="K274">
        <v>10029</v>
      </c>
      <c r="L274" t="s">
        <v>3610</v>
      </c>
      <c r="M274" t="s">
        <v>3610</v>
      </c>
      <c r="N274" t="s">
        <v>3725</v>
      </c>
      <c r="O274" t="s">
        <v>4209</v>
      </c>
      <c r="P274" t="s">
        <v>4241</v>
      </c>
      <c r="Q274" t="s">
        <v>4248</v>
      </c>
      <c r="R274" t="s">
        <v>4258</v>
      </c>
      <c r="S274" t="s">
        <v>3611</v>
      </c>
      <c r="U274" t="s">
        <v>4268</v>
      </c>
      <c r="V274" t="s">
        <v>4274</v>
      </c>
      <c r="W274" t="s">
        <v>4293</v>
      </c>
      <c r="X274">
        <v>1925</v>
      </c>
      <c r="Y274" t="s">
        <v>4351</v>
      </c>
      <c r="Z274" t="s">
        <v>4354</v>
      </c>
      <c r="AA274" t="s">
        <v>4387</v>
      </c>
      <c r="AB274" t="s">
        <v>4627</v>
      </c>
      <c r="AD274" t="s">
        <v>6041</v>
      </c>
      <c r="AE274">
        <v>38</v>
      </c>
      <c r="AF274" t="s">
        <v>7106</v>
      </c>
      <c r="AG274" t="s">
        <v>7116</v>
      </c>
      <c r="AH274">
        <v>14</v>
      </c>
      <c r="AI274">
        <v>2</v>
      </c>
      <c r="AJ274">
        <v>2</v>
      </c>
      <c r="AK274">
        <v>52.4</v>
      </c>
      <c r="AN274" t="s">
        <v>7139</v>
      </c>
      <c r="AO274">
        <v>13152</v>
      </c>
      <c r="AR274" t="s">
        <v>7213</v>
      </c>
      <c r="AS274" t="s">
        <v>7231</v>
      </c>
      <c r="AT274" t="s">
        <v>7247</v>
      </c>
      <c r="AU274">
        <v>25.14</v>
      </c>
      <c r="AV274" t="s">
        <v>688</v>
      </c>
      <c r="AW274" t="s">
        <v>7365</v>
      </c>
      <c r="AX274" t="s">
        <v>7377</v>
      </c>
    </row>
    <row r="275" spans="1:50">
      <c r="A275" s="1">
        <f>HYPERLINK("https://lsnyc.legalserver.org/matter/dynamic-profile/view/1880762","18-1880762")</f>
        <v>0</v>
      </c>
      <c r="B275" t="s">
        <v>56</v>
      </c>
      <c r="C275" t="s">
        <v>104</v>
      </c>
      <c r="D275" t="s">
        <v>293</v>
      </c>
      <c r="E275" t="s">
        <v>669</v>
      </c>
      <c r="F275" t="s">
        <v>891</v>
      </c>
      <c r="G275" t="s">
        <v>1770</v>
      </c>
      <c r="H275" t="s">
        <v>2654</v>
      </c>
      <c r="I275" t="s">
        <v>3325</v>
      </c>
      <c r="J275" t="s">
        <v>3604</v>
      </c>
      <c r="K275">
        <v>10034</v>
      </c>
      <c r="L275" t="s">
        <v>3610</v>
      </c>
      <c r="M275" t="s">
        <v>3610</v>
      </c>
      <c r="N275" t="s">
        <v>3726</v>
      </c>
      <c r="O275" t="s">
        <v>4209</v>
      </c>
      <c r="P275" t="s">
        <v>4245</v>
      </c>
      <c r="Q275" t="s">
        <v>4249</v>
      </c>
      <c r="R275" t="s">
        <v>4258</v>
      </c>
      <c r="S275" t="s">
        <v>3611</v>
      </c>
      <c r="U275" t="s">
        <v>4268</v>
      </c>
      <c r="V275" t="s">
        <v>4274</v>
      </c>
      <c r="W275" t="s">
        <v>293</v>
      </c>
      <c r="X275">
        <v>1060</v>
      </c>
      <c r="Y275" t="s">
        <v>4351</v>
      </c>
      <c r="Z275" t="s">
        <v>4353</v>
      </c>
      <c r="AA275" t="s">
        <v>4373</v>
      </c>
      <c r="AB275" t="s">
        <v>4628</v>
      </c>
      <c r="AD275" t="s">
        <v>6042</v>
      </c>
      <c r="AE275">
        <v>26</v>
      </c>
      <c r="AF275" t="s">
        <v>7101</v>
      </c>
      <c r="AG275" t="s">
        <v>7118</v>
      </c>
      <c r="AH275">
        <v>7</v>
      </c>
      <c r="AI275">
        <v>1</v>
      </c>
      <c r="AJ275">
        <v>0</v>
      </c>
      <c r="AK275">
        <v>52.44</v>
      </c>
      <c r="AN275" t="s">
        <v>7138</v>
      </c>
      <c r="AO275">
        <v>6366</v>
      </c>
      <c r="AU275">
        <v>1.7</v>
      </c>
      <c r="AV275" t="s">
        <v>669</v>
      </c>
      <c r="AW275" t="s">
        <v>7344</v>
      </c>
    </row>
    <row r="276" spans="1:50">
      <c r="A276" s="1">
        <f>HYPERLINK("https://lsnyc.legalserver.org/matter/dynamic-profile/view/1890705","19-1890705")</f>
        <v>0</v>
      </c>
      <c r="B276" t="s">
        <v>64</v>
      </c>
      <c r="C276" t="s">
        <v>104</v>
      </c>
      <c r="D276" t="s">
        <v>214</v>
      </c>
      <c r="E276" t="s">
        <v>190</v>
      </c>
      <c r="F276" t="s">
        <v>892</v>
      </c>
      <c r="G276" t="s">
        <v>1771</v>
      </c>
      <c r="H276" t="s">
        <v>2655</v>
      </c>
      <c r="I276">
        <v>53</v>
      </c>
      <c r="J276" t="s">
        <v>3604</v>
      </c>
      <c r="K276">
        <v>10034</v>
      </c>
      <c r="L276" t="s">
        <v>3610</v>
      </c>
      <c r="M276" t="s">
        <v>3610</v>
      </c>
      <c r="P276" t="s">
        <v>4242</v>
      </c>
      <c r="Q276" t="s">
        <v>4250</v>
      </c>
      <c r="R276" t="s">
        <v>4258</v>
      </c>
      <c r="S276" t="s">
        <v>3611</v>
      </c>
      <c r="U276" t="s">
        <v>4268</v>
      </c>
      <c r="W276" t="s">
        <v>299</v>
      </c>
      <c r="X276">
        <v>900</v>
      </c>
      <c r="Y276" t="s">
        <v>4351</v>
      </c>
      <c r="Z276" t="s">
        <v>4354</v>
      </c>
      <c r="AA276" t="s">
        <v>4373</v>
      </c>
      <c r="AB276" t="s">
        <v>4629</v>
      </c>
      <c r="AD276" t="s">
        <v>6043</v>
      </c>
      <c r="AE276">
        <v>25</v>
      </c>
      <c r="AF276" t="s">
        <v>7101</v>
      </c>
      <c r="AH276">
        <v>8</v>
      </c>
      <c r="AI276">
        <v>3</v>
      </c>
      <c r="AJ276">
        <v>0</v>
      </c>
      <c r="AK276">
        <v>52.66</v>
      </c>
      <c r="AN276" t="s">
        <v>7139</v>
      </c>
      <c r="AO276">
        <v>11232</v>
      </c>
      <c r="AU276">
        <v>1.4</v>
      </c>
      <c r="AV276" t="s">
        <v>190</v>
      </c>
      <c r="AW276" t="s">
        <v>7366</v>
      </c>
    </row>
    <row r="277" spans="1:50">
      <c r="A277" s="1">
        <f>HYPERLINK("https://lsnyc.legalserver.org/matter/dynamic-profile/view/1879092","18-1879092")</f>
        <v>0</v>
      </c>
      <c r="B277" t="s">
        <v>56</v>
      </c>
      <c r="C277" t="s">
        <v>104</v>
      </c>
      <c r="D277" t="s">
        <v>302</v>
      </c>
      <c r="E277" t="s">
        <v>659</v>
      </c>
      <c r="F277" t="s">
        <v>733</v>
      </c>
      <c r="G277" t="s">
        <v>1772</v>
      </c>
      <c r="H277" t="s">
        <v>2623</v>
      </c>
      <c r="I277" t="s">
        <v>3373</v>
      </c>
      <c r="J277" t="s">
        <v>3604</v>
      </c>
      <c r="K277">
        <v>10032</v>
      </c>
      <c r="L277" t="s">
        <v>3609</v>
      </c>
      <c r="M277" t="s">
        <v>3609</v>
      </c>
      <c r="O277" t="s">
        <v>4211</v>
      </c>
      <c r="P277" t="s">
        <v>4244</v>
      </c>
      <c r="Q277" t="s">
        <v>4251</v>
      </c>
      <c r="R277" t="s">
        <v>4258</v>
      </c>
      <c r="S277" t="s">
        <v>3611</v>
      </c>
      <c r="U277" t="s">
        <v>4268</v>
      </c>
      <c r="X277">
        <v>1700</v>
      </c>
      <c r="Y277" t="s">
        <v>4351</v>
      </c>
      <c r="Z277" t="s">
        <v>4354</v>
      </c>
      <c r="AA277" t="s">
        <v>4374</v>
      </c>
      <c r="AB277" t="s">
        <v>4630</v>
      </c>
      <c r="AE277">
        <v>59</v>
      </c>
      <c r="AF277" t="s">
        <v>7101</v>
      </c>
      <c r="AG277" t="s">
        <v>3745</v>
      </c>
      <c r="AH277">
        <v>34</v>
      </c>
      <c r="AI277">
        <v>4</v>
      </c>
      <c r="AJ277">
        <v>1</v>
      </c>
      <c r="AK277">
        <v>53.03</v>
      </c>
      <c r="AN277" t="s">
        <v>7139</v>
      </c>
      <c r="AO277">
        <v>15600</v>
      </c>
      <c r="AU277">
        <v>10.6</v>
      </c>
      <c r="AV277" t="s">
        <v>7293</v>
      </c>
      <c r="AW277" t="s">
        <v>7340</v>
      </c>
    </row>
    <row r="278" spans="1:50">
      <c r="A278" s="1">
        <f>HYPERLINK("https://lsnyc.legalserver.org/matter/dynamic-profile/view/1890386","19-1890386")</f>
        <v>0</v>
      </c>
      <c r="B278" t="s">
        <v>56</v>
      </c>
      <c r="C278" t="s">
        <v>104</v>
      </c>
      <c r="D278" t="s">
        <v>272</v>
      </c>
      <c r="E278" t="s">
        <v>659</v>
      </c>
      <c r="F278" t="s">
        <v>893</v>
      </c>
      <c r="G278" t="s">
        <v>1773</v>
      </c>
      <c r="H278" t="s">
        <v>2656</v>
      </c>
      <c r="I278" t="s">
        <v>3342</v>
      </c>
      <c r="J278" t="s">
        <v>3604</v>
      </c>
      <c r="K278">
        <v>10034</v>
      </c>
      <c r="L278" t="s">
        <v>3610</v>
      </c>
      <c r="M278" t="s">
        <v>3610</v>
      </c>
      <c r="O278" t="s">
        <v>4219</v>
      </c>
      <c r="P278" t="s">
        <v>4242</v>
      </c>
      <c r="Q278" t="s">
        <v>4250</v>
      </c>
      <c r="R278" t="s">
        <v>4258</v>
      </c>
      <c r="S278" t="s">
        <v>3611</v>
      </c>
      <c r="U278" t="s">
        <v>4268</v>
      </c>
      <c r="W278" t="s">
        <v>272</v>
      </c>
      <c r="X278">
        <v>864.9299999999999</v>
      </c>
      <c r="Y278" t="s">
        <v>4351</v>
      </c>
      <c r="Z278" t="s">
        <v>4354</v>
      </c>
      <c r="AA278" t="s">
        <v>4373</v>
      </c>
      <c r="AB278" t="s">
        <v>4631</v>
      </c>
      <c r="AD278" t="s">
        <v>6044</v>
      </c>
      <c r="AE278">
        <v>121</v>
      </c>
      <c r="AF278" t="s">
        <v>7101</v>
      </c>
      <c r="AG278" t="s">
        <v>3745</v>
      </c>
      <c r="AH278">
        <v>35</v>
      </c>
      <c r="AI278">
        <v>2</v>
      </c>
      <c r="AJ278">
        <v>0</v>
      </c>
      <c r="AK278">
        <v>53.22</v>
      </c>
      <c r="AN278" t="s">
        <v>7139</v>
      </c>
      <c r="AO278">
        <v>9000</v>
      </c>
      <c r="AU278">
        <v>0.25</v>
      </c>
      <c r="AV278" t="s">
        <v>659</v>
      </c>
      <c r="AW278" t="s">
        <v>7342</v>
      </c>
      <c r="AX278" t="s">
        <v>7377</v>
      </c>
    </row>
    <row r="279" spans="1:50">
      <c r="A279" s="1">
        <f>HYPERLINK("https://lsnyc.legalserver.org/matter/dynamic-profile/view/1888062","19-1888062")</f>
        <v>0</v>
      </c>
      <c r="B279" t="s">
        <v>52</v>
      </c>
      <c r="C279" t="s">
        <v>105</v>
      </c>
      <c r="D279" t="s">
        <v>303</v>
      </c>
      <c r="F279" t="s">
        <v>733</v>
      </c>
      <c r="G279" t="s">
        <v>1735</v>
      </c>
      <c r="H279" t="s">
        <v>2657</v>
      </c>
      <c r="I279" t="s">
        <v>3293</v>
      </c>
      <c r="J279" t="s">
        <v>3604</v>
      </c>
      <c r="K279">
        <v>10032</v>
      </c>
      <c r="L279" t="s">
        <v>3610</v>
      </c>
      <c r="M279" t="s">
        <v>3610</v>
      </c>
      <c r="P279" t="s">
        <v>4241</v>
      </c>
      <c r="R279" t="s">
        <v>4258</v>
      </c>
      <c r="S279" t="s">
        <v>3610</v>
      </c>
      <c r="U279" t="s">
        <v>4268</v>
      </c>
      <c r="W279" t="s">
        <v>303</v>
      </c>
      <c r="X279">
        <v>550</v>
      </c>
      <c r="Y279" t="s">
        <v>4351</v>
      </c>
      <c r="Z279" t="s">
        <v>4354</v>
      </c>
      <c r="AB279" t="s">
        <v>4632</v>
      </c>
      <c r="AD279" t="s">
        <v>6045</v>
      </c>
      <c r="AE279">
        <v>42</v>
      </c>
      <c r="AF279" t="s">
        <v>7101</v>
      </c>
      <c r="AG279" t="s">
        <v>7118</v>
      </c>
      <c r="AH279">
        <v>35</v>
      </c>
      <c r="AI279">
        <v>2</v>
      </c>
      <c r="AJ279">
        <v>0</v>
      </c>
      <c r="AK279">
        <v>53.22</v>
      </c>
      <c r="AN279" t="s">
        <v>7139</v>
      </c>
      <c r="AO279">
        <v>8760</v>
      </c>
      <c r="AU279">
        <v>0</v>
      </c>
      <c r="AW279" t="s">
        <v>7342</v>
      </c>
    </row>
    <row r="280" spans="1:50">
      <c r="A280" s="1">
        <f>HYPERLINK("https://lsnyc.legalserver.org/matter/dynamic-profile/view/1840771","17-1840771")</f>
        <v>0</v>
      </c>
      <c r="B280" t="s">
        <v>51</v>
      </c>
      <c r="C280" t="s">
        <v>104</v>
      </c>
      <c r="D280" t="s">
        <v>304</v>
      </c>
      <c r="E280" t="s">
        <v>293</v>
      </c>
      <c r="F280" t="s">
        <v>894</v>
      </c>
      <c r="G280" t="s">
        <v>887</v>
      </c>
      <c r="H280" t="s">
        <v>2658</v>
      </c>
      <c r="I280">
        <v>30</v>
      </c>
      <c r="J280" t="s">
        <v>3604</v>
      </c>
      <c r="K280">
        <v>10035</v>
      </c>
      <c r="L280" t="s">
        <v>3610</v>
      </c>
      <c r="M280" t="s">
        <v>3610</v>
      </c>
      <c r="N280" t="s">
        <v>3727</v>
      </c>
      <c r="O280" t="s">
        <v>4209</v>
      </c>
      <c r="P280" t="s">
        <v>4241</v>
      </c>
      <c r="Q280" t="s">
        <v>4248</v>
      </c>
      <c r="R280" t="s">
        <v>4258</v>
      </c>
      <c r="S280" t="s">
        <v>3611</v>
      </c>
      <c r="U280" t="s">
        <v>4268</v>
      </c>
      <c r="V280" t="s">
        <v>4274</v>
      </c>
      <c r="W280" t="s">
        <v>304</v>
      </c>
      <c r="X280">
        <v>580</v>
      </c>
      <c r="Y280" t="s">
        <v>4351</v>
      </c>
      <c r="Z280" t="s">
        <v>4228</v>
      </c>
      <c r="AA280" t="s">
        <v>4374</v>
      </c>
      <c r="AB280" t="s">
        <v>4633</v>
      </c>
      <c r="AD280" t="s">
        <v>6046</v>
      </c>
      <c r="AE280">
        <v>32</v>
      </c>
      <c r="AF280" t="s">
        <v>7101</v>
      </c>
      <c r="AG280" t="s">
        <v>3745</v>
      </c>
      <c r="AH280">
        <v>35</v>
      </c>
      <c r="AI280">
        <v>2</v>
      </c>
      <c r="AJ280">
        <v>0</v>
      </c>
      <c r="AK280">
        <v>53.28</v>
      </c>
      <c r="AN280" t="s">
        <v>7138</v>
      </c>
      <c r="AO280">
        <v>8652</v>
      </c>
      <c r="AU280">
        <v>13.9</v>
      </c>
      <c r="AV280" t="s">
        <v>257</v>
      </c>
      <c r="AW280" t="s">
        <v>7341</v>
      </c>
    </row>
    <row r="281" spans="1:50">
      <c r="A281" s="1">
        <f>HYPERLINK("https://lsnyc.legalserver.org/matter/dynamic-profile/view/1870894","18-1870894")</f>
        <v>0</v>
      </c>
      <c r="B281" t="s">
        <v>64</v>
      </c>
      <c r="C281" t="s">
        <v>104</v>
      </c>
      <c r="D281" t="s">
        <v>198</v>
      </c>
      <c r="E281" t="s">
        <v>198</v>
      </c>
      <c r="F281" t="s">
        <v>719</v>
      </c>
      <c r="G281" t="s">
        <v>1774</v>
      </c>
      <c r="H281" t="s">
        <v>2659</v>
      </c>
      <c r="I281" t="s">
        <v>3374</v>
      </c>
      <c r="J281" t="s">
        <v>3604</v>
      </c>
      <c r="K281">
        <v>10040</v>
      </c>
      <c r="L281" t="s">
        <v>3610</v>
      </c>
      <c r="M281" t="s">
        <v>3609</v>
      </c>
      <c r="N281" t="s">
        <v>3728</v>
      </c>
      <c r="O281" t="s">
        <v>4210</v>
      </c>
      <c r="P281" t="s">
        <v>4245</v>
      </c>
      <c r="Q281" t="s">
        <v>4249</v>
      </c>
      <c r="R281" t="s">
        <v>4258</v>
      </c>
      <c r="S281" t="s">
        <v>3611</v>
      </c>
      <c r="U281" t="s">
        <v>4268</v>
      </c>
      <c r="W281" t="s">
        <v>247</v>
      </c>
      <c r="X281">
        <v>833.99</v>
      </c>
      <c r="Y281" t="s">
        <v>4351</v>
      </c>
      <c r="AA281" t="s">
        <v>4373</v>
      </c>
      <c r="AB281" t="s">
        <v>4634</v>
      </c>
      <c r="AD281" t="s">
        <v>6047</v>
      </c>
      <c r="AE281">
        <v>0</v>
      </c>
      <c r="AF281" t="s">
        <v>7101</v>
      </c>
      <c r="AH281">
        <v>34</v>
      </c>
      <c r="AI281">
        <v>1</v>
      </c>
      <c r="AJ281">
        <v>0</v>
      </c>
      <c r="AK281">
        <v>53.54</v>
      </c>
      <c r="AN281" t="s">
        <v>7139</v>
      </c>
      <c r="AO281">
        <v>6500</v>
      </c>
      <c r="AU281">
        <v>9.35</v>
      </c>
      <c r="AV281" t="s">
        <v>398</v>
      </c>
      <c r="AW281" t="s">
        <v>64</v>
      </c>
    </row>
    <row r="282" spans="1:50">
      <c r="A282" s="1">
        <f>HYPERLINK("https://lsnyc.legalserver.org/matter/dynamic-profile/view/1876801","18-1876801")</f>
        <v>0</v>
      </c>
      <c r="B282" t="s">
        <v>53</v>
      </c>
      <c r="C282" t="s">
        <v>104</v>
      </c>
      <c r="D282" t="s">
        <v>135</v>
      </c>
      <c r="E282" t="s">
        <v>109</v>
      </c>
      <c r="F282" t="s">
        <v>701</v>
      </c>
      <c r="G282" t="s">
        <v>1577</v>
      </c>
      <c r="H282" t="s">
        <v>2477</v>
      </c>
      <c r="I282">
        <v>64</v>
      </c>
      <c r="J282" t="s">
        <v>3604</v>
      </c>
      <c r="K282">
        <v>10034</v>
      </c>
      <c r="L282" t="s">
        <v>3610</v>
      </c>
      <c r="M282" t="s">
        <v>3610</v>
      </c>
      <c r="O282" t="s">
        <v>4212</v>
      </c>
      <c r="P282" t="s">
        <v>4243</v>
      </c>
      <c r="Q282" t="s">
        <v>4254</v>
      </c>
      <c r="R282" t="s">
        <v>4258</v>
      </c>
      <c r="S282" t="s">
        <v>3611</v>
      </c>
      <c r="U282" t="s">
        <v>4270</v>
      </c>
      <c r="V282" t="s">
        <v>4274</v>
      </c>
      <c r="W282" t="s">
        <v>108</v>
      </c>
      <c r="X282">
        <v>1085</v>
      </c>
      <c r="Y282" t="s">
        <v>4351</v>
      </c>
      <c r="Z282" t="s">
        <v>4356</v>
      </c>
      <c r="AA282" t="s">
        <v>4376</v>
      </c>
      <c r="AB282" t="s">
        <v>4417</v>
      </c>
      <c r="AD282" t="s">
        <v>5864</v>
      </c>
      <c r="AE282">
        <v>38</v>
      </c>
      <c r="AF282" t="s">
        <v>7101</v>
      </c>
      <c r="AG282" t="s">
        <v>3745</v>
      </c>
      <c r="AH282">
        <v>19</v>
      </c>
      <c r="AI282">
        <v>1</v>
      </c>
      <c r="AJ282">
        <v>0</v>
      </c>
      <c r="AK282">
        <v>53.54</v>
      </c>
      <c r="AN282" t="s">
        <v>7138</v>
      </c>
      <c r="AO282">
        <v>6500</v>
      </c>
      <c r="AQ282" t="s">
        <v>7200</v>
      </c>
      <c r="AR282" t="s">
        <v>7214</v>
      </c>
      <c r="AS282" t="s">
        <v>7231</v>
      </c>
      <c r="AT282" t="s">
        <v>7248</v>
      </c>
      <c r="AU282">
        <v>6.55</v>
      </c>
      <c r="AV282" t="s">
        <v>437</v>
      </c>
      <c r="AW282" t="s">
        <v>7341</v>
      </c>
    </row>
    <row r="283" spans="1:50">
      <c r="A283" s="1">
        <f>HYPERLINK("https://lsnyc.legalserver.org/matter/dynamic-profile/view/1891038","19-1891038")</f>
        <v>0</v>
      </c>
      <c r="B283" t="s">
        <v>87</v>
      </c>
      <c r="C283" t="s">
        <v>104</v>
      </c>
      <c r="D283" t="s">
        <v>305</v>
      </c>
      <c r="E283" t="s">
        <v>396</v>
      </c>
      <c r="F283" t="s">
        <v>895</v>
      </c>
      <c r="G283" t="s">
        <v>1775</v>
      </c>
      <c r="H283" t="s">
        <v>2631</v>
      </c>
      <c r="I283">
        <v>2</v>
      </c>
      <c r="J283" t="s">
        <v>3604</v>
      </c>
      <c r="K283">
        <v>10034</v>
      </c>
      <c r="L283" t="s">
        <v>3610</v>
      </c>
      <c r="M283" t="s">
        <v>3610</v>
      </c>
      <c r="O283" t="s">
        <v>4217</v>
      </c>
      <c r="P283" t="s">
        <v>4245</v>
      </c>
      <c r="Q283" t="s">
        <v>4249</v>
      </c>
      <c r="R283" t="s">
        <v>4258</v>
      </c>
      <c r="S283" t="s">
        <v>3611</v>
      </c>
      <c r="U283" t="s">
        <v>4268</v>
      </c>
      <c r="W283" t="s">
        <v>305</v>
      </c>
      <c r="X283">
        <v>871.5700000000001</v>
      </c>
      <c r="Y283" t="s">
        <v>4351</v>
      </c>
      <c r="Z283" t="s">
        <v>4357</v>
      </c>
      <c r="AA283" t="s">
        <v>4377</v>
      </c>
      <c r="AB283" t="s">
        <v>4635</v>
      </c>
      <c r="AC283">
        <v>837516</v>
      </c>
      <c r="AD283" t="s">
        <v>6048</v>
      </c>
      <c r="AE283">
        <v>25</v>
      </c>
      <c r="AF283" t="s">
        <v>7101</v>
      </c>
      <c r="AG283" t="s">
        <v>7118</v>
      </c>
      <c r="AH283">
        <v>12</v>
      </c>
      <c r="AI283">
        <v>1</v>
      </c>
      <c r="AJ283">
        <v>1</v>
      </c>
      <c r="AK283">
        <v>53.79</v>
      </c>
      <c r="AN283" t="s">
        <v>7139</v>
      </c>
      <c r="AO283">
        <v>9096</v>
      </c>
      <c r="AU283">
        <v>2.5</v>
      </c>
      <c r="AV283" t="s">
        <v>613</v>
      </c>
      <c r="AW283" t="s">
        <v>7342</v>
      </c>
      <c r="AX283" t="s">
        <v>7377</v>
      </c>
    </row>
    <row r="284" spans="1:50">
      <c r="A284" s="1">
        <f>HYPERLINK("https://lsnyc.legalserver.org/matter/dynamic-profile/view/1841830","17-1841830")</f>
        <v>0</v>
      </c>
      <c r="B284" t="s">
        <v>63</v>
      </c>
      <c r="C284" t="s">
        <v>105</v>
      </c>
      <c r="D284" t="s">
        <v>210</v>
      </c>
      <c r="F284" t="s">
        <v>896</v>
      </c>
      <c r="G284" t="s">
        <v>1776</v>
      </c>
      <c r="H284" t="s">
        <v>2660</v>
      </c>
      <c r="I284" t="s">
        <v>3295</v>
      </c>
      <c r="J284" t="s">
        <v>3604</v>
      </c>
      <c r="K284">
        <v>10034</v>
      </c>
      <c r="L284" t="s">
        <v>3610</v>
      </c>
      <c r="M284" t="s">
        <v>3609</v>
      </c>
      <c r="N284" t="s">
        <v>3729</v>
      </c>
      <c r="O284" t="s">
        <v>4210</v>
      </c>
      <c r="P284" t="s">
        <v>4241</v>
      </c>
      <c r="R284" t="s">
        <v>4258</v>
      </c>
      <c r="S284" t="s">
        <v>3611</v>
      </c>
      <c r="U284" t="s">
        <v>4268</v>
      </c>
      <c r="W284" t="s">
        <v>133</v>
      </c>
      <c r="X284">
        <v>1067.3</v>
      </c>
      <c r="Y284" t="s">
        <v>4351</v>
      </c>
      <c r="Z284" t="s">
        <v>4354</v>
      </c>
      <c r="AB284" t="s">
        <v>4636</v>
      </c>
      <c r="AD284" t="s">
        <v>6049</v>
      </c>
      <c r="AE284">
        <v>49</v>
      </c>
      <c r="AF284" t="s">
        <v>7101</v>
      </c>
      <c r="AG284" t="s">
        <v>3745</v>
      </c>
      <c r="AH284">
        <v>14</v>
      </c>
      <c r="AI284">
        <v>1</v>
      </c>
      <c r="AJ284">
        <v>0</v>
      </c>
      <c r="AK284">
        <v>53.9</v>
      </c>
      <c r="AN284" t="s">
        <v>7139</v>
      </c>
      <c r="AO284">
        <v>6500</v>
      </c>
      <c r="AU284">
        <v>0</v>
      </c>
      <c r="AW284" t="s">
        <v>7342</v>
      </c>
    </row>
    <row r="285" spans="1:50">
      <c r="A285" s="1">
        <f>HYPERLINK("https://lsnyc.legalserver.org/matter/dynamic-profile/view/1888028","19-1888028")</f>
        <v>0</v>
      </c>
      <c r="B285" t="s">
        <v>52</v>
      </c>
      <c r="C285" t="s">
        <v>105</v>
      </c>
      <c r="D285" t="s">
        <v>303</v>
      </c>
      <c r="F285" t="s">
        <v>897</v>
      </c>
      <c r="G285" t="s">
        <v>1777</v>
      </c>
      <c r="H285" t="s">
        <v>2657</v>
      </c>
      <c r="I285" t="s">
        <v>3318</v>
      </c>
      <c r="J285" t="s">
        <v>3604</v>
      </c>
      <c r="K285">
        <v>10032</v>
      </c>
      <c r="L285" t="s">
        <v>3610</v>
      </c>
      <c r="M285" t="s">
        <v>3610</v>
      </c>
      <c r="P285" t="s">
        <v>4241</v>
      </c>
      <c r="R285" t="s">
        <v>4258</v>
      </c>
      <c r="S285" t="s">
        <v>3610</v>
      </c>
      <c r="U285" t="s">
        <v>4268</v>
      </c>
      <c r="W285" t="s">
        <v>303</v>
      </c>
      <c r="X285">
        <v>689</v>
      </c>
      <c r="Y285" t="s">
        <v>4351</v>
      </c>
      <c r="Z285" t="s">
        <v>4354</v>
      </c>
      <c r="AB285" t="s">
        <v>4637</v>
      </c>
      <c r="AD285" t="s">
        <v>6050</v>
      </c>
      <c r="AE285">
        <v>42</v>
      </c>
      <c r="AF285" t="s">
        <v>7101</v>
      </c>
      <c r="AG285" t="s">
        <v>3745</v>
      </c>
      <c r="AH285">
        <v>50</v>
      </c>
      <c r="AI285">
        <v>3</v>
      </c>
      <c r="AJ285">
        <v>2</v>
      </c>
      <c r="AK285">
        <v>53.96</v>
      </c>
      <c r="AN285" t="s">
        <v>7139</v>
      </c>
      <c r="AO285">
        <v>15876</v>
      </c>
      <c r="AU285">
        <v>0</v>
      </c>
      <c r="AW285" t="s">
        <v>7342</v>
      </c>
    </row>
    <row r="286" spans="1:50">
      <c r="A286" s="1">
        <f>HYPERLINK("https://lsnyc.legalserver.org/matter/dynamic-profile/view/1864398","18-1864398")</f>
        <v>0</v>
      </c>
      <c r="B286" t="s">
        <v>53</v>
      </c>
      <c r="C286" t="s">
        <v>105</v>
      </c>
      <c r="D286" t="s">
        <v>162</v>
      </c>
      <c r="F286" t="s">
        <v>771</v>
      </c>
      <c r="G286" t="s">
        <v>1776</v>
      </c>
      <c r="H286" t="s">
        <v>2508</v>
      </c>
      <c r="I286">
        <v>601</v>
      </c>
      <c r="J286" t="s">
        <v>3604</v>
      </c>
      <c r="K286">
        <v>10029</v>
      </c>
      <c r="L286" t="s">
        <v>3610</v>
      </c>
      <c r="M286" t="s">
        <v>3610</v>
      </c>
      <c r="N286" t="s">
        <v>3642</v>
      </c>
      <c r="O286" t="s">
        <v>4213</v>
      </c>
      <c r="P286" t="s">
        <v>4241</v>
      </c>
      <c r="R286" t="s">
        <v>4258</v>
      </c>
      <c r="S286" t="s">
        <v>3610</v>
      </c>
      <c r="U286" t="s">
        <v>4268</v>
      </c>
      <c r="V286" t="s">
        <v>4274</v>
      </c>
      <c r="W286" t="s">
        <v>162</v>
      </c>
      <c r="X286">
        <v>0</v>
      </c>
      <c r="Y286" t="s">
        <v>4351</v>
      </c>
      <c r="Z286" t="s">
        <v>4352</v>
      </c>
      <c r="AB286" t="s">
        <v>4638</v>
      </c>
      <c r="AD286" t="s">
        <v>6051</v>
      </c>
      <c r="AE286">
        <v>108</v>
      </c>
      <c r="AF286" t="s">
        <v>7106</v>
      </c>
      <c r="AG286" t="s">
        <v>7116</v>
      </c>
      <c r="AH286">
        <v>20</v>
      </c>
      <c r="AI286">
        <v>1</v>
      </c>
      <c r="AJ286">
        <v>0</v>
      </c>
      <c r="AK286">
        <v>53.97</v>
      </c>
      <c r="AN286" t="s">
        <v>7139</v>
      </c>
      <c r="AO286">
        <v>6552</v>
      </c>
      <c r="AU286">
        <v>0.25</v>
      </c>
      <c r="AV286" t="s">
        <v>688</v>
      </c>
      <c r="AW286" t="s">
        <v>7341</v>
      </c>
      <c r="AX286" t="s">
        <v>7377</v>
      </c>
    </row>
    <row r="287" spans="1:50">
      <c r="A287" s="1">
        <f>HYPERLINK("https://lsnyc.legalserver.org/matter/dynamic-profile/view/1877068","18-1877068")</f>
        <v>0</v>
      </c>
      <c r="B287" t="s">
        <v>62</v>
      </c>
      <c r="C287" t="s">
        <v>104</v>
      </c>
      <c r="D287" t="s">
        <v>198</v>
      </c>
      <c r="E287" t="s">
        <v>192</v>
      </c>
      <c r="F287" t="s">
        <v>898</v>
      </c>
      <c r="G287" t="s">
        <v>1778</v>
      </c>
      <c r="H287" t="s">
        <v>2661</v>
      </c>
      <c r="J287" t="s">
        <v>3604</v>
      </c>
      <c r="K287">
        <v>10001</v>
      </c>
      <c r="L287" t="s">
        <v>3610</v>
      </c>
      <c r="M287" t="s">
        <v>3610</v>
      </c>
      <c r="N287" t="s">
        <v>3730</v>
      </c>
      <c r="O287" t="s">
        <v>4229</v>
      </c>
      <c r="P287" t="s">
        <v>4241</v>
      </c>
      <c r="Q287" t="s">
        <v>4248</v>
      </c>
      <c r="R287" t="s">
        <v>4257</v>
      </c>
      <c r="S287" t="s">
        <v>3611</v>
      </c>
      <c r="U287" t="s">
        <v>4268</v>
      </c>
      <c r="W287" t="s">
        <v>142</v>
      </c>
      <c r="X287">
        <v>1200</v>
      </c>
      <c r="Y287" t="s">
        <v>4351</v>
      </c>
      <c r="Z287" t="s">
        <v>4355</v>
      </c>
      <c r="AA287" t="s">
        <v>4373</v>
      </c>
      <c r="AB287" t="s">
        <v>4639</v>
      </c>
      <c r="AD287" t="s">
        <v>6052</v>
      </c>
      <c r="AE287">
        <v>309</v>
      </c>
      <c r="AF287" t="s">
        <v>7111</v>
      </c>
      <c r="AG287" t="s">
        <v>4228</v>
      </c>
      <c r="AH287">
        <v>4</v>
      </c>
      <c r="AI287">
        <v>1</v>
      </c>
      <c r="AJ287">
        <v>3</v>
      </c>
      <c r="AK287">
        <v>54.02</v>
      </c>
      <c r="AL287" t="s">
        <v>369</v>
      </c>
      <c r="AM287" t="s">
        <v>7133</v>
      </c>
      <c r="AN287" t="s">
        <v>7140</v>
      </c>
      <c r="AO287">
        <v>13560</v>
      </c>
      <c r="AU287">
        <v>8.4</v>
      </c>
      <c r="AV287" t="s">
        <v>7294</v>
      </c>
      <c r="AW287" t="s">
        <v>102</v>
      </c>
    </row>
    <row r="288" spans="1:50">
      <c r="A288" s="1">
        <f>HYPERLINK("https://lsnyc.legalserver.org/matter/dynamic-profile/view/1888064","19-1888064")</f>
        <v>0</v>
      </c>
      <c r="B288" t="s">
        <v>52</v>
      </c>
      <c r="C288" t="s">
        <v>105</v>
      </c>
      <c r="D288" t="s">
        <v>303</v>
      </c>
      <c r="F288" t="s">
        <v>733</v>
      </c>
      <c r="G288" t="s">
        <v>1779</v>
      </c>
      <c r="H288" t="s">
        <v>2657</v>
      </c>
      <c r="I288" t="s">
        <v>3304</v>
      </c>
      <c r="J288" t="s">
        <v>3604</v>
      </c>
      <c r="K288">
        <v>10032</v>
      </c>
      <c r="L288" t="s">
        <v>3610</v>
      </c>
      <c r="M288" t="s">
        <v>3610</v>
      </c>
      <c r="P288" t="s">
        <v>4241</v>
      </c>
      <c r="R288" t="s">
        <v>4258</v>
      </c>
      <c r="S288" t="s">
        <v>3610</v>
      </c>
      <c r="U288" t="s">
        <v>4268</v>
      </c>
      <c r="W288" t="s">
        <v>303</v>
      </c>
      <c r="X288">
        <v>768.22</v>
      </c>
      <c r="Y288" t="s">
        <v>4351</v>
      </c>
      <c r="Z288" t="s">
        <v>4354</v>
      </c>
      <c r="AB288" t="s">
        <v>4640</v>
      </c>
      <c r="AE288">
        <v>42</v>
      </c>
      <c r="AF288" t="s">
        <v>7101</v>
      </c>
      <c r="AG288" t="s">
        <v>3745</v>
      </c>
      <c r="AH288">
        <v>39</v>
      </c>
      <c r="AI288">
        <v>2</v>
      </c>
      <c r="AJ288">
        <v>0</v>
      </c>
      <c r="AK288">
        <v>54.09</v>
      </c>
      <c r="AN288" t="s">
        <v>7139</v>
      </c>
      <c r="AO288">
        <v>8904</v>
      </c>
      <c r="AU288">
        <v>0</v>
      </c>
      <c r="AW288" t="s">
        <v>7342</v>
      </c>
    </row>
    <row r="289" spans="1:50">
      <c r="A289" s="1">
        <f>HYPERLINK("https://lsnyc.legalserver.org/matter/dynamic-profile/view/1881163","18-1881163")</f>
        <v>0</v>
      </c>
      <c r="B289" t="s">
        <v>53</v>
      </c>
      <c r="C289" t="s">
        <v>104</v>
      </c>
      <c r="D289" t="s">
        <v>306</v>
      </c>
      <c r="E289" t="s">
        <v>656</v>
      </c>
      <c r="F289" t="s">
        <v>899</v>
      </c>
      <c r="G289" t="s">
        <v>1399</v>
      </c>
      <c r="H289" t="s">
        <v>2662</v>
      </c>
      <c r="I289">
        <v>42</v>
      </c>
      <c r="J289" t="s">
        <v>3604</v>
      </c>
      <c r="K289">
        <v>10035</v>
      </c>
      <c r="L289" t="s">
        <v>3610</v>
      </c>
      <c r="M289" t="s">
        <v>3610</v>
      </c>
      <c r="O289" t="s">
        <v>4211</v>
      </c>
      <c r="P289" t="s">
        <v>4242</v>
      </c>
      <c r="Q289" t="s">
        <v>4250</v>
      </c>
      <c r="R289" t="s">
        <v>4258</v>
      </c>
      <c r="S289" t="s">
        <v>3611</v>
      </c>
      <c r="U289" t="s">
        <v>4268</v>
      </c>
      <c r="V289" t="s">
        <v>4274</v>
      </c>
      <c r="W289" t="s">
        <v>293</v>
      </c>
      <c r="X289">
        <v>557</v>
      </c>
      <c r="Y289" t="s">
        <v>4351</v>
      </c>
      <c r="Z289" t="s">
        <v>4354</v>
      </c>
      <c r="AA289" t="s">
        <v>4373</v>
      </c>
      <c r="AB289" t="s">
        <v>4641</v>
      </c>
      <c r="AD289" t="s">
        <v>6053</v>
      </c>
      <c r="AE289">
        <v>18</v>
      </c>
      <c r="AF289" t="s">
        <v>7112</v>
      </c>
      <c r="AG289" t="s">
        <v>7118</v>
      </c>
      <c r="AH289">
        <v>25</v>
      </c>
      <c r="AI289">
        <v>1</v>
      </c>
      <c r="AJ289">
        <v>0</v>
      </c>
      <c r="AK289">
        <v>54.27</v>
      </c>
      <c r="AN289" t="s">
        <v>7138</v>
      </c>
      <c r="AO289">
        <v>6588</v>
      </c>
      <c r="AU289">
        <v>0.1</v>
      </c>
      <c r="AV289" t="s">
        <v>656</v>
      </c>
      <c r="AW289" t="s">
        <v>7341</v>
      </c>
    </row>
    <row r="290" spans="1:50">
      <c r="A290" s="1">
        <f>HYPERLINK("https://lsnyc.legalserver.org/matter/dynamic-profile/view/1843079","17-1843079")</f>
        <v>0</v>
      </c>
      <c r="B290" t="s">
        <v>72</v>
      </c>
      <c r="C290" t="s">
        <v>105</v>
      </c>
      <c r="D290" t="s">
        <v>307</v>
      </c>
      <c r="F290" t="s">
        <v>900</v>
      </c>
      <c r="G290" t="s">
        <v>1780</v>
      </c>
      <c r="H290" t="s">
        <v>2571</v>
      </c>
      <c r="I290" t="s">
        <v>3276</v>
      </c>
      <c r="J290" t="s">
        <v>3604</v>
      </c>
      <c r="K290">
        <v>10029</v>
      </c>
      <c r="L290" t="s">
        <v>3610</v>
      </c>
      <c r="M290" t="s">
        <v>3609</v>
      </c>
      <c r="O290" t="s">
        <v>4211</v>
      </c>
      <c r="P290" t="s">
        <v>4245</v>
      </c>
      <c r="R290" t="s">
        <v>4258</v>
      </c>
      <c r="S290" t="s">
        <v>3610</v>
      </c>
      <c r="U290" t="s">
        <v>4268</v>
      </c>
      <c r="V290" t="s">
        <v>4274</v>
      </c>
      <c r="W290" t="s">
        <v>307</v>
      </c>
      <c r="X290">
        <v>835.3200000000001</v>
      </c>
      <c r="Y290" t="s">
        <v>4351</v>
      </c>
      <c r="Z290" t="s">
        <v>4352</v>
      </c>
      <c r="AB290" t="s">
        <v>4642</v>
      </c>
      <c r="AD290" t="s">
        <v>6054</v>
      </c>
      <c r="AE290">
        <v>13</v>
      </c>
      <c r="AF290" t="s">
        <v>7101</v>
      </c>
      <c r="AG290" t="s">
        <v>3745</v>
      </c>
      <c r="AH290">
        <v>35</v>
      </c>
      <c r="AI290">
        <v>2</v>
      </c>
      <c r="AJ290">
        <v>2</v>
      </c>
      <c r="AK290">
        <v>54.39</v>
      </c>
      <c r="AN290" t="s">
        <v>7139</v>
      </c>
      <c r="AO290">
        <v>13380</v>
      </c>
      <c r="AU290">
        <v>2.45</v>
      </c>
      <c r="AV290" t="s">
        <v>4345</v>
      </c>
      <c r="AW290" t="s">
        <v>7341</v>
      </c>
      <c r="AX290" t="s">
        <v>7377</v>
      </c>
    </row>
    <row r="291" spans="1:50">
      <c r="A291" s="1">
        <f>HYPERLINK("https://lsnyc.legalserver.org/matter/dynamic-profile/view/1834624","17-1834624")</f>
        <v>0</v>
      </c>
      <c r="B291" t="s">
        <v>63</v>
      </c>
      <c r="C291" t="s">
        <v>104</v>
      </c>
      <c r="D291" t="s">
        <v>308</v>
      </c>
      <c r="E291" t="s">
        <v>108</v>
      </c>
      <c r="F291" t="s">
        <v>833</v>
      </c>
      <c r="G291" t="s">
        <v>1587</v>
      </c>
      <c r="H291" t="s">
        <v>2487</v>
      </c>
      <c r="I291" t="s">
        <v>3375</v>
      </c>
      <c r="J291" t="s">
        <v>3604</v>
      </c>
      <c r="K291">
        <v>10033</v>
      </c>
      <c r="L291" t="s">
        <v>3610</v>
      </c>
      <c r="M291" t="s">
        <v>3610</v>
      </c>
      <c r="N291" t="s">
        <v>3731</v>
      </c>
      <c r="O291" t="s">
        <v>4213</v>
      </c>
      <c r="P291" t="s">
        <v>4241</v>
      </c>
      <c r="Q291" t="s">
        <v>4248</v>
      </c>
      <c r="R291" t="s">
        <v>4258</v>
      </c>
      <c r="S291" t="s">
        <v>3610</v>
      </c>
      <c r="U291" t="s">
        <v>4268</v>
      </c>
      <c r="W291" t="s">
        <v>431</v>
      </c>
      <c r="X291">
        <v>0</v>
      </c>
      <c r="Y291" t="s">
        <v>4351</v>
      </c>
      <c r="Z291" t="s">
        <v>4352</v>
      </c>
      <c r="AA291" t="s">
        <v>4379</v>
      </c>
      <c r="AB291" t="s">
        <v>4643</v>
      </c>
      <c r="AD291" t="s">
        <v>6055</v>
      </c>
      <c r="AE291">
        <v>24</v>
      </c>
      <c r="AF291" t="s">
        <v>7101</v>
      </c>
      <c r="AG291" t="s">
        <v>7118</v>
      </c>
      <c r="AH291">
        <v>40</v>
      </c>
      <c r="AI291">
        <v>1</v>
      </c>
      <c r="AJ291">
        <v>0</v>
      </c>
      <c r="AK291">
        <v>54.43</v>
      </c>
      <c r="AL291" t="s">
        <v>496</v>
      </c>
      <c r="AN291" t="s">
        <v>7139</v>
      </c>
      <c r="AO291">
        <v>6564</v>
      </c>
      <c r="AU291">
        <v>0.1</v>
      </c>
      <c r="AV291" t="s">
        <v>108</v>
      </c>
      <c r="AW291" t="s">
        <v>7341</v>
      </c>
    </row>
    <row r="292" spans="1:50">
      <c r="A292" s="1">
        <f>HYPERLINK("https://lsnyc.legalserver.org/matter/dynamic-profile/view/1834629","17-1834629")</f>
        <v>0</v>
      </c>
      <c r="B292" t="s">
        <v>63</v>
      </c>
      <c r="C292" t="s">
        <v>105</v>
      </c>
      <c r="D292" t="s">
        <v>308</v>
      </c>
      <c r="F292" t="s">
        <v>833</v>
      </c>
      <c r="G292" t="s">
        <v>1587</v>
      </c>
      <c r="H292" t="s">
        <v>2487</v>
      </c>
      <c r="I292" t="s">
        <v>3375</v>
      </c>
      <c r="J292" t="s">
        <v>3604</v>
      </c>
      <c r="K292">
        <v>10033</v>
      </c>
      <c r="L292" t="s">
        <v>3610</v>
      </c>
      <c r="M292" t="s">
        <v>3609</v>
      </c>
      <c r="N292" t="s">
        <v>3732</v>
      </c>
      <c r="O292" t="s">
        <v>4211</v>
      </c>
      <c r="P292" t="s">
        <v>4244</v>
      </c>
      <c r="R292" t="s">
        <v>4258</v>
      </c>
      <c r="S292" t="s">
        <v>3610</v>
      </c>
      <c r="U292" t="s">
        <v>4268</v>
      </c>
      <c r="W292" t="s">
        <v>431</v>
      </c>
      <c r="X292">
        <v>0</v>
      </c>
      <c r="Y292" t="s">
        <v>4351</v>
      </c>
      <c r="Z292" t="s">
        <v>4352</v>
      </c>
      <c r="AB292" t="s">
        <v>4643</v>
      </c>
      <c r="AD292" t="s">
        <v>6055</v>
      </c>
      <c r="AE292">
        <v>24</v>
      </c>
      <c r="AF292" t="s">
        <v>7101</v>
      </c>
      <c r="AG292" t="s">
        <v>7118</v>
      </c>
      <c r="AH292">
        <v>40</v>
      </c>
      <c r="AI292">
        <v>1</v>
      </c>
      <c r="AJ292">
        <v>0</v>
      </c>
      <c r="AK292">
        <v>54.43</v>
      </c>
      <c r="AL292" t="s">
        <v>496</v>
      </c>
      <c r="AN292" t="s">
        <v>7139</v>
      </c>
      <c r="AO292">
        <v>6564</v>
      </c>
      <c r="AU292">
        <v>0</v>
      </c>
      <c r="AW292" t="s">
        <v>7341</v>
      </c>
    </row>
    <row r="293" spans="1:50">
      <c r="A293" s="1">
        <f>HYPERLINK("https://lsnyc.legalserver.org/matter/dynamic-profile/view/1840371","17-1840371")</f>
        <v>0</v>
      </c>
      <c r="B293" t="s">
        <v>53</v>
      </c>
      <c r="C293" t="s">
        <v>104</v>
      </c>
      <c r="D293" t="s">
        <v>309</v>
      </c>
      <c r="E293" t="s">
        <v>501</v>
      </c>
      <c r="F293" t="s">
        <v>901</v>
      </c>
      <c r="G293" t="s">
        <v>1781</v>
      </c>
      <c r="H293" t="s">
        <v>2663</v>
      </c>
      <c r="I293">
        <v>35</v>
      </c>
      <c r="J293" t="s">
        <v>3604</v>
      </c>
      <c r="K293">
        <v>10034</v>
      </c>
      <c r="L293" t="s">
        <v>3610</v>
      </c>
      <c r="M293" t="s">
        <v>3609</v>
      </c>
      <c r="O293" t="s">
        <v>4211</v>
      </c>
      <c r="P293" t="s">
        <v>4242</v>
      </c>
      <c r="Q293" t="s">
        <v>4250</v>
      </c>
      <c r="R293" t="s">
        <v>4258</v>
      </c>
      <c r="S293" t="s">
        <v>3611</v>
      </c>
      <c r="U293" t="s">
        <v>4268</v>
      </c>
      <c r="W293" t="s">
        <v>297</v>
      </c>
      <c r="X293">
        <v>1013</v>
      </c>
      <c r="Y293" t="s">
        <v>4351</v>
      </c>
      <c r="Z293" t="s">
        <v>4354</v>
      </c>
      <c r="AA293" t="s">
        <v>4373</v>
      </c>
      <c r="AB293" t="s">
        <v>4644</v>
      </c>
      <c r="AD293" t="s">
        <v>6056</v>
      </c>
      <c r="AE293">
        <v>40</v>
      </c>
      <c r="AF293" t="s">
        <v>7101</v>
      </c>
      <c r="AG293" t="s">
        <v>3745</v>
      </c>
      <c r="AH293">
        <v>7</v>
      </c>
      <c r="AI293">
        <v>2</v>
      </c>
      <c r="AJ293">
        <v>0</v>
      </c>
      <c r="AK293">
        <v>54.46</v>
      </c>
      <c r="AN293" t="s">
        <v>7139</v>
      </c>
      <c r="AO293">
        <v>8844</v>
      </c>
      <c r="AU293">
        <v>0.2</v>
      </c>
      <c r="AV293" t="s">
        <v>309</v>
      </c>
      <c r="AW293" t="s">
        <v>7342</v>
      </c>
    </row>
    <row r="294" spans="1:50">
      <c r="A294" s="1">
        <f>HYPERLINK("https://lsnyc.legalserver.org/matter/dynamic-profile/view/1897608","19-1897608")</f>
        <v>0</v>
      </c>
      <c r="B294" t="s">
        <v>62</v>
      </c>
      <c r="C294" t="s">
        <v>104</v>
      </c>
      <c r="D294" t="s">
        <v>261</v>
      </c>
      <c r="E294" t="s">
        <v>625</v>
      </c>
      <c r="F294" t="s">
        <v>902</v>
      </c>
      <c r="G294" t="s">
        <v>1746</v>
      </c>
      <c r="H294" t="s">
        <v>2664</v>
      </c>
      <c r="I294" t="s">
        <v>3314</v>
      </c>
      <c r="J294" t="s">
        <v>3604</v>
      </c>
      <c r="K294">
        <v>10034</v>
      </c>
      <c r="L294" t="s">
        <v>3610</v>
      </c>
      <c r="M294" t="s">
        <v>3610</v>
      </c>
      <c r="O294" t="s">
        <v>4209</v>
      </c>
      <c r="P294" t="s">
        <v>4242</v>
      </c>
      <c r="Q294" t="s">
        <v>4250</v>
      </c>
      <c r="R294" t="s">
        <v>4258</v>
      </c>
      <c r="S294" t="s">
        <v>3611</v>
      </c>
      <c r="U294" t="s">
        <v>4268</v>
      </c>
      <c r="W294" t="s">
        <v>261</v>
      </c>
      <c r="X294">
        <v>1200</v>
      </c>
      <c r="Y294" t="s">
        <v>4351</v>
      </c>
      <c r="Z294" t="s">
        <v>4357</v>
      </c>
      <c r="AA294" t="s">
        <v>4373</v>
      </c>
      <c r="AB294" t="s">
        <v>4645</v>
      </c>
      <c r="AD294" t="s">
        <v>6057</v>
      </c>
      <c r="AE294">
        <v>16</v>
      </c>
      <c r="AF294" t="s">
        <v>7101</v>
      </c>
      <c r="AG294" t="s">
        <v>7116</v>
      </c>
      <c r="AH294">
        <v>15</v>
      </c>
      <c r="AI294">
        <v>2</v>
      </c>
      <c r="AJ294">
        <v>0</v>
      </c>
      <c r="AK294">
        <v>54.64</v>
      </c>
      <c r="AN294" t="s">
        <v>7139</v>
      </c>
      <c r="AO294">
        <v>9240</v>
      </c>
      <c r="AU294">
        <v>1.5</v>
      </c>
      <c r="AV294" t="s">
        <v>7287</v>
      </c>
      <c r="AW294" t="s">
        <v>7342</v>
      </c>
      <c r="AX294" t="s">
        <v>7377</v>
      </c>
    </row>
    <row r="295" spans="1:50">
      <c r="A295" s="1">
        <f>HYPERLINK("https://lsnyc.legalserver.org/matter/dynamic-profile/view/1884221","18-1884221")</f>
        <v>0</v>
      </c>
      <c r="B295" t="s">
        <v>62</v>
      </c>
      <c r="C295" t="s">
        <v>104</v>
      </c>
      <c r="D295" t="s">
        <v>227</v>
      </c>
      <c r="E295" t="s">
        <v>145</v>
      </c>
      <c r="F295" t="s">
        <v>903</v>
      </c>
      <c r="G295" t="s">
        <v>1586</v>
      </c>
      <c r="H295" t="s">
        <v>2665</v>
      </c>
      <c r="I295" t="s">
        <v>3376</v>
      </c>
      <c r="J295" t="s">
        <v>3604</v>
      </c>
      <c r="K295">
        <v>10032</v>
      </c>
      <c r="L295" t="s">
        <v>3610</v>
      </c>
      <c r="M295" t="s">
        <v>3610</v>
      </c>
      <c r="O295" t="s">
        <v>4213</v>
      </c>
      <c r="P295" t="s">
        <v>4242</v>
      </c>
      <c r="Q295" t="s">
        <v>4250</v>
      </c>
      <c r="R295" t="s">
        <v>4258</v>
      </c>
      <c r="S295" t="s">
        <v>3611</v>
      </c>
      <c r="U295" t="s">
        <v>4268</v>
      </c>
      <c r="W295" t="s">
        <v>227</v>
      </c>
      <c r="X295">
        <v>649.45</v>
      </c>
      <c r="Y295" t="s">
        <v>4351</v>
      </c>
      <c r="Z295" t="s">
        <v>4354</v>
      </c>
      <c r="AA295" t="s">
        <v>4373</v>
      </c>
      <c r="AB295" t="s">
        <v>4646</v>
      </c>
      <c r="AD295" t="s">
        <v>6058</v>
      </c>
      <c r="AE295">
        <v>47</v>
      </c>
      <c r="AF295" t="s">
        <v>7101</v>
      </c>
      <c r="AG295" t="s">
        <v>7118</v>
      </c>
      <c r="AH295">
        <v>40</v>
      </c>
      <c r="AI295">
        <v>2</v>
      </c>
      <c r="AJ295">
        <v>0</v>
      </c>
      <c r="AK295">
        <v>54.68</v>
      </c>
      <c r="AN295" t="s">
        <v>7139</v>
      </c>
      <c r="AO295">
        <v>9000</v>
      </c>
      <c r="AU295">
        <v>1.1</v>
      </c>
      <c r="AV295" t="s">
        <v>341</v>
      </c>
      <c r="AW295" t="s">
        <v>7342</v>
      </c>
    </row>
    <row r="296" spans="1:50">
      <c r="A296" s="1">
        <f>HYPERLINK("https://lsnyc.legalserver.org/matter/dynamic-profile/view/1872340","18-1872340")</f>
        <v>0</v>
      </c>
      <c r="B296" t="s">
        <v>67</v>
      </c>
      <c r="C296" t="s">
        <v>105</v>
      </c>
      <c r="D296" t="s">
        <v>310</v>
      </c>
      <c r="F296" t="s">
        <v>904</v>
      </c>
      <c r="G296" t="s">
        <v>1642</v>
      </c>
      <c r="H296" t="s">
        <v>2666</v>
      </c>
      <c r="I296">
        <v>65</v>
      </c>
      <c r="J296" t="s">
        <v>3604</v>
      </c>
      <c r="K296">
        <v>10029</v>
      </c>
      <c r="L296" t="s">
        <v>3610</v>
      </c>
      <c r="M296" t="s">
        <v>3610</v>
      </c>
      <c r="N296" t="s">
        <v>3733</v>
      </c>
      <c r="O296" t="s">
        <v>4209</v>
      </c>
      <c r="P296" t="s">
        <v>4241</v>
      </c>
      <c r="R296" t="s">
        <v>4258</v>
      </c>
      <c r="S296" t="s">
        <v>3611</v>
      </c>
      <c r="U296" t="s">
        <v>4268</v>
      </c>
      <c r="V296" t="s">
        <v>4279</v>
      </c>
      <c r="W296" t="s">
        <v>144</v>
      </c>
      <c r="X296">
        <v>1029.07</v>
      </c>
      <c r="Y296" t="s">
        <v>4351</v>
      </c>
      <c r="Z296" t="s">
        <v>4369</v>
      </c>
      <c r="AB296" t="s">
        <v>4647</v>
      </c>
      <c r="AE296">
        <v>65</v>
      </c>
      <c r="AF296" t="s">
        <v>7105</v>
      </c>
      <c r="AG296" t="s">
        <v>3745</v>
      </c>
      <c r="AH296">
        <v>21</v>
      </c>
      <c r="AI296">
        <v>2</v>
      </c>
      <c r="AJ296">
        <v>0</v>
      </c>
      <c r="AK296">
        <v>54.68</v>
      </c>
      <c r="AN296" t="s">
        <v>7138</v>
      </c>
      <c r="AO296">
        <v>9000</v>
      </c>
      <c r="AP296" t="s">
        <v>7170</v>
      </c>
      <c r="AU296">
        <v>19</v>
      </c>
      <c r="AV296" t="s">
        <v>175</v>
      </c>
      <c r="AW296" t="s">
        <v>7344</v>
      </c>
      <c r="AX296" t="s">
        <v>7377</v>
      </c>
    </row>
    <row r="297" spans="1:50">
      <c r="A297" s="1">
        <f>HYPERLINK("https://lsnyc.legalserver.org/matter/dynamic-profile/view/1878529","18-1878529")</f>
        <v>0</v>
      </c>
      <c r="B297" t="s">
        <v>57</v>
      </c>
      <c r="C297" t="s">
        <v>105</v>
      </c>
      <c r="D297" t="s">
        <v>311</v>
      </c>
      <c r="F297" t="s">
        <v>904</v>
      </c>
      <c r="G297" t="s">
        <v>1642</v>
      </c>
      <c r="H297" t="s">
        <v>2666</v>
      </c>
      <c r="I297">
        <v>65</v>
      </c>
      <c r="J297" t="s">
        <v>3604</v>
      </c>
      <c r="K297">
        <v>10029</v>
      </c>
      <c r="L297" t="s">
        <v>3610</v>
      </c>
      <c r="M297" t="s">
        <v>3610</v>
      </c>
      <c r="O297" t="s">
        <v>4212</v>
      </c>
      <c r="P297" t="s">
        <v>4243</v>
      </c>
      <c r="R297" t="s">
        <v>4258</v>
      </c>
      <c r="S297" t="s">
        <v>3611</v>
      </c>
      <c r="U297" t="s">
        <v>4270</v>
      </c>
      <c r="V297" t="s">
        <v>4274</v>
      </c>
      <c r="W297" t="s">
        <v>311</v>
      </c>
      <c r="X297">
        <v>1029.07</v>
      </c>
      <c r="Y297" t="s">
        <v>4351</v>
      </c>
      <c r="Z297" t="s">
        <v>4369</v>
      </c>
      <c r="AB297" t="s">
        <v>4647</v>
      </c>
      <c r="AE297">
        <v>65</v>
      </c>
      <c r="AF297" t="s">
        <v>7105</v>
      </c>
      <c r="AG297" t="s">
        <v>3745</v>
      </c>
      <c r="AH297">
        <v>21</v>
      </c>
      <c r="AI297">
        <v>2</v>
      </c>
      <c r="AJ297">
        <v>0</v>
      </c>
      <c r="AK297">
        <v>54.68</v>
      </c>
      <c r="AN297" t="s">
        <v>7138</v>
      </c>
      <c r="AO297">
        <v>9000</v>
      </c>
      <c r="AU297">
        <v>3.5</v>
      </c>
      <c r="AV297" t="s">
        <v>282</v>
      </c>
      <c r="AW297" t="s">
        <v>7341</v>
      </c>
    </row>
    <row r="298" spans="1:50">
      <c r="A298" s="1">
        <f>HYPERLINK("https://lsnyc.legalserver.org/matter/dynamic-profile/view/1899746","19-1899746")</f>
        <v>0</v>
      </c>
      <c r="B298" t="s">
        <v>56</v>
      </c>
      <c r="C298" t="s">
        <v>105</v>
      </c>
      <c r="D298" t="s">
        <v>285</v>
      </c>
      <c r="F298" t="s">
        <v>905</v>
      </c>
      <c r="G298" t="s">
        <v>1782</v>
      </c>
      <c r="H298" t="s">
        <v>2545</v>
      </c>
      <c r="I298" t="s">
        <v>3377</v>
      </c>
      <c r="J298" t="s">
        <v>3604</v>
      </c>
      <c r="K298">
        <v>10034</v>
      </c>
      <c r="L298" t="s">
        <v>3610</v>
      </c>
      <c r="M298" t="s">
        <v>3609</v>
      </c>
      <c r="O298" t="s">
        <v>4209</v>
      </c>
      <c r="P298" t="s">
        <v>4246</v>
      </c>
      <c r="R298" t="s">
        <v>4258</v>
      </c>
      <c r="S298" t="s">
        <v>3610</v>
      </c>
      <c r="U298" t="s">
        <v>4268</v>
      </c>
      <c r="W298" t="s">
        <v>285</v>
      </c>
      <c r="X298">
        <v>2200</v>
      </c>
      <c r="Y298" t="s">
        <v>4351</v>
      </c>
      <c r="Z298" t="s">
        <v>4357</v>
      </c>
      <c r="AB298" t="s">
        <v>4648</v>
      </c>
      <c r="AD298" t="s">
        <v>6059</v>
      </c>
      <c r="AE298">
        <v>44</v>
      </c>
      <c r="AF298" t="s">
        <v>7101</v>
      </c>
      <c r="AG298" t="s">
        <v>3745</v>
      </c>
      <c r="AH298">
        <v>2</v>
      </c>
      <c r="AI298">
        <v>2</v>
      </c>
      <c r="AJ298">
        <v>0</v>
      </c>
      <c r="AK298">
        <v>54.71</v>
      </c>
      <c r="AN298" t="s">
        <v>7138</v>
      </c>
      <c r="AO298">
        <v>9252</v>
      </c>
      <c r="AU298">
        <v>0.01</v>
      </c>
      <c r="AV298" t="s">
        <v>131</v>
      </c>
      <c r="AW298" t="s">
        <v>7342</v>
      </c>
      <c r="AX298" t="s">
        <v>7377</v>
      </c>
    </row>
    <row r="299" spans="1:50">
      <c r="A299" s="1">
        <f>HYPERLINK("https://lsnyc.legalserver.org/matter/dynamic-profile/view/1842018","17-1842018")</f>
        <v>0</v>
      </c>
      <c r="B299" t="s">
        <v>61</v>
      </c>
      <c r="C299" t="s">
        <v>105</v>
      </c>
      <c r="D299" t="s">
        <v>312</v>
      </c>
      <c r="F299" t="s">
        <v>906</v>
      </c>
      <c r="G299" t="s">
        <v>1783</v>
      </c>
      <c r="H299" t="s">
        <v>2667</v>
      </c>
      <c r="I299" t="s">
        <v>3378</v>
      </c>
      <c r="J299" t="s">
        <v>3604</v>
      </c>
      <c r="K299">
        <v>10009</v>
      </c>
      <c r="L299" t="s">
        <v>3609</v>
      </c>
      <c r="M299" t="s">
        <v>3609</v>
      </c>
      <c r="O299" t="s">
        <v>4211</v>
      </c>
      <c r="P299" t="s">
        <v>4242</v>
      </c>
      <c r="R299" t="s">
        <v>4257</v>
      </c>
      <c r="S299" t="s">
        <v>3611</v>
      </c>
      <c r="U299" t="s">
        <v>4269</v>
      </c>
      <c r="W299" t="s">
        <v>472</v>
      </c>
      <c r="X299">
        <v>0</v>
      </c>
      <c r="Y299" t="s">
        <v>4351</v>
      </c>
      <c r="Z299" t="s">
        <v>4355</v>
      </c>
      <c r="AB299" t="s">
        <v>4649</v>
      </c>
      <c r="AE299">
        <v>439</v>
      </c>
      <c r="AF299" t="s">
        <v>7102</v>
      </c>
      <c r="AH299">
        <v>0</v>
      </c>
      <c r="AI299">
        <v>1</v>
      </c>
      <c r="AJ299">
        <v>0</v>
      </c>
      <c r="AK299">
        <v>54.83</v>
      </c>
      <c r="AL299" t="s">
        <v>369</v>
      </c>
      <c r="AN299" t="s">
        <v>7144</v>
      </c>
      <c r="AO299">
        <v>6612</v>
      </c>
      <c r="AU299">
        <v>1.2</v>
      </c>
      <c r="AV299" t="s">
        <v>7306</v>
      </c>
      <c r="AW299" t="s">
        <v>102</v>
      </c>
    </row>
    <row r="300" spans="1:50">
      <c r="A300" s="1">
        <f>HYPERLINK("https://lsnyc.legalserver.org/matter/dynamic-profile/view/1836709","17-1836709")</f>
        <v>0</v>
      </c>
      <c r="B300" t="s">
        <v>63</v>
      </c>
      <c r="C300" t="s">
        <v>105</v>
      </c>
      <c r="D300" t="s">
        <v>313</v>
      </c>
      <c r="F300" t="s">
        <v>827</v>
      </c>
      <c r="G300" t="s">
        <v>1686</v>
      </c>
      <c r="H300" t="s">
        <v>2588</v>
      </c>
      <c r="I300">
        <v>45</v>
      </c>
      <c r="J300" t="s">
        <v>3604</v>
      </c>
      <c r="K300">
        <v>10034</v>
      </c>
      <c r="L300" t="s">
        <v>3610</v>
      </c>
      <c r="M300" t="s">
        <v>3609</v>
      </c>
      <c r="N300" t="s">
        <v>3734</v>
      </c>
      <c r="O300" t="s">
        <v>4213</v>
      </c>
      <c r="P300" t="s">
        <v>4241</v>
      </c>
      <c r="R300" t="s">
        <v>4258</v>
      </c>
      <c r="S300" t="s">
        <v>3611</v>
      </c>
      <c r="U300" t="s">
        <v>4268</v>
      </c>
      <c r="W300" t="s">
        <v>238</v>
      </c>
      <c r="X300">
        <v>152.03</v>
      </c>
      <c r="Y300" t="s">
        <v>4351</v>
      </c>
      <c r="Z300" t="s">
        <v>4354</v>
      </c>
      <c r="AB300" t="s">
        <v>4540</v>
      </c>
      <c r="AD300" t="s">
        <v>5966</v>
      </c>
      <c r="AE300">
        <v>52</v>
      </c>
      <c r="AF300" t="s">
        <v>7101</v>
      </c>
      <c r="AH300">
        <v>6</v>
      </c>
      <c r="AI300">
        <v>1</v>
      </c>
      <c r="AJ300">
        <v>1</v>
      </c>
      <c r="AK300">
        <v>54.9</v>
      </c>
      <c r="AN300" t="s">
        <v>7138</v>
      </c>
      <c r="AO300">
        <v>8916</v>
      </c>
      <c r="AU300">
        <v>49.2</v>
      </c>
      <c r="AV300" t="s">
        <v>637</v>
      </c>
      <c r="AW300" t="s">
        <v>63</v>
      </c>
    </row>
    <row r="301" spans="1:50">
      <c r="A301" s="1">
        <f>HYPERLINK("https://lsnyc.legalserver.org/matter/dynamic-profile/view/1863825","18-1863825")</f>
        <v>0</v>
      </c>
      <c r="B301" t="s">
        <v>53</v>
      </c>
      <c r="C301" t="s">
        <v>105</v>
      </c>
      <c r="D301" t="s">
        <v>160</v>
      </c>
      <c r="F301" t="s">
        <v>907</v>
      </c>
      <c r="G301" t="s">
        <v>1784</v>
      </c>
      <c r="H301" t="s">
        <v>2508</v>
      </c>
      <c r="I301">
        <v>807</v>
      </c>
      <c r="J301" t="s">
        <v>3604</v>
      </c>
      <c r="K301">
        <v>10029</v>
      </c>
      <c r="L301" t="s">
        <v>3610</v>
      </c>
      <c r="M301" t="s">
        <v>3610</v>
      </c>
      <c r="N301" t="s">
        <v>3642</v>
      </c>
      <c r="O301" t="s">
        <v>4213</v>
      </c>
      <c r="P301" t="s">
        <v>4241</v>
      </c>
      <c r="R301" t="s">
        <v>4258</v>
      </c>
      <c r="S301" t="s">
        <v>3610</v>
      </c>
      <c r="U301" t="s">
        <v>4268</v>
      </c>
      <c r="V301" t="s">
        <v>4274</v>
      </c>
      <c r="W301" t="s">
        <v>242</v>
      </c>
      <c r="X301">
        <v>0</v>
      </c>
      <c r="Y301" t="s">
        <v>4351</v>
      </c>
      <c r="Z301" t="s">
        <v>4352</v>
      </c>
      <c r="AB301" t="s">
        <v>4650</v>
      </c>
      <c r="AD301" t="s">
        <v>6060</v>
      </c>
      <c r="AE301">
        <v>108</v>
      </c>
      <c r="AF301" t="s">
        <v>7106</v>
      </c>
      <c r="AG301" t="s">
        <v>7116</v>
      </c>
      <c r="AH301">
        <v>24</v>
      </c>
      <c r="AI301">
        <v>2</v>
      </c>
      <c r="AJ301">
        <v>0</v>
      </c>
      <c r="AK301">
        <v>55.04</v>
      </c>
      <c r="AN301" t="s">
        <v>7138</v>
      </c>
      <c r="AO301">
        <v>9060</v>
      </c>
      <c r="AU301">
        <v>0.25</v>
      </c>
      <c r="AV301" t="s">
        <v>688</v>
      </c>
      <c r="AW301" t="s">
        <v>7341</v>
      </c>
    </row>
    <row r="302" spans="1:50">
      <c r="A302" s="1">
        <f>HYPERLINK("https://lsnyc.legalserver.org/matter/dynamic-profile/view/1883952","18-1883952")</f>
        <v>0</v>
      </c>
      <c r="B302" t="s">
        <v>61</v>
      </c>
      <c r="C302" t="s">
        <v>104</v>
      </c>
      <c r="D302" t="s">
        <v>213</v>
      </c>
      <c r="E302" t="s">
        <v>662</v>
      </c>
      <c r="F302" t="s">
        <v>784</v>
      </c>
      <c r="G302" t="s">
        <v>1658</v>
      </c>
      <c r="H302" t="s">
        <v>2544</v>
      </c>
      <c r="I302" t="s">
        <v>3329</v>
      </c>
      <c r="J302" t="s">
        <v>3604</v>
      </c>
      <c r="K302">
        <v>10034</v>
      </c>
      <c r="L302" t="s">
        <v>3610</v>
      </c>
      <c r="M302" t="s">
        <v>3610</v>
      </c>
      <c r="O302" t="s">
        <v>4217</v>
      </c>
      <c r="P302" t="s">
        <v>4245</v>
      </c>
      <c r="Q302" t="s">
        <v>4249</v>
      </c>
      <c r="R302" t="s">
        <v>4258</v>
      </c>
      <c r="S302" t="s">
        <v>3611</v>
      </c>
      <c r="U302" t="s">
        <v>4268</v>
      </c>
      <c r="W302" t="s">
        <v>213</v>
      </c>
      <c r="X302">
        <v>913.12</v>
      </c>
      <c r="Y302" t="s">
        <v>4351</v>
      </c>
      <c r="Z302" t="s">
        <v>4357</v>
      </c>
      <c r="AA302" t="s">
        <v>4377</v>
      </c>
      <c r="AB302" t="s">
        <v>4493</v>
      </c>
      <c r="AD302" t="s">
        <v>5922</v>
      </c>
      <c r="AE302">
        <v>69</v>
      </c>
      <c r="AF302" t="s">
        <v>7101</v>
      </c>
      <c r="AG302" t="s">
        <v>7118</v>
      </c>
      <c r="AH302">
        <v>44</v>
      </c>
      <c r="AI302">
        <v>1</v>
      </c>
      <c r="AJ302">
        <v>0</v>
      </c>
      <c r="AK302">
        <v>55.19</v>
      </c>
      <c r="AN302" t="s">
        <v>7138</v>
      </c>
      <c r="AO302">
        <v>6700</v>
      </c>
      <c r="AU302">
        <v>0.1</v>
      </c>
      <c r="AV302" t="s">
        <v>7307</v>
      </c>
      <c r="AW302" t="s">
        <v>7342</v>
      </c>
      <c r="AX302" t="s">
        <v>7377</v>
      </c>
    </row>
    <row r="303" spans="1:50">
      <c r="A303" s="1">
        <f>HYPERLINK("https://lsnyc.legalserver.org/matter/dynamic-profile/view/1863109","18-1863109")</f>
        <v>0</v>
      </c>
      <c r="B303" t="s">
        <v>61</v>
      </c>
      <c r="C303" t="s">
        <v>104</v>
      </c>
      <c r="D303" t="s">
        <v>314</v>
      </c>
      <c r="E303" t="s">
        <v>662</v>
      </c>
      <c r="F303" t="s">
        <v>784</v>
      </c>
      <c r="G303" t="s">
        <v>1658</v>
      </c>
      <c r="H303" t="s">
        <v>2544</v>
      </c>
      <c r="I303" t="s">
        <v>3379</v>
      </c>
      <c r="J303" t="s">
        <v>3604</v>
      </c>
      <c r="K303">
        <v>10034</v>
      </c>
      <c r="L303" t="s">
        <v>3610</v>
      </c>
      <c r="M303" t="s">
        <v>3609</v>
      </c>
      <c r="O303" t="s">
        <v>4219</v>
      </c>
      <c r="P303" t="s">
        <v>4244</v>
      </c>
      <c r="Q303" t="s">
        <v>4249</v>
      </c>
      <c r="R303" t="s">
        <v>4258</v>
      </c>
      <c r="S303" t="s">
        <v>3611</v>
      </c>
      <c r="U303" t="s">
        <v>4268</v>
      </c>
      <c r="W303" t="s">
        <v>314</v>
      </c>
      <c r="X303">
        <v>913.12</v>
      </c>
      <c r="Y303" t="s">
        <v>4351</v>
      </c>
      <c r="Z303" t="s">
        <v>4354</v>
      </c>
      <c r="AA303" t="s">
        <v>4377</v>
      </c>
      <c r="AB303" t="s">
        <v>4493</v>
      </c>
      <c r="AC303" t="s">
        <v>5791</v>
      </c>
      <c r="AD303" t="s">
        <v>5922</v>
      </c>
      <c r="AE303">
        <v>65</v>
      </c>
      <c r="AF303" t="s">
        <v>7101</v>
      </c>
      <c r="AG303" t="s">
        <v>3745</v>
      </c>
      <c r="AH303">
        <v>44</v>
      </c>
      <c r="AI303">
        <v>1</v>
      </c>
      <c r="AJ303">
        <v>0</v>
      </c>
      <c r="AK303">
        <v>55.19</v>
      </c>
      <c r="AN303" t="s">
        <v>7138</v>
      </c>
      <c r="AO303">
        <v>6700</v>
      </c>
      <c r="AU303">
        <v>7.1</v>
      </c>
      <c r="AV303" t="s">
        <v>549</v>
      </c>
      <c r="AW303" t="s">
        <v>7342</v>
      </c>
    </row>
    <row r="304" spans="1:50">
      <c r="A304" s="1">
        <f>HYPERLINK("https://lsnyc.legalserver.org/matter/dynamic-profile/view/1876434","18-1876434")</f>
        <v>0</v>
      </c>
      <c r="B304" t="s">
        <v>85</v>
      </c>
      <c r="C304" t="s">
        <v>105</v>
      </c>
      <c r="D304" t="s">
        <v>315</v>
      </c>
      <c r="F304" t="s">
        <v>894</v>
      </c>
      <c r="G304" t="s">
        <v>887</v>
      </c>
      <c r="H304" t="s">
        <v>2658</v>
      </c>
      <c r="I304">
        <v>30</v>
      </c>
      <c r="J304" t="s">
        <v>3604</v>
      </c>
      <c r="K304">
        <v>10026</v>
      </c>
      <c r="L304" t="s">
        <v>3610</v>
      </c>
      <c r="M304" t="s">
        <v>3610</v>
      </c>
      <c r="N304" t="s">
        <v>3735</v>
      </c>
      <c r="O304" t="s">
        <v>4209</v>
      </c>
      <c r="P304" t="s">
        <v>4246</v>
      </c>
      <c r="R304" t="s">
        <v>4258</v>
      </c>
      <c r="S304" t="s">
        <v>3611</v>
      </c>
      <c r="U304" t="s">
        <v>4268</v>
      </c>
      <c r="W304" t="s">
        <v>315</v>
      </c>
      <c r="X304">
        <v>580.51</v>
      </c>
      <c r="Y304" t="s">
        <v>4351</v>
      </c>
      <c r="Z304" t="s">
        <v>4352</v>
      </c>
      <c r="AB304" t="s">
        <v>4633</v>
      </c>
      <c r="AD304" t="s">
        <v>6046</v>
      </c>
      <c r="AE304">
        <v>32</v>
      </c>
      <c r="AF304" t="s">
        <v>7101</v>
      </c>
      <c r="AG304" t="s">
        <v>3745</v>
      </c>
      <c r="AH304">
        <v>36</v>
      </c>
      <c r="AI304">
        <v>2</v>
      </c>
      <c r="AJ304">
        <v>0</v>
      </c>
      <c r="AK304">
        <v>55.33</v>
      </c>
      <c r="AN304" t="s">
        <v>7138</v>
      </c>
      <c r="AO304">
        <v>9108</v>
      </c>
      <c r="AU304">
        <v>62.95</v>
      </c>
      <c r="AV304" t="s">
        <v>678</v>
      </c>
      <c r="AW304" t="s">
        <v>7341</v>
      </c>
    </row>
    <row r="305" spans="1:50">
      <c r="A305" s="1">
        <f>HYPERLINK("https://lsnyc.legalserver.org/matter/dynamic-profile/view/1878534","18-1878534")</f>
        <v>0</v>
      </c>
      <c r="B305" t="s">
        <v>85</v>
      </c>
      <c r="C305" t="s">
        <v>105</v>
      </c>
      <c r="D305" t="s">
        <v>311</v>
      </c>
      <c r="F305" t="s">
        <v>894</v>
      </c>
      <c r="G305" t="s">
        <v>887</v>
      </c>
      <c r="H305" t="s">
        <v>2658</v>
      </c>
      <c r="I305">
        <v>30</v>
      </c>
      <c r="J305" t="s">
        <v>3604</v>
      </c>
      <c r="K305">
        <v>10026</v>
      </c>
      <c r="L305" t="s">
        <v>3610</v>
      </c>
      <c r="M305" t="s">
        <v>3610</v>
      </c>
      <c r="O305" t="s">
        <v>4212</v>
      </c>
      <c r="P305" t="s">
        <v>4243</v>
      </c>
      <c r="R305" t="s">
        <v>4258</v>
      </c>
      <c r="S305" t="s">
        <v>3611</v>
      </c>
      <c r="U305" t="s">
        <v>4270</v>
      </c>
      <c r="V305" t="s">
        <v>4274</v>
      </c>
      <c r="W305" t="s">
        <v>311</v>
      </c>
      <c r="X305">
        <v>580.51</v>
      </c>
      <c r="Y305" t="s">
        <v>4351</v>
      </c>
      <c r="Z305" t="s">
        <v>4356</v>
      </c>
      <c r="AB305" t="s">
        <v>4633</v>
      </c>
      <c r="AD305" t="s">
        <v>6046</v>
      </c>
      <c r="AE305">
        <v>32</v>
      </c>
      <c r="AF305" t="s">
        <v>7101</v>
      </c>
      <c r="AH305">
        <v>36</v>
      </c>
      <c r="AI305">
        <v>2</v>
      </c>
      <c r="AJ305">
        <v>0</v>
      </c>
      <c r="AK305">
        <v>55.33</v>
      </c>
      <c r="AN305" t="s">
        <v>7138</v>
      </c>
      <c r="AO305">
        <v>9108</v>
      </c>
      <c r="AU305">
        <v>5.7</v>
      </c>
      <c r="AV305" t="s">
        <v>134</v>
      </c>
      <c r="AW305" t="s">
        <v>7341</v>
      </c>
    </row>
    <row r="306" spans="1:50">
      <c r="A306" s="1">
        <f>HYPERLINK("https://lsnyc.legalserver.org/matter/dynamic-profile/view/1847654","17-1847654")</f>
        <v>0</v>
      </c>
      <c r="B306" t="s">
        <v>64</v>
      </c>
      <c r="C306" t="s">
        <v>105</v>
      </c>
      <c r="D306" t="s">
        <v>284</v>
      </c>
      <c r="F306" t="s">
        <v>908</v>
      </c>
      <c r="G306" t="s">
        <v>1730</v>
      </c>
      <c r="H306" t="s">
        <v>2632</v>
      </c>
      <c r="I306" t="s">
        <v>3294</v>
      </c>
      <c r="J306" t="s">
        <v>3604</v>
      </c>
      <c r="K306">
        <v>10034</v>
      </c>
      <c r="L306" t="s">
        <v>3610</v>
      </c>
      <c r="M306" t="s">
        <v>3609</v>
      </c>
      <c r="O306" t="s">
        <v>4213</v>
      </c>
      <c r="P306" t="s">
        <v>4241</v>
      </c>
      <c r="R306" t="s">
        <v>4258</v>
      </c>
      <c r="S306" t="s">
        <v>3610</v>
      </c>
      <c r="U306" t="s">
        <v>4268</v>
      </c>
      <c r="W306" t="s">
        <v>609</v>
      </c>
      <c r="X306">
        <v>340</v>
      </c>
      <c r="Y306" t="s">
        <v>4351</v>
      </c>
      <c r="Z306" t="s">
        <v>4357</v>
      </c>
      <c r="AB306" t="s">
        <v>4651</v>
      </c>
      <c r="AD306" t="s">
        <v>6061</v>
      </c>
      <c r="AE306">
        <v>50</v>
      </c>
      <c r="AF306" t="s">
        <v>7101</v>
      </c>
      <c r="AG306" t="s">
        <v>3745</v>
      </c>
      <c r="AH306">
        <v>45</v>
      </c>
      <c r="AI306">
        <v>2</v>
      </c>
      <c r="AJ306">
        <v>0</v>
      </c>
      <c r="AK306">
        <v>55.42</v>
      </c>
      <c r="AN306" t="s">
        <v>7139</v>
      </c>
      <c r="AO306">
        <v>9000</v>
      </c>
      <c r="AU306">
        <v>0</v>
      </c>
      <c r="AW306" t="s">
        <v>7342</v>
      </c>
    </row>
    <row r="307" spans="1:50">
      <c r="A307" s="1">
        <f>HYPERLINK("https://lsnyc.legalserver.org/matter/dynamic-profile/view/1858227","18-1858227")</f>
        <v>0</v>
      </c>
      <c r="B307" t="s">
        <v>62</v>
      </c>
      <c r="C307" t="s">
        <v>105</v>
      </c>
      <c r="D307" t="s">
        <v>316</v>
      </c>
      <c r="F307" t="s">
        <v>719</v>
      </c>
      <c r="G307" t="s">
        <v>1785</v>
      </c>
      <c r="H307" t="s">
        <v>2668</v>
      </c>
      <c r="J307" t="s">
        <v>3604</v>
      </c>
      <c r="K307">
        <v>10034</v>
      </c>
      <c r="L307" t="s">
        <v>3610</v>
      </c>
      <c r="M307" t="s">
        <v>3609</v>
      </c>
      <c r="O307" t="s">
        <v>4211</v>
      </c>
      <c r="P307" t="s">
        <v>4244</v>
      </c>
      <c r="R307" t="s">
        <v>4258</v>
      </c>
      <c r="S307" t="s">
        <v>3611</v>
      </c>
      <c r="U307" t="s">
        <v>4268</v>
      </c>
      <c r="W307" t="s">
        <v>316</v>
      </c>
      <c r="X307">
        <v>1589.22</v>
      </c>
      <c r="Y307" t="s">
        <v>4351</v>
      </c>
      <c r="Z307" t="s">
        <v>4354</v>
      </c>
      <c r="AB307" t="s">
        <v>4652</v>
      </c>
      <c r="AE307">
        <v>20</v>
      </c>
      <c r="AF307" t="s">
        <v>7101</v>
      </c>
      <c r="AG307" t="s">
        <v>7116</v>
      </c>
      <c r="AH307">
        <v>15</v>
      </c>
      <c r="AI307">
        <v>1</v>
      </c>
      <c r="AJ307">
        <v>1</v>
      </c>
      <c r="AK307">
        <v>55.42</v>
      </c>
      <c r="AN307" t="s">
        <v>7139</v>
      </c>
      <c r="AO307">
        <v>9000</v>
      </c>
      <c r="AP307" t="s">
        <v>7171</v>
      </c>
      <c r="AU307">
        <v>31.35</v>
      </c>
      <c r="AV307" t="s">
        <v>396</v>
      </c>
      <c r="AW307" t="s">
        <v>7342</v>
      </c>
    </row>
    <row r="308" spans="1:50">
      <c r="A308" s="1">
        <f>HYPERLINK("https://lsnyc.legalserver.org/matter/dynamic-profile/view/1873840","18-1873840")</f>
        <v>0</v>
      </c>
      <c r="B308" t="s">
        <v>62</v>
      </c>
      <c r="C308" t="s">
        <v>105</v>
      </c>
      <c r="D308" t="s">
        <v>287</v>
      </c>
      <c r="F308" t="s">
        <v>909</v>
      </c>
      <c r="G308" t="s">
        <v>1754</v>
      </c>
      <c r="H308" t="s">
        <v>2488</v>
      </c>
      <c r="I308" t="s">
        <v>3380</v>
      </c>
      <c r="J308" t="s">
        <v>3604</v>
      </c>
      <c r="K308">
        <v>10033</v>
      </c>
      <c r="L308" t="s">
        <v>3610</v>
      </c>
      <c r="M308" t="s">
        <v>3610</v>
      </c>
      <c r="O308" t="s">
        <v>4213</v>
      </c>
      <c r="P308" t="s">
        <v>4245</v>
      </c>
      <c r="R308" t="s">
        <v>4258</v>
      </c>
      <c r="S308" t="s">
        <v>3610</v>
      </c>
      <c r="U308" t="s">
        <v>4268</v>
      </c>
      <c r="W308" t="s">
        <v>287</v>
      </c>
      <c r="X308">
        <v>1375.8</v>
      </c>
      <c r="Y308" t="s">
        <v>4351</v>
      </c>
      <c r="Z308" t="s">
        <v>4352</v>
      </c>
      <c r="AB308" t="s">
        <v>4653</v>
      </c>
      <c r="AD308" t="s">
        <v>6062</v>
      </c>
      <c r="AE308">
        <v>232</v>
      </c>
      <c r="AF308" t="s">
        <v>7101</v>
      </c>
      <c r="AG308" t="s">
        <v>3745</v>
      </c>
      <c r="AH308">
        <v>10</v>
      </c>
      <c r="AI308">
        <v>2</v>
      </c>
      <c r="AJ308">
        <v>0</v>
      </c>
      <c r="AK308">
        <v>55.55</v>
      </c>
      <c r="AN308" t="s">
        <v>7139</v>
      </c>
      <c r="AO308">
        <v>9144</v>
      </c>
      <c r="AU308">
        <v>0.9</v>
      </c>
      <c r="AV308" t="s">
        <v>285</v>
      </c>
      <c r="AW308" t="s">
        <v>7342</v>
      </c>
    </row>
    <row r="309" spans="1:50">
      <c r="A309" s="1">
        <f>HYPERLINK("https://lsnyc.legalserver.org/matter/dynamic-profile/view/1840374","17-1840374")</f>
        <v>0</v>
      </c>
      <c r="B309" t="s">
        <v>63</v>
      </c>
      <c r="C309" t="s">
        <v>104</v>
      </c>
      <c r="D309" t="s">
        <v>297</v>
      </c>
      <c r="E309" t="s">
        <v>561</v>
      </c>
      <c r="F309" t="s">
        <v>910</v>
      </c>
      <c r="G309" t="s">
        <v>1786</v>
      </c>
      <c r="H309" t="s">
        <v>2647</v>
      </c>
      <c r="I309">
        <v>32</v>
      </c>
      <c r="J309" t="s">
        <v>3604</v>
      </c>
      <c r="K309">
        <v>10033</v>
      </c>
      <c r="L309" t="s">
        <v>3610</v>
      </c>
      <c r="M309" t="s">
        <v>3609</v>
      </c>
      <c r="N309" t="s">
        <v>3736</v>
      </c>
      <c r="O309" t="s">
        <v>4225</v>
      </c>
      <c r="P309" t="s">
        <v>4241</v>
      </c>
      <c r="Q309" t="s">
        <v>4248</v>
      </c>
      <c r="R309" t="s">
        <v>4258</v>
      </c>
      <c r="S309" t="s">
        <v>3610</v>
      </c>
      <c r="U309" t="s">
        <v>4268</v>
      </c>
      <c r="W309" t="s">
        <v>133</v>
      </c>
      <c r="X309">
        <v>1108.2</v>
      </c>
      <c r="Y309" t="s">
        <v>4351</v>
      </c>
      <c r="Z309" t="s">
        <v>4354</v>
      </c>
      <c r="AA309" t="s">
        <v>4378</v>
      </c>
      <c r="AB309" t="s">
        <v>4654</v>
      </c>
      <c r="AD309" t="s">
        <v>6063</v>
      </c>
      <c r="AE309">
        <v>33</v>
      </c>
      <c r="AF309" t="s">
        <v>7101</v>
      </c>
      <c r="AG309" t="s">
        <v>7118</v>
      </c>
      <c r="AH309">
        <v>40</v>
      </c>
      <c r="AI309">
        <v>1</v>
      </c>
      <c r="AJ309">
        <v>0</v>
      </c>
      <c r="AK309">
        <v>55.72</v>
      </c>
      <c r="AL309" t="s">
        <v>7124</v>
      </c>
      <c r="AN309" t="s">
        <v>7139</v>
      </c>
      <c r="AO309">
        <v>6720</v>
      </c>
      <c r="AU309">
        <v>1.2</v>
      </c>
      <c r="AV309" t="s">
        <v>184</v>
      </c>
      <c r="AW309" t="s">
        <v>7342</v>
      </c>
    </row>
    <row r="310" spans="1:50">
      <c r="A310" s="1">
        <f>HYPERLINK("https://lsnyc.legalserver.org/matter/dynamic-profile/view/1864094","18-1864094")</f>
        <v>0</v>
      </c>
      <c r="B310" t="s">
        <v>53</v>
      </c>
      <c r="C310" t="s">
        <v>105</v>
      </c>
      <c r="D310" t="s">
        <v>161</v>
      </c>
      <c r="F310" t="s">
        <v>719</v>
      </c>
      <c r="G310" t="s">
        <v>1787</v>
      </c>
      <c r="H310" t="s">
        <v>2508</v>
      </c>
      <c r="I310">
        <v>206</v>
      </c>
      <c r="J310" t="s">
        <v>3604</v>
      </c>
      <c r="K310">
        <v>10029</v>
      </c>
      <c r="L310" t="s">
        <v>3610</v>
      </c>
      <c r="M310" t="s">
        <v>3610</v>
      </c>
      <c r="N310" t="s">
        <v>3642</v>
      </c>
      <c r="O310" t="s">
        <v>4213</v>
      </c>
      <c r="P310" t="s">
        <v>4241</v>
      </c>
      <c r="R310" t="s">
        <v>4258</v>
      </c>
      <c r="S310" t="s">
        <v>3610</v>
      </c>
      <c r="U310" t="s">
        <v>4268</v>
      </c>
      <c r="V310" t="s">
        <v>4274</v>
      </c>
      <c r="W310" t="s">
        <v>161</v>
      </c>
      <c r="X310">
        <v>0</v>
      </c>
      <c r="Y310" t="s">
        <v>4351</v>
      </c>
      <c r="Z310" t="s">
        <v>4352</v>
      </c>
      <c r="AB310" t="s">
        <v>4655</v>
      </c>
      <c r="AE310">
        <v>108</v>
      </c>
      <c r="AF310" t="s">
        <v>7106</v>
      </c>
      <c r="AG310" t="s">
        <v>7116</v>
      </c>
      <c r="AH310">
        <v>26</v>
      </c>
      <c r="AI310">
        <v>1</v>
      </c>
      <c r="AJ310">
        <v>1</v>
      </c>
      <c r="AK310">
        <v>55.77</v>
      </c>
      <c r="AN310" t="s">
        <v>7139</v>
      </c>
      <c r="AO310">
        <v>9180</v>
      </c>
      <c r="AU310">
        <v>0.5</v>
      </c>
      <c r="AV310" t="s">
        <v>688</v>
      </c>
      <c r="AW310" t="s">
        <v>7341</v>
      </c>
      <c r="AX310" t="s">
        <v>7377</v>
      </c>
    </row>
    <row r="311" spans="1:50">
      <c r="A311" s="1">
        <f>HYPERLINK("https://lsnyc.legalserver.org/matter/dynamic-profile/view/0830558","17-0830558")</f>
        <v>0</v>
      </c>
      <c r="B311" t="s">
        <v>61</v>
      </c>
      <c r="C311" t="s">
        <v>105</v>
      </c>
      <c r="D311" t="s">
        <v>317</v>
      </c>
      <c r="F311" t="s">
        <v>911</v>
      </c>
      <c r="G311" t="s">
        <v>1788</v>
      </c>
      <c r="H311" t="s">
        <v>2669</v>
      </c>
      <c r="I311">
        <v>36</v>
      </c>
      <c r="J311" t="s">
        <v>3604</v>
      </c>
      <c r="K311">
        <v>10034</v>
      </c>
      <c r="L311" t="s">
        <v>3611</v>
      </c>
      <c r="M311" t="s">
        <v>3610</v>
      </c>
      <c r="O311" t="s">
        <v>4213</v>
      </c>
      <c r="P311" t="s">
        <v>4245</v>
      </c>
      <c r="R311" t="s">
        <v>4258</v>
      </c>
      <c r="S311" t="s">
        <v>3611</v>
      </c>
      <c r="U311" t="s">
        <v>4268</v>
      </c>
      <c r="X311">
        <v>1300</v>
      </c>
      <c r="Y311" t="s">
        <v>4351</v>
      </c>
      <c r="Z311" t="s">
        <v>4357</v>
      </c>
      <c r="AB311" t="s">
        <v>4656</v>
      </c>
      <c r="AD311" t="s">
        <v>6064</v>
      </c>
      <c r="AE311">
        <v>30</v>
      </c>
      <c r="AF311" t="s">
        <v>7101</v>
      </c>
      <c r="AG311" t="s">
        <v>7116</v>
      </c>
      <c r="AH311">
        <v>41</v>
      </c>
      <c r="AI311">
        <v>2</v>
      </c>
      <c r="AJ311">
        <v>0</v>
      </c>
      <c r="AK311">
        <v>56.08</v>
      </c>
      <c r="AN311" t="s">
        <v>7139</v>
      </c>
      <c r="AO311">
        <v>9108</v>
      </c>
      <c r="AU311">
        <v>1.9</v>
      </c>
      <c r="AV311" t="s">
        <v>410</v>
      </c>
      <c r="AW311" t="s">
        <v>7341</v>
      </c>
      <c r="AX311" t="s">
        <v>7377</v>
      </c>
    </row>
    <row r="312" spans="1:50">
      <c r="A312" s="1">
        <f>HYPERLINK("https://lsnyc.legalserver.org/matter/dynamic-profile/view/1898369","19-1898369")</f>
        <v>0</v>
      </c>
      <c r="B312" t="s">
        <v>52</v>
      </c>
      <c r="C312" t="s">
        <v>105</v>
      </c>
      <c r="D312" t="s">
        <v>156</v>
      </c>
      <c r="F312" t="s">
        <v>912</v>
      </c>
      <c r="G312" t="s">
        <v>1789</v>
      </c>
      <c r="H312" t="s">
        <v>2670</v>
      </c>
      <c r="I312">
        <v>67</v>
      </c>
      <c r="J312" t="s">
        <v>3604</v>
      </c>
      <c r="K312">
        <v>10032</v>
      </c>
      <c r="L312" t="s">
        <v>3610</v>
      </c>
      <c r="M312" t="s">
        <v>3610</v>
      </c>
      <c r="O312" t="s">
        <v>4219</v>
      </c>
      <c r="P312" t="s">
        <v>4245</v>
      </c>
      <c r="R312" t="s">
        <v>4258</v>
      </c>
      <c r="S312" t="s">
        <v>3611</v>
      </c>
      <c r="U312" t="s">
        <v>4268</v>
      </c>
      <c r="W312" t="s">
        <v>156</v>
      </c>
      <c r="X312">
        <v>1550</v>
      </c>
      <c r="Y312" t="s">
        <v>4351</v>
      </c>
      <c r="Z312" t="s">
        <v>4354</v>
      </c>
      <c r="AB312" t="s">
        <v>4657</v>
      </c>
      <c r="AD312" t="s">
        <v>6065</v>
      </c>
      <c r="AE312">
        <v>55</v>
      </c>
      <c r="AF312" t="s">
        <v>7101</v>
      </c>
      <c r="AG312" t="s">
        <v>7121</v>
      </c>
      <c r="AH312">
        <v>7</v>
      </c>
      <c r="AI312">
        <v>2</v>
      </c>
      <c r="AJ312">
        <v>0</v>
      </c>
      <c r="AK312">
        <v>56.35</v>
      </c>
      <c r="AN312" t="s">
        <v>7139</v>
      </c>
      <c r="AO312">
        <v>9528</v>
      </c>
      <c r="AU312">
        <v>1.8</v>
      </c>
      <c r="AV312" t="s">
        <v>330</v>
      </c>
      <c r="AW312" t="s">
        <v>7342</v>
      </c>
    </row>
    <row r="313" spans="1:50">
      <c r="A313" s="1">
        <f>HYPERLINK("https://lsnyc.legalserver.org/matter/dynamic-profile/view/1894538","19-1894538")</f>
        <v>0</v>
      </c>
      <c r="B313" t="s">
        <v>70</v>
      </c>
      <c r="C313" t="s">
        <v>104</v>
      </c>
      <c r="D313" t="s">
        <v>318</v>
      </c>
      <c r="E313" t="s">
        <v>390</v>
      </c>
      <c r="F313" t="s">
        <v>904</v>
      </c>
      <c r="G313" t="s">
        <v>1642</v>
      </c>
      <c r="H313" t="s">
        <v>2666</v>
      </c>
      <c r="I313">
        <v>65</v>
      </c>
      <c r="J313" t="s">
        <v>3604</v>
      </c>
      <c r="K313">
        <v>10029</v>
      </c>
      <c r="L313" t="s">
        <v>3610</v>
      </c>
      <c r="M313" t="s">
        <v>3610</v>
      </c>
      <c r="N313" t="s">
        <v>3737</v>
      </c>
      <c r="O313" t="s">
        <v>4210</v>
      </c>
      <c r="P313" t="s">
        <v>4245</v>
      </c>
      <c r="Q313" t="s">
        <v>4250</v>
      </c>
      <c r="R313" t="s">
        <v>4258</v>
      </c>
      <c r="S313" t="s">
        <v>3611</v>
      </c>
      <c r="U313" t="s">
        <v>4268</v>
      </c>
      <c r="V313" t="s">
        <v>4274</v>
      </c>
      <c r="W313" t="s">
        <v>318</v>
      </c>
      <c r="X313">
        <v>1029.77</v>
      </c>
      <c r="Y313" t="s">
        <v>4351</v>
      </c>
      <c r="Z313" t="s">
        <v>4357</v>
      </c>
      <c r="AA313" t="s">
        <v>4373</v>
      </c>
      <c r="AB313" t="s">
        <v>4647</v>
      </c>
      <c r="AD313" t="s">
        <v>6066</v>
      </c>
      <c r="AE313">
        <v>30</v>
      </c>
      <c r="AF313" t="s">
        <v>7101</v>
      </c>
      <c r="AG313" t="s">
        <v>3745</v>
      </c>
      <c r="AH313">
        <v>22</v>
      </c>
      <c r="AI313">
        <v>2</v>
      </c>
      <c r="AJ313">
        <v>0</v>
      </c>
      <c r="AK313">
        <v>56.35</v>
      </c>
      <c r="AN313" t="s">
        <v>7138</v>
      </c>
      <c r="AO313">
        <v>9528</v>
      </c>
      <c r="AR313" t="s">
        <v>4228</v>
      </c>
      <c r="AU313">
        <v>4.35</v>
      </c>
      <c r="AV313" t="s">
        <v>261</v>
      </c>
      <c r="AW313" t="s">
        <v>7341</v>
      </c>
    </row>
    <row r="314" spans="1:50">
      <c r="A314" s="1">
        <f>HYPERLINK("https://lsnyc.legalserver.org/matter/dynamic-profile/view/1897224","19-1897224")</f>
        <v>0</v>
      </c>
      <c r="B314" t="s">
        <v>64</v>
      </c>
      <c r="C314" t="s">
        <v>105</v>
      </c>
      <c r="D314" t="s">
        <v>319</v>
      </c>
      <c r="F314" t="s">
        <v>853</v>
      </c>
      <c r="G314" t="s">
        <v>1790</v>
      </c>
      <c r="H314" t="s">
        <v>2671</v>
      </c>
      <c r="I314">
        <v>31</v>
      </c>
      <c r="J314" t="s">
        <v>3604</v>
      </c>
      <c r="K314">
        <v>10034</v>
      </c>
      <c r="L314" t="s">
        <v>3610</v>
      </c>
      <c r="M314" t="s">
        <v>3610</v>
      </c>
      <c r="O314" t="s">
        <v>4213</v>
      </c>
      <c r="P314" t="s">
        <v>4242</v>
      </c>
      <c r="R314" t="s">
        <v>4258</v>
      </c>
      <c r="S314" t="s">
        <v>3610</v>
      </c>
      <c r="U314" t="s">
        <v>4268</v>
      </c>
      <c r="W314" t="s">
        <v>319</v>
      </c>
      <c r="X314">
        <v>865.1799999999999</v>
      </c>
      <c r="Y314" t="s">
        <v>4351</v>
      </c>
      <c r="Z314" t="s">
        <v>4354</v>
      </c>
      <c r="AB314" t="s">
        <v>4658</v>
      </c>
      <c r="AD314" t="s">
        <v>6067</v>
      </c>
      <c r="AE314">
        <v>20</v>
      </c>
      <c r="AF314" t="s">
        <v>7101</v>
      </c>
      <c r="AG314" t="s">
        <v>3745</v>
      </c>
      <c r="AH314">
        <v>28</v>
      </c>
      <c r="AI314">
        <v>1</v>
      </c>
      <c r="AJ314">
        <v>0</v>
      </c>
      <c r="AK314">
        <v>56.4</v>
      </c>
      <c r="AN314" t="s">
        <v>7139</v>
      </c>
      <c r="AO314">
        <v>7044</v>
      </c>
      <c r="AU314">
        <v>0</v>
      </c>
      <c r="AW314" t="s">
        <v>7342</v>
      </c>
    </row>
    <row r="315" spans="1:50">
      <c r="A315" s="1">
        <f>HYPERLINK("https://lsnyc.legalserver.org/matter/dynamic-profile/view/1870456","18-1870456")</f>
        <v>0</v>
      </c>
      <c r="B315" t="s">
        <v>63</v>
      </c>
      <c r="C315" t="s">
        <v>104</v>
      </c>
      <c r="D315" t="s">
        <v>141</v>
      </c>
      <c r="E315" t="s">
        <v>377</v>
      </c>
      <c r="F315" t="s">
        <v>801</v>
      </c>
      <c r="G315" t="s">
        <v>1753</v>
      </c>
      <c r="H315" t="s">
        <v>2494</v>
      </c>
      <c r="I315" t="s">
        <v>3314</v>
      </c>
      <c r="J315" t="s">
        <v>3604</v>
      </c>
      <c r="K315">
        <v>10032</v>
      </c>
      <c r="L315" t="s">
        <v>3610</v>
      </c>
      <c r="M315" t="s">
        <v>3609</v>
      </c>
      <c r="O315" t="s">
        <v>4220</v>
      </c>
      <c r="P315" t="s">
        <v>4245</v>
      </c>
      <c r="Q315" t="s">
        <v>4250</v>
      </c>
      <c r="R315" t="s">
        <v>4258</v>
      </c>
      <c r="S315" t="s">
        <v>3610</v>
      </c>
      <c r="U315" t="s">
        <v>4268</v>
      </c>
      <c r="W315" t="s">
        <v>4284</v>
      </c>
      <c r="X315">
        <v>0</v>
      </c>
      <c r="Y315" t="s">
        <v>4351</v>
      </c>
      <c r="Z315" t="s">
        <v>4354</v>
      </c>
      <c r="AA315" t="s">
        <v>4378</v>
      </c>
      <c r="AB315" t="s">
        <v>4659</v>
      </c>
      <c r="AE315">
        <v>49</v>
      </c>
      <c r="AF315" t="s">
        <v>7101</v>
      </c>
      <c r="AG315" t="s">
        <v>3745</v>
      </c>
      <c r="AH315">
        <v>20</v>
      </c>
      <c r="AI315">
        <v>1</v>
      </c>
      <c r="AJ315">
        <v>1</v>
      </c>
      <c r="AK315">
        <v>56.57</v>
      </c>
      <c r="AN315" t="s">
        <v>7139</v>
      </c>
      <c r="AO315">
        <v>9312</v>
      </c>
      <c r="AU315">
        <v>0</v>
      </c>
      <c r="AV315" t="s">
        <v>274</v>
      </c>
      <c r="AW315" t="s">
        <v>7342</v>
      </c>
    </row>
    <row r="316" spans="1:50">
      <c r="A316" s="1">
        <f>HYPERLINK("https://lsnyc.legalserver.org/matter/dynamic-profile/view/1870447","18-1870447")</f>
        <v>0</v>
      </c>
      <c r="B316" t="s">
        <v>63</v>
      </c>
      <c r="C316" t="s">
        <v>104</v>
      </c>
      <c r="D316" t="s">
        <v>141</v>
      </c>
      <c r="E316" t="s">
        <v>377</v>
      </c>
      <c r="F316" t="s">
        <v>801</v>
      </c>
      <c r="G316" t="s">
        <v>1753</v>
      </c>
      <c r="H316" t="s">
        <v>2494</v>
      </c>
      <c r="I316" t="s">
        <v>3314</v>
      </c>
      <c r="J316" t="s">
        <v>3604</v>
      </c>
      <c r="K316">
        <v>10032</v>
      </c>
      <c r="L316" t="s">
        <v>3610</v>
      </c>
      <c r="M316" t="s">
        <v>3609</v>
      </c>
      <c r="O316" t="s">
        <v>4219</v>
      </c>
      <c r="P316" t="s">
        <v>4242</v>
      </c>
      <c r="Q316" t="s">
        <v>4250</v>
      </c>
      <c r="R316" t="s">
        <v>4258</v>
      </c>
      <c r="S316" t="s">
        <v>3610</v>
      </c>
      <c r="U316" t="s">
        <v>4268</v>
      </c>
      <c r="W316" t="s">
        <v>4284</v>
      </c>
      <c r="X316">
        <v>0</v>
      </c>
      <c r="Y316" t="s">
        <v>4351</v>
      </c>
      <c r="Z316" t="s">
        <v>4354</v>
      </c>
      <c r="AA316" t="s">
        <v>4379</v>
      </c>
      <c r="AB316" t="s">
        <v>4659</v>
      </c>
      <c r="AE316">
        <v>49</v>
      </c>
      <c r="AG316" t="s">
        <v>3745</v>
      </c>
      <c r="AH316">
        <v>20</v>
      </c>
      <c r="AI316">
        <v>1</v>
      </c>
      <c r="AJ316">
        <v>1</v>
      </c>
      <c r="AK316">
        <v>56.57</v>
      </c>
      <c r="AN316" t="s">
        <v>7139</v>
      </c>
      <c r="AO316">
        <v>9312</v>
      </c>
      <c r="AU316">
        <v>0</v>
      </c>
      <c r="AV316" t="s">
        <v>552</v>
      </c>
      <c r="AW316" t="s">
        <v>7342</v>
      </c>
    </row>
    <row r="317" spans="1:50">
      <c r="A317" s="1">
        <f>HYPERLINK("https://lsnyc.legalserver.org/matter/dynamic-profile/view/1889641","19-1889641")</f>
        <v>0</v>
      </c>
      <c r="B317" t="s">
        <v>66</v>
      </c>
      <c r="C317" t="s">
        <v>105</v>
      </c>
      <c r="D317" t="s">
        <v>320</v>
      </c>
      <c r="F317" t="s">
        <v>913</v>
      </c>
      <c r="G317" t="s">
        <v>1791</v>
      </c>
      <c r="H317" t="s">
        <v>2672</v>
      </c>
      <c r="I317" t="s">
        <v>3338</v>
      </c>
      <c r="J317" t="s">
        <v>3607</v>
      </c>
      <c r="K317">
        <v>10030</v>
      </c>
      <c r="L317" t="s">
        <v>3611</v>
      </c>
      <c r="M317" t="s">
        <v>3611</v>
      </c>
      <c r="O317" t="s">
        <v>4211</v>
      </c>
      <c r="P317" t="s">
        <v>4246</v>
      </c>
      <c r="R317" t="s">
        <v>4258</v>
      </c>
      <c r="U317" t="s">
        <v>4268</v>
      </c>
      <c r="X317">
        <v>697.34</v>
      </c>
      <c r="Y317" t="s">
        <v>4351</v>
      </c>
      <c r="Z317" t="s">
        <v>4357</v>
      </c>
      <c r="AB317" t="s">
        <v>4660</v>
      </c>
      <c r="AD317" t="s">
        <v>6068</v>
      </c>
      <c r="AE317">
        <v>0</v>
      </c>
      <c r="AF317" t="s">
        <v>7101</v>
      </c>
      <c r="AG317" t="s">
        <v>3745</v>
      </c>
      <c r="AH317">
        <v>20</v>
      </c>
      <c r="AI317">
        <v>1</v>
      </c>
      <c r="AJ317">
        <v>4</v>
      </c>
      <c r="AK317">
        <v>56.99</v>
      </c>
      <c r="AN317" t="s">
        <v>7138</v>
      </c>
      <c r="AO317">
        <v>17193.42</v>
      </c>
      <c r="AS317" t="s">
        <v>7231</v>
      </c>
      <c r="AT317" t="s">
        <v>7249</v>
      </c>
      <c r="AU317">
        <v>4.9</v>
      </c>
      <c r="AV317" t="s">
        <v>477</v>
      </c>
      <c r="AW317" t="s">
        <v>7344</v>
      </c>
    </row>
    <row r="318" spans="1:50">
      <c r="A318" s="1">
        <f>HYPERLINK("https://lsnyc.legalserver.org/matter/dynamic-profile/view/1889077","19-1889077")</f>
        <v>0</v>
      </c>
      <c r="B318" t="s">
        <v>52</v>
      </c>
      <c r="C318" t="s">
        <v>104</v>
      </c>
      <c r="D318" t="s">
        <v>145</v>
      </c>
      <c r="E318" t="s">
        <v>214</v>
      </c>
      <c r="F318" t="s">
        <v>914</v>
      </c>
      <c r="G318" t="s">
        <v>1792</v>
      </c>
      <c r="H318" t="s">
        <v>2673</v>
      </c>
      <c r="I318">
        <v>32</v>
      </c>
      <c r="J318" t="s">
        <v>3604</v>
      </c>
      <c r="K318">
        <v>10033</v>
      </c>
      <c r="L318" t="s">
        <v>3610</v>
      </c>
      <c r="M318" t="s">
        <v>3610</v>
      </c>
      <c r="N318" t="s">
        <v>3738</v>
      </c>
      <c r="O318" t="s">
        <v>4209</v>
      </c>
      <c r="P318" t="s">
        <v>4242</v>
      </c>
      <c r="Q318" t="s">
        <v>4250</v>
      </c>
      <c r="R318" t="s">
        <v>4258</v>
      </c>
      <c r="S318" t="s">
        <v>3611</v>
      </c>
      <c r="U318" t="s">
        <v>4268</v>
      </c>
      <c r="W318" t="s">
        <v>145</v>
      </c>
      <c r="X318">
        <v>1486.14</v>
      </c>
      <c r="Y318" t="s">
        <v>4351</v>
      </c>
      <c r="Z318" t="s">
        <v>4354</v>
      </c>
      <c r="AA318" t="s">
        <v>4373</v>
      </c>
      <c r="AB318" t="s">
        <v>4661</v>
      </c>
      <c r="AD318" t="s">
        <v>6069</v>
      </c>
      <c r="AE318">
        <v>30</v>
      </c>
      <c r="AF318" t="s">
        <v>7101</v>
      </c>
      <c r="AG318" t="s">
        <v>3745</v>
      </c>
      <c r="AH318">
        <v>2</v>
      </c>
      <c r="AI318">
        <v>1</v>
      </c>
      <c r="AJ318">
        <v>1</v>
      </c>
      <c r="AK318">
        <v>57.34</v>
      </c>
      <c r="AN318" t="s">
        <v>7139</v>
      </c>
      <c r="AO318">
        <v>9696</v>
      </c>
      <c r="AU318">
        <v>4.5</v>
      </c>
      <c r="AV318" t="s">
        <v>7291</v>
      </c>
      <c r="AW318" t="s">
        <v>7342</v>
      </c>
    </row>
    <row r="319" spans="1:50">
      <c r="A319" s="1">
        <f>HYPERLINK("https://lsnyc.legalserver.org/matter/dynamic-profile/view/1872431","18-1872431")</f>
        <v>0</v>
      </c>
      <c r="B319" t="s">
        <v>56</v>
      </c>
      <c r="C319" t="s">
        <v>104</v>
      </c>
      <c r="D319" t="s">
        <v>137</v>
      </c>
      <c r="E319" t="s">
        <v>670</v>
      </c>
      <c r="F319" t="s">
        <v>790</v>
      </c>
      <c r="G319" t="s">
        <v>1793</v>
      </c>
      <c r="H319" t="s">
        <v>2674</v>
      </c>
      <c r="J319" t="s">
        <v>3606</v>
      </c>
      <c r="K319">
        <v>11214</v>
      </c>
      <c r="L319" t="s">
        <v>3610</v>
      </c>
      <c r="M319" t="s">
        <v>3610</v>
      </c>
      <c r="O319" t="s">
        <v>4219</v>
      </c>
      <c r="P319" t="s">
        <v>4245</v>
      </c>
      <c r="Q319" t="s">
        <v>4250</v>
      </c>
      <c r="R319" t="s">
        <v>4258</v>
      </c>
      <c r="S319" t="s">
        <v>3611</v>
      </c>
      <c r="U319" t="s">
        <v>4268</v>
      </c>
      <c r="W319" t="s">
        <v>137</v>
      </c>
      <c r="X319">
        <v>0</v>
      </c>
      <c r="Y319" t="s">
        <v>4351</v>
      </c>
      <c r="Z319" t="s">
        <v>4352</v>
      </c>
      <c r="AA319" t="s">
        <v>4373</v>
      </c>
      <c r="AB319" t="s">
        <v>4662</v>
      </c>
      <c r="AD319" t="s">
        <v>6070</v>
      </c>
      <c r="AE319">
        <v>3</v>
      </c>
      <c r="AF319" t="s">
        <v>7101</v>
      </c>
      <c r="AG319" t="s">
        <v>3745</v>
      </c>
      <c r="AH319">
        <v>6</v>
      </c>
      <c r="AI319">
        <v>3</v>
      </c>
      <c r="AJ319">
        <v>1</v>
      </c>
      <c r="AK319">
        <v>57.37</v>
      </c>
      <c r="AN319" t="s">
        <v>7138</v>
      </c>
      <c r="AO319">
        <v>14400</v>
      </c>
      <c r="AU319">
        <v>0.3</v>
      </c>
      <c r="AV319" t="s">
        <v>670</v>
      </c>
      <c r="AW319" t="s">
        <v>7342</v>
      </c>
    </row>
    <row r="320" spans="1:50">
      <c r="A320" s="1">
        <f>HYPERLINK("https://lsnyc.legalserver.org/matter/dynamic-profile/view/1894735","19-1894735")</f>
        <v>0</v>
      </c>
      <c r="B320" t="s">
        <v>74</v>
      </c>
      <c r="C320" t="s">
        <v>105</v>
      </c>
      <c r="D320" t="s">
        <v>321</v>
      </c>
      <c r="F320" t="s">
        <v>915</v>
      </c>
      <c r="G320" t="s">
        <v>1794</v>
      </c>
      <c r="H320" t="s">
        <v>2675</v>
      </c>
      <c r="J320" t="s">
        <v>3606</v>
      </c>
      <c r="K320">
        <v>11209</v>
      </c>
      <c r="L320" t="s">
        <v>3610</v>
      </c>
      <c r="M320" t="s">
        <v>3610</v>
      </c>
      <c r="O320" t="s">
        <v>4211</v>
      </c>
      <c r="P320" t="s">
        <v>4246</v>
      </c>
      <c r="R320" t="s">
        <v>4258</v>
      </c>
      <c r="S320" t="s">
        <v>3611</v>
      </c>
      <c r="U320" t="s">
        <v>4268</v>
      </c>
      <c r="X320">
        <v>0</v>
      </c>
      <c r="Y320" t="s">
        <v>4351</v>
      </c>
      <c r="Z320" t="s">
        <v>4352</v>
      </c>
      <c r="AB320" t="s">
        <v>4663</v>
      </c>
      <c r="AE320">
        <v>0</v>
      </c>
      <c r="AF320" t="s">
        <v>7105</v>
      </c>
      <c r="AG320" t="s">
        <v>3745</v>
      </c>
      <c r="AH320">
        <v>0</v>
      </c>
      <c r="AI320">
        <v>1</v>
      </c>
      <c r="AJ320">
        <v>0</v>
      </c>
      <c r="AK320">
        <v>57.65</v>
      </c>
      <c r="AN320" t="s">
        <v>7144</v>
      </c>
      <c r="AO320">
        <v>7200</v>
      </c>
      <c r="AU320">
        <v>0.7</v>
      </c>
      <c r="AV320" t="s">
        <v>7287</v>
      </c>
      <c r="AW320" t="s">
        <v>7344</v>
      </c>
    </row>
    <row r="321" spans="1:50">
      <c r="A321" s="1">
        <f>HYPERLINK("https://lsnyc.legalserver.org/matter/dynamic-profile/view/1854287","17-1854287")</f>
        <v>0</v>
      </c>
      <c r="B321" t="s">
        <v>67</v>
      </c>
      <c r="C321" t="s">
        <v>104</v>
      </c>
      <c r="D321" t="s">
        <v>322</v>
      </c>
      <c r="E321" t="s">
        <v>642</v>
      </c>
      <c r="F321" t="s">
        <v>916</v>
      </c>
      <c r="G321" t="s">
        <v>1749</v>
      </c>
      <c r="H321" t="s">
        <v>2676</v>
      </c>
      <c r="I321" t="s">
        <v>3304</v>
      </c>
      <c r="J321" t="s">
        <v>3604</v>
      </c>
      <c r="K321">
        <v>10035</v>
      </c>
      <c r="L321" t="s">
        <v>3610</v>
      </c>
      <c r="M321" t="s">
        <v>3610</v>
      </c>
      <c r="O321" t="s">
        <v>4211</v>
      </c>
      <c r="P321" t="s">
        <v>4245</v>
      </c>
      <c r="Q321" t="s">
        <v>4249</v>
      </c>
      <c r="R321" t="s">
        <v>4258</v>
      </c>
      <c r="S321" t="s">
        <v>3611</v>
      </c>
      <c r="U321" t="s">
        <v>4268</v>
      </c>
      <c r="V321" t="s">
        <v>4274</v>
      </c>
      <c r="W321" t="s">
        <v>322</v>
      </c>
      <c r="X321">
        <v>395</v>
      </c>
      <c r="Y321" t="s">
        <v>4351</v>
      </c>
      <c r="Z321" t="s">
        <v>4357</v>
      </c>
      <c r="AA321" t="s">
        <v>4374</v>
      </c>
      <c r="AB321" t="s">
        <v>4664</v>
      </c>
      <c r="AD321" t="s">
        <v>6071</v>
      </c>
      <c r="AE321">
        <v>6</v>
      </c>
      <c r="AF321" t="s">
        <v>7101</v>
      </c>
      <c r="AG321" t="s">
        <v>3745</v>
      </c>
      <c r="AH321">
        <v>11</v>
      </c>
      <c r="AI321">
        <v>1</v>
      </c>
      <c r="AJ321">
        <v>2</v>
      </c>
      <c r="AK321">
        <v>58</v>
      </c>
      <c r="AN321" t="s">
        <v>7138</v>
      </c>
      <c r="AO321">
        <v>11844</v>
      </c>
      <c r="AU321">
        <v>1</v>
      </c>
      <c r="AV321" t="s">
        <v>209</v>
      </c>
      <c r="AW321" t="s">
        <v>7341</v>
      </c>
    </row>
    <row r="322" spans="1:50">
      <c r="A322" s="1">
        <f>HYPERLINK("https://lsnyc.legalserver.org/matter/dynamic-profile/view/0819522","16-0819522")</f>
        <v>0</v>
      </c>
      <c r="B322" t="s">
        <v>51</v>
      </c>
      <c r="C322" t="s">
        <v>104</v>
      </c>
      <c r="D322" t="s">
        <v>323</v>
      </c>
      <c r="E322" t="s">
        <v>293</v>
      </c>
      <c r="F322" t="s">
        <v>917</v>
      </c>
      <c r="G322" t="s">
        <v>1795</v>
      </c>
      <c r="H322" t="s">
        <v>2677</v>
      </c>
      <c r="I322" t="s">
        <v>3381</v>
      </c>
      <c r="J322" t="s">
        <v>3604</v>
      </c>
      <c r="K322">
        <v>10029</v>
      </c>
      <c r="L322" t="s">
        <v>3610</v>
      </c>
      <c r="M322" t="s">
        <v>3610</v>
      </c>
      <c r="O322" t="s">
        <v>4211</v>
      </c>
      <c r="P322" t="s">
        <v>4242</v>
      </c>
      <c r="Q322" t="s">
        <v>4250</v>
      </c>
      <c r="R322" t="s">
        <v>4258</v>
      </c>
      <c r="S322" t="s">
        <v>3611</v>
      </c>
      <c r="U322" t="s">
        <v>4268</v>
      </c>
      <c r="V322" t="s">
        <v>4274</v>
      </c>
      <c r="W322" t="s">
        <v>323</v>
      </c>
      <c r="X322">
        <v>336.49</v>
      </c>
      <c r="Y322" t="s">
        <v>4351</v>
      </c>
      <c r="Z322" t="s">
        <v>4354</v>
      </c>
      <c r="AA322" t="s">
        <v>4373</v>
      </c>
      <c r="AB322" t="s">
        <v>4665</v>
      </c>
      <c r="AE322">
        <v>10</v>
      </c>
      <c r="AF322" t="s">
        <v>7101</v>
      </c>
      <c r="AG322" t="s">
        <v>3745</v>
      </c>
      <c r="AH322">
        <v>3</v>
      </c>
      <c r="AI322">
        <v>1</v>
      </c>
      <c r="AJ322">
        <v>1</v>
      </c>
      <c r="AK322">
        <v>58.05</v>
      </c>
      <c r="AN322" t="s">
        <v>7143</v>
      </c>
      <c r="AO322">
        <v>9300</v>
      </c>
      <c r="AU322">
        <v>5.1</v>
      </c>
      <c r="AV322" t="s">
        <v>398</v>
      </c>
      <c r="AW322" t="s">
        <v>7367</v>
      </c>
    </row>
    <row r="323" spans="1:50">
      <c r="A323" s="1">
        <f>HYPERLINK("https://lsnyc.legalserver.org/matter/dynamic-profile/view/1894868","19-1894868")</f>
        <v>0</v>
      </c>
      <c r="B323" t="s">
        <v>61</v>
      </c>
      <c r="C323" t="s">
        <v>105</v>
      </c>
      <c r="D323" t="s">
        <v>179</v>
      </c>
      <c r="F323" t="s">
        <v>749</v>
      </c>
      <c r="G323" t="s">
        <v>1796</v>
      </c>
      <c r="H323" t="s">
        <v>2556</v>
      </c>
      <c r="I323">
        <v>51</v>
      </c>
      <c r="J323" t="s">
        <v>3604</v>
      </c>
      <c r="K323">
        <v>10034</v>
      </c>
      <c r="L323" t="s">
        <v>3610</v>
      </c>
      <c r="M323" t="s">
        <v>3610</v>
      </c>
      <c r="N323" t="s">
        <v>3739</v>
      </c>
      <c r="O323" t="s">
        <v>4213</v>
      </c>
      <c r="P323" t="s">
        <v>4241</v>
      </c>
      <c r="R323" t="s">
        <v>4258</v>
      </c>
      <c r="S323" t="s">
        <v>3610</v>
      </c>
      <c r="U323" t="s">
        <v>4268</v>
      </c>
      <c r="W323" t="s">
        <v>179</v>
      </c>
      <c r="X323">
        <v>1023</v>
      </c>
      <c r="Y323" t="s">
        <v>4351</v>
      </c>
      <c r="Z323" t="s">
        <v>4354</v>
      </c>
      <c r="AB323" t="s">
        <v>4666</v>
      </c>
      <c r="AD323" t="s">
        <v>6072</v>
      </c>
      <c r="AE323">
        <v>25</v>
      </c>
      <c r="AF323" t="s">
        <v>7101</v>
      </c>
      <c r="AG323" t="s">
        <v>3745</v>
      </c>
      <c r="AH323">
        <v>38</v>
      </c>
      <c r="AI323">
        <v>4</v>
      </c>
      <c r="AJ323">
        <v>1</v>
      </c>
      <c r="AK323">
        <v>58.11</v>
      </c>
      <c r="AO323">
        <v>17532</v>
      </c>
      <c r="AU323">
        <v>0.8</v>
      </c>
      <c r="AV323" t="s">
        <v>179</v>
      </c>
      <c r="AW323" t="s">
        <v>7359</v>
      </c>
      <c r="AX323" t="s">
        <v>7377</v>
      </c>
    </row>
    <row r="324" spans="1:50">
      <c r="A324" s="1">
        <f>HYPERLINK("https://lsnyc.legalserver.org/matter/dynamic-profile/view/1888033","19-1888033")</f>
        <v>0</v>
      </c>
      <c r="B324" t="s">
        <v>52</v>
      </c>
      <c r="C324" t="s">
        <v>105</v>
      </c>
      <c r="D324" t="s">
        <v>303</v>
      </c>
      <c r="F324" t="s">
        <v>874</v>
      </c>
      <c r="G324" t="s">
        <v>1797</v>
      </c>
      <c r="H324" t="s">
        <v>2657</v>
      </c>
      <c r="I324" t="s">
        <v>3306</v>
      </c>
      <c r="J324" t="s">
        <v>3604</v>
      </c>
      <c r="K324">
        <v>10032</v>
      </c>
      <c r="L324" t="s">
        <v>3610</v>
      </c>
      <c r="M324" t="s">
        <v>3610</v>
      </c>
      <c r="P324" t="s">
        <v>4241</v>
      </c>
      <c r="R324" t="s">
        <v>4258</v>
      </c>
      <c r="S324" t="s">
        <v>3610</v>
      </c>
      <c r="U324" t="s">
        <v>4268</v>
      </c>
      <c r="W324" t="s">
        <v>303</v>
      </c>
      <c r="X324">
        <v>982.2</v>
      </c>
      <c r="Y324" t="s">
        <v>4351</v>
      </c>
      <c r="Z324" t="s">
        <v>4354</v>
      </c>
      <c r="AB324" t="s">
        <v>4667</v>
      </c>
      <c r="AD324" t="s">
        <v>6073</v>
      </c>
      <c r="AE324">
        <v>42</v>
      </c>
      <c r="AF324" t="s">
        <v>7101</v>
      </c>
      <c r="AG324" t="s">
        <v>7116</v>
      </c>
      <c r="AH324">
        <v>37</v>
      </c>
      <c r="AI324">
        <v>2</v>
      </c>
      <c r="AJ324">
        <v>0</v>
      </c>
      <c r="AK324">
        <v>58.32</v>
      </c>
      <c r="AN324" t="s">
        <v>7139</v>
      </c>
      <c r="AO324">
        <v>9600</v>
      </c>
      <c r="AU324">
        <v>0</v>
      </c>
      <c r="AW324" t="s">
        <v>7342</v>
      </c>
    </row>
    <row r="325" spans="1:50">
      <c r="A325" s="1">
        <f>HYPERLINK("https://lsnyc.legalserver.org/matter/dynamic-profile/view/1864562","18-1864562")</f>
        <v>0</v>
      </c>
      <c r="B325" t="s">
        <v>57</v>
      </c>
      <c r="C325" t="s">
        <v>104</v>
      </c>
      <c r="D325" t="s">
        <v>324</v>
      </c>
      <c r="E325" t="s">
        <v>372</v>
      </c>
      <c r="F325" t="s">
        <v>918</v>
      </c>
      <c r="G325" t="s">
        <v>1798</v>
      </c>
      <c r="H325" t="s">
        <v>2678</v>
      </c>
      <c r="I325" t="s">
        <v>3286</v>
      </c>
      <c r="J325" t="s">
        <v>3604</v>
      </c>
      <c r="K325">
        <v>10029</v>
      </c>
      <c r="L325" t="s">
        <v>3610</v>
      </c>
      <c r="M325" t="s">
        <v>3609</v>
      </c>
      <c r="O325" t="s">
        <v>4212</v>
      </c>
      <c r="P325" t="s">
        <v>4243</v>
      </c>
      <c r="Q325" t="s">
        <v>4252</v>
      </c>
      <c r="R325" t="s">
        <v>4258</v>
      </c>
      <c r="S325" t="s">
        <v>3611</v>
      </c>
      <c r="U325" t="s">
        <v>4270</v>
      </c>
      <c r="W325" t="s">
        <v>161</v>
      </c>
      <c r="X325">
        <v>3118</v>
      </c>
      <c r="Y325" t="s">
        <v>4351</v>
      </c>
      <c r="Z325" t="s">
        <v>4356</v>
      </c>
      <c r="AA325" t="s">
        <v>4376</v>
      </c>
      <c r="AB325" t="s">
        <v>4668</v>
      </c>
      <c r="AD325" t="s">
        <v>6074</v>
      </c>
      <c r="AE325">
        <v>147</v>
      </c>
      <c r="AF325" t="s">
        <v>7101</v>
      </c>
      <c r="AG325" t="s">
        <v>7116</v>
      </c>
      <c r="AH325">
        <v>7</v>
      </c>
      <c r="AI325">
        <v>2</v>
      </c>
      <c r="AJ325">
        <v>3</v>
      </c>
      <c r="AK325">
        <v>58.32</v>
      </c>
      <c r="AN325" t="s">
        <v>7138</v>
      </c>
      <c r="AO325">
        <v>43994.64</v>
      </c>
      <c r="AU325">
        <v>17.75</v>
      </c>
      <c r="AV325" t="s">
        <v>7308</v>
      </c>
      <c r="AW325" t="s">
        <v>57</v>
      </c>
    </row>
    <row r="326" spans="1:50">
      <c r="A326" s="1">
        <f>HYPERLINK("https://lsnyc.legalserver.org/matter/dynamic-profile/view/1903626","19-1903626")</f>
        <v>0</v>
      </c>
      <c r="B326" t="s">
        <v>78</v>
      </c>
      <c r="C326" t="s">
        <v>105</v>
      </c>
      <c r="D326" t="s">
        <v>325</v>
      </c>
      <c r="F326" t="s">
        <v>705</v>
      </c>
      <c r="G326" t="s">
        <v>1799</v>
      </c>
      <c r="H326" t="s">
        <v>2679</v>
      </c>
      <c r="I326" t="s">
        <v>3382</v>
      </c>
      <c r="J326" t="s">
        <v>3604</v>
      </c>
      <c r="K326">
        <v>10033</v>
      </c>
      <c r="L326" t="s">
        <v>3609</v>
      </c>
      <c r="M326" t="s">
        <v>3609</v>
      </c>
      <c r="N326">
        <v>63076</v>
      </c>
      <c r="O326" t="s">
        <v>4210</v>
      </c>
      <c r="R326" t="s">
        <v>4258</v>
      </c>
      <c r="U326" t="s">
        <v>4268</v>
      </c>
      <c r="X326">
        <v>1000</v>
      </c>
      <c r="Y326" t="s">
        <v>4351</v>
      </c>
      <c r="AB326" t="s">
        <v>4669</v>
      </c>
      <c r="AD326" t="s">
        <v>6075</v>
      </c>
      <c r="AE326">
        <v>0</v>
      </c>
      <c r="AH326">
        <v>1</v>
      </c>
      <c r="AI326">
        <v>2</v>
      </c>
      <c r="AJ326">
        <v>2</v>
      </c>
      <c r="AK326">
        <v>58.56</v>
      </c>
      <c r="AN326" t="s">
        <v>7139</v>
      </c>
      <c r="AO326">
        <v>15080</v>
      </c>
      <c r="AU326">
        <v>2.2</v>
      </c>
      <c r="AV326" t="s">
        <v>325</v>
      </c>
      <c r="AW326" t="s">
        <v>7340</v>
      </c>
    </row>
    <row r="327" spans="1:50">
      <c r="A327" s="1">
        <f>HYPERLINK("https://lsnyc.legalserver.org/matter/dynamic-profile/view/0799712","16-0799712")</f>
        <v>0</v>
      </c>
      <c r="B327" t="s">
        <v>51</v>
      </c>
      <c r="C327" t="s">
        <v>104</v>
      </c>
      <c r="D327" t="s">
        <v>326</v>
      </c>
      <c r="E327" t="s">
        <v>293</v>
      </c>
      <c r="F327" t="s">
        <v>919</v>
      </c>
      <c r="G327" t="s">
        <v>1800</v>
      </c>
      <c r="H327" t="s">
        <v>2680</v>
      </c>
      <c r="I327" t="s">
        <v>3285</v>
      </c>
      <c r="J327" t="s">
        <v>3604</v>
      </c>
      <c r="K327">
        <v>10029</v>
      </c>
      <c r="L327" t="s">
        <v>3609</v>
      </c>
      <c r="M327" t="s">
        <v>3609</v>
      </c>
      <c r="N327" t="s">
        <v>3740</v>
      </c>
      <c r="O327" t="s">
        <v>4209</v>
      </c>
      <c r="P327" t="s">
        <v>4241</v>
      </c>
      <c r="Q327" t="s">
        <v>4249</v>
      </c>
      <c r="R327" t="s">
        <v>4258</v>
      </c>
      <c r="S327" t="s">
        <v>3611</v>
      </c>
      <c r="U327" t="s">
        <v>4268</v>
      </c>
      <c r="V327" t="s">
        <v>4274</v>
      </c>
      <c r="W327" t="s">
        <v>326</v>
      </c>
      <c r="X327">
        <v>1114.78</v>
      </c>
      <c r="Y327" t="s">
        <v>4351</v>
      </c>
      <c r="Z327" t="s">
        <v>4367</v>
      </c>
      <c r="AA327" t="s">
        <v>4377</v>
      </c>
      <c r="AB327" t="s">
        <v>4670</v>
      </c>
      <c r="AD327" t="s">
        <v>6076</v>
      </c>
      <c r="AE327">
        <v>0</v>
      </c>
      <c r="AH327">
        <v>10</v>
      </c>
      <c r="AI327">
        <v>2</v>
      </c>
      <c r="AJ327">
        <v>6</v>
      </c>
      <c r="AK327">
        <v>58.74</v>
      </c>
      <c r="AN327" t="s">
        <v>7138</v>
      </c>
      <c r="AO327">
        <v>24000</v>
      </c>
      <c r="AU327">
        <v>38.13</v>
      </c>
      <c r="AV327" t="s">
        <v>265</v>
      </c>
      <c r="AW327" t="s">
        <v>80</v>
      </c>
    </row>
    <row r="328" spans="1:50">
      <c r="A328" s="1">
        <f>HYPERLINK("https://lsnyc.legalserver.org/matter/dynamic-profile/view/0831560","17-0831560")</f>
        <v>0</v>
      </c>
      <c r="B328" t="s">
        <v>64</v>
      </c>
      <c r="C328" t="s">
        <v>104</v>
      </c>
      <c r="D328" t="s">
        <v>327</v>
      </c>
      <c r="E328" t="s">
        <v>277</v>
      </c>
      <c r="F328" t="s">
        <v>920</v>
      </c>
      <c r="G328" t="s">
        <v>1801</v>
      </c>
      <c r="H328" t="s">
        <v>2681</v>
      </c>
      <c r="J328" t="s">
        <v>3604</v>
      </c>
      <c r="K328">
        <v>10032</v>
      </c>
      <c r="L328" t="s">
        <v>3609</v>
      </c>
      <c r="M328" t="s">
        <v>3609</v>
      </c>
      <c r="N328" t="s">
        <v>3741</v>
      </c>
      <c r="O328" t="s">
        <v>4213</v>
      </c>
      <c r="P328" t="s">
        <v>4241</v>
      </c>
      <c r="Q328" t="s">
        <v>4248</v>
      </c>
      <c r="R328" t="s">
        <v>4258</v>
      </c>
      <c r="S328" t="s">
        <v>3610</v>
      </c>
      <c r="U328" t="s">
        <v>4268</v>
      </c>
      <c r="W328" t="s">
        <v>4294</v>
      </c>
      <c r="X328">
        <v>804.27</v>
      </c>
      <c r="Y328" t="s">
        <v>4351</v>
      </c>
      <c r="Z328" t="s">
        <v>4352</v>
      </c>
      <c r="AA328" t="s">
        <v>4379</v>
      </c>
      <c r="AB328" t="s">
        <v>4671</v>
      </c>
      <c r="AD328" t="s">
        <v>6077</v>
      </c>
      <c r="AE328">
        <v>44</v>
      </c>
      <c r="AF328" t="s">
        <v>7101</v>
      </c>
      <c r="AG328" t="s">
        <v>3745</v>
      </c>
      <c r="AH328">
        <v>41</v>
      </c>
      <c r="AI328">
        <v>3</v>
      </c>
      <c r="AJ328">
        <v>0</v>
      </c>
      <c r="AK328">
        <v>58.77</v>
      </c>
      <c r="AL328" t="s">
        <v>4319</v>
      </c>
      <c r="AN328" t="s">
        <v>7139</v>
      </c>
      <c r="AO328">
        <v>12000</v>
      </c>
      <c r="AU328">
        <v>0.65</v>
      </c>
      <c r="AV328" t="s">
        <v>247</v>
      </c>
      <c r="AW328" t="s">
        <v>7341</v>
      </c>
    </row>
    <row r="329" spans="1:50">
      <c r="A329" s="1">
        <f>HYPERLINK("https://lsnyc.legalserver.org/matter/dynamic-profile/view/0831564","17-0831564")</f>
        <v>0</v>
      </c>
      <c r="B329" t="s">
        <v>64</v>
      </c>
      <c r="C329" t="s">
        <v>104</v>
      </c>
      <c r="D329" t="s">
        <v>327</v>
      </c>
      <c r="E329" t="s">
        <v>155</v>
      </c>
      <c r="F329" t="s">
        <v>920</v>
      </c>
      <c r="G329" t="s">
        <v>1801</v>
      </c>
      <c r="H329" t="s">
        <v>2681</v>
      </c>
      <c r="J329" t="s">
        <v>3604</v>
      </c>
      <c r="K329">
        <v>10032</v>
      </c>
      <c r="L329" t="s">
        <v>3609</v>
      </c>
      <c r="M329" t="s">
        <v>3609</v>
      </c>
      <c r="N329" t="s">
        <v>3741</v>
      </c>
      <c r="O329" t="s">
        <v>4211</v>
      </c>
      <c r="P329" t="s">
        <v>4244</v>
      </c>
      <c r="Q329" t="s">
        <v>4249</v>
      </c>
      <c r="R329" t="s">
        <v>4258</v>
      </c>
      <c r="S329" t="s">
        <v>3610</v>
      </c>
      <c r="U329" t="s">
        <v>4268</v>
      </c>
      <c r="W329" t="s">
        <v>4294</v>
      </c>
      <c r="X329">
        <v>804</v>
      </c>
      <c r="Y329" t="s">
        <v>4351</v>
      </c>
      <c r="Z329" t="s">
        <v>4352</v>
      </c>
      <c r="AA329" t="s">
        <v>4377</v>
      </c>
      <c r="AB329" t="s">
        <v>4671</v>
      </c>
      <c r="AE329">
        <v>44</v>
      </c>
      <c r="AF329" t="s">
        <v>7101</v>
      </c>
      <c r="AG329" t="s">
        <v>3745</v>
      </c>
      <c r="AH329">
        <v>41</v>
      </c>
      <c r="AI329">
        <v>3</v>
      </c>
      <c r="AJ329">
        <v>0</v>
      </c>
      <c r="AK329">
        <v>58.77</v>
      </c>
      <c r="AL329" t="s">
        <v>4319</v>
      </c>
      <c r="AN329" t="s">
        <v>7139</v>
      </c>
      <c r="AO329">
        <v>12000</v>
      </c>
      <c r="AU329">
        <v>0.1</v>
      </c>
      <c r="AV329" t="s">
        <v>280</v>
      </c>
      <c r="AW329" t="s">
        <v>7341</v>
      </c>
    </row>
    <row r="330" spans="1:50">
      <c r="A330" s="1">
        <f>HYPERLINK("https://lsnyc.legalserver.org/matter/dynamic-profile/view/1842815","17-1842815")</f>
        <v>0</v>
      </c>
      <c r="B330" t="s">
        <v>81</v>
      </c>
      <c r="C330" t="s">
        <v>105</v>
      </c>
      <c r="D330" t="s">
        <v>328</v>
      </c>
      <c r="F330" t="s">
        <v>921</v>
      </c>
      <c r="G330" t="s">
        <v>1802</v>
      </c>
      <c r="H330" t="s">
        <v>2682</v>
      </c>
      <c r="I330" t="s">
        <v>3383</v>
      </c>
      <c r="J330" t="s">
        <v>3604</v>
      </c>
      <c r="K330">
        <v>10023</v>
      </c>
      <c r="L330" t="s">
        <v>3611</v>
      </c>
      <c r="M330" t="s">
        <v>3609</v>
      </c>
      <c r="P330" t="s">
        <v>4241</v>
      </c>
      <c r="R330" t="s">
        <v>4258</v>
      </c>
      <c r="T330" t="s">
        <v>4261</v>
      </c>
      <c r="U330" t="s">
        <v>4268</v>
      </c>
      <c r="W330" t="s">
        <v>328</v>
      </c>
      <c r="X330">
        <v>880</v>
      </c>
      <c r="Y330" t="s">
        <v>4351</v>
      </c>
      <c r="AB330" t="s">
        <v>4672</v>
      </c>
      <c r="AD330" t="s">
        <v>6078</v>
      </c>
      <c r="AE330">
        <v>188</v>
      </c>
      <c r="AH330">
        <v>10</v>
      </c>
      <c r="AI330">
        <v>3</v>
      </c>
      <c r="AJ330">
        <v>0</v>
      </c>
      <c r="AK330">
        <v>58.77</v>
      </c>
      <c r="AO330">
        <v>12000</v>
      </c>
      <c r="AU330">
        <v>19.25</v>
      </c>
      <c r="AV330" t="s">
        <v>456</v>
      </c>
      <c r="AW330" t="s">
        <v>7348</v>
      </c>
    </row>
    <row r="331" spans="1:50">
      <c r="A331" s="1">
        <f>HYPERLINK("https://lsnyc.legalserver.org/matter/dynamic-profile/view/1870358","18-1870358")</f>
        <v>0</v>
      </c>
      <c r="B331" t="s">
        <v>62</v>
      </c>
      <c r="C331" t="s">
        <v>105</v>
      </c>
      <c r="D331" t="s">
        <v>234</v>
      </c>
      <c r="F331" t="s">
        <v>847</v>
      </c>
      <c r="G331" t="s">
        <v>1803</v>
      </c>
      <c r="H331" t="s">
        <v>2683</v>
      </c>
      <c r="I331" t="s">
        <v>3333</v>
      </c>
      <c r="J331" t="s">
        <v>3604</v>
      </c>
      <c r="K331">
        <v>10034</v>
      </c>
      <c r="L331" t="s">
        <v>3610</v>
      </c>
      <c r="M331" t="s">
        <v>3609</v>
      </c>
      <c r="O331" t="s">
        <v>4209</v>
      </c>
      <c r="P331" t="s">
        <v>4241</v>
      </c>
      <c r="R331" t="s">
        <v>4258</v>
      </c>
      <c r="S331" t="s">
        <v>3611</v>
      </c>
      <c r="U331" t="s">
        <v>4268</v>
      </c>
      <c r="W331" t="s">
        <v>443</v>
      </c>
      <c r="X331">
        <v>252</v>
      </c>
      <c r="Y331" t="s">
        <v>4351</v>
      </c>
      <c r="Z331" t="s">
        <v>4354</v>
      </c>
      <c r="AB331" t="s">
        <v>4673</v>
      </c>
      <c r="AD331" t="s">
        <v>6079</v>
      </c>
      <c r="AE331">
        <v>0</v>
      </c>
      <c r="AF331" t="s">
        <v>7101</v>
      </c>
      <c r="AG331" t="s">
        <v>3745</v>
      </c>
      <c r="AH331">
        <v>16</v>
      </c>
      <c r="AI331">
        <v>1</v>
      </c>
      <c r="AJ331">
        <v>0</v>
      </c>
      <c r="AK331">
        <v>59.31</v>
      </c>
      <c r="AN331" t="s">
        <v>7138</v>
      </c>
      <c r="AO331">
        <v>7200</v>
      </c>
      <c r="AU331">
        <v>134.55</v>
      </c>
      <c r="AV331" t="s">
        <v>676</v>
      </c>
      <c r="AW331" t="s">
        <v>7342</v>
      </c>
    </row>
    <row r="332" spans="1:50">
      <c r="A332" s="1">
        <f>HYPERLINK("https://lsnyc.legalserver.org/matter/dynamic-profile/view/1886462","18-1886462")</f>
        <v>0</v>
      </c>
      <c r="B332" t="s">
        <v>56</v>
      </c>
      <c r="C332" t="s">
        <v>104</v>
      </c>
      <c r="D332" t="s">
        <v>329</v>
      </c>
      <c r="E332" t="s">
        <v>387</v>
      </c>
      <c r="F332" t="s">
        <v>917</v>
      </c>
      <c r="G332" t="s">
        <v>1795</v>
      </c>
      <c r="H332" t="s">
        <v>2677</v>
      </c>
      <c r="I332" t="s">
        <v>3338</v>
      </c>
      <c r="J332" t="s">
        <v>3604</v>
      </c>
      <c r="K332">
        <v>10029</v>
      </c>
      <c r="L332" t="s">
        <v>3609</v>
      </c>
      <c r="M332" t="s">
        <v>3609</v>
      </c>
      <c r="P332" t="s">
        <v>4242</v>
      </c>
      <c r="Q332" t="s">
        <v>4250</v>
      </c>
      <c r="R332" t="s">
        <v>4258</v>
      </c>
      <c r="U332" t="s">
        <v>4268</v>
      </c>
      <c r="X332">
        <v>853</v>
      </c>
      <c r="Y332" t="s">
        <v>4351</v>
      </c>
      <c r="AA332" t="s">
        <v>4373</v>
      </c>
      <c r="AB332" t="s">
        <v>4665</v>
      </c>
      <c r="AE332">
        <v>30</v>
      </c>
      <c r="AH332">
        <v>5</v>
      </c>
      <c r="AI332">
        <v>1</v>
      </c>
      <c r="AJ332">
        <v>0</v>
      </c>
      <c r="AK332">
        <v>59.31</v>
      </c>
      <c r="AN332" t="s">
        <v>7143</v>
      </c>
      <c r="AO332">
        <v>7200</v>
      </c>
      <c r="AU332">
        <v>1.2</v>
      </c>
      <c r="AV332" t="s">
        <v>174</v>
      </c>
      <c r="AW332" t="s">
        <v>7346</v>
      </c>
    </row>
    <row r="333" spans="1:50">
      <c r="A333" s="1">
        <f>HYPERLINK("https://lsnyc.legalserver.org/matter/dynamic-profile/view/1863781","18-1863781")</f>
        <v>0</v>
      </c>
      <c r="B333" t="s">
        <v>63</v>
      </c>
      <c r="C333" t="s">
        <v>104</v>
      </c>
      <c r="D333" t="s">
        <v>160</v>
      </c>
      <c r="E333" t="s">
        <v>254</v>
      </c>
      <c r="F333" t="s">
        <v>922</v>
      </c>
      <c r="G333" t="s">
        <v>1587</v>
      </c>
      <c r="H333" t="s">
        <v>2487</v>
      </c>
      <c r="I333" t="s">
        <v>3348</v>
      </c>
      <c r="J333" t="s">
        <v>3604</v>
      </c>
      <c r="K333">
        <v>10033</v>
      </c>
      <c r="L333" t="s">
        <v>3610</v>
      </c>
      <c r="M333" t="s">
        <v>3610</v>
      </c>
      <c r="O333" t="s">
        <v>4220</v>
      </c>
      <c r="P333" t="s">
        <v>4245</v>
      </c>
      <c r="Q333" t="s">
        <v>4249</v>
      </c>
      <c r="R333" t="s">
        <v>4258</v>
      </c>
      <c r="S333" t="s">
        <v>3610</v>
      </c>
      <c r="U333" t="s">
        <v>4268</v>
      </c>
      <c r="W333" t="s">
        <v>160</v>
      </c>
      <c r="X333">
        <v>204</v>
      </c>
      <c r="Y333" t="s">
        <v>4351</v>
      </c>
      <c r="Z333" t="s">
        <v>4357</v>
      </c>
      <c r="AA333" t="s">
        <v>4373</v>
      </c>
      <c r="AB333" t="s">
        <v>4674</v>
      </c>
      <c r="AD333" t="s">
        <v>6080</v>
      </c>
      <c r="AE333">
        <v>20</v>
      </c>
      <c r="AF333" t="s">
        <v>7101</v>
      </c>
      <c r="AG333" t="s">
        <v>7116</v>
      </c>
      <c r="AH333">
        <v>25</v>
      </c>
      <c r="AI333">
        <v>4</v>
      </c>
      <c r="AJ333">
        <v>0</v>
      </c>
      <c r="AK333">
        <v>59.36</v>
      </c>
      <c r="AL333" t="s">
        <v>496</v>
      </c>
      <c r="AN333" t="s">
        <v>7139</v>
      </c>
      <c r="AO333">
        <v>14900</v>
      </c>
      <c r="AU333">
        <v>0.1</v>
      </c>
      <c r="AV333" t="s">
        <v>254</v>
      </c>
      <c r="AW333" t="s">
        <v>7342</v>
      </c>
    </row>
    <row r="334" spans="1:50">
      <c r="A334" s="1">
        <f>HYPERLINK("https://lsnyc.legalserver.org/matter/dynamic-profile/view/1888040","19-1888040")</f>
        <v>0</v>
      </c>
      <c r="B334" t="s">
        <v>52</v>
      </c>
      <c r="C334" t="s">
        <v>105</v>
      </c>
      <c r="D334" t="s">
        <v>303</v>
      </c>
      <c r="F334" t="s">
        <v>706</v>
      </c>
      <c r="G334" t="s">
        <v>1804</v>
      </c>
      <c r="H334" t="s">
        <v>2657</v>
      </c>
      <c r="I334" t="s">
        <v>3343</v>
      </c>
      <c r="J334" t="s">
        <v>3604</v>
      </c>
      <c r="K334">
        <v>10032</v>
      </c>
      <c r="L334" t="s">
        <v>3610</v>
      </c>
      <c r="M334" t="s">
        <v>3610</v>
      </c>
      <c r="P334" t="s">
        <v>4241</v>
      </c>
      <c r="R334" t="s">
        <v>4258</v>
      </c>
      <c r="S334" t="s">
        <v>3610</v>
      </c>
      <c r="U334" t="s">
        <v>4268</v>
      </c>
      <c r="W334" t="s">
        <v>303</v>
      </c>
      <c r="X334">
        <v>1299</v>
      </c>
      <c r="Y334" t="s">
        <v>4351</v>
      </c>
      <c r="Z334" t="s">
        <v>4354</v>
      </c>
      <c r="AB334" t="s">
        <v>4675</v>
      </c>
      <c r="AE334">
        <v>42</v>
      </c>
      <c r="AF334" t="s">
        <v>7101</v>
      </c>
      <c r="AG334" t="s">
        <v>7116</v>
      </c>
      <c r="AH334">
        <v>0</v>
      </c>
      <c r="AI334">
        <v>4</v>
      </c>
      <c r="AJ334">
        <v>0</v>
      </c>
      <c r="AK334">
        <v>59.76</v>
      </c>
      <c r="AN334" t="s">
        <v>7139</v>
      </c>
      <c r="AO334">
        <v>15000</v>
      </c>
      <c r="AU334">
        <v>0</v>
      </c>
      <c r="AW334" t="s">
        <v>7342</v>
      </c>
    </row>
    <row r="335" spans="1:50">
      <c r="A335" s="1">
        <f>HYPERLINK("https://lsnyc.legalserver.org/matter/dynamic-profile/view/1902484","19-1902484")</f>
        <v>0</v>
      </c>
      <c r="B335" t="s">
        <v>88</v>
      </c>
      <c r="C335" t="s">
        <v>105</v>
      </c>
      <c r="D335" t="s">
        <v>330</v>
      </c>
      <c r="F335" t="s">
        <v>923</v>
      </c>
      <c r="G335" t="s">
        <v>1805</v>
      </c>
      <c r="H335" t="s">
        <v>2684</v>
      </c>
      <c r="I335" t="s">
        <v>3384</v>
      </c>
      <c r="J335" t="s">
        <v>3604</v>
      </c>
      <c r="K335">
        <v>10036</v>
      </c>
      <c r="L335" t="s">
        <v>3610</v>
      </c>
      <c r="M335" t="s">
        <v>3609</v>
      </c>
      <c r="N335" t="s">
        <v>3742</v>
      </c>
      <c r="O335" t="s">
        <v>4210</v>
      </c>
      <c r="P335" t="s">
        <v>4241</v>
      </c>
      <c r="R335" t="s">
        <v>4258</v>
      </c>
      <c r="S335" t="s">
        <v>3611</v>
      </c>
      <c r="U335" t="s">
        <v>4268</v>
      </c>
      <c r="W335" t="s">
        <v>330</v>
      </c>
      <c r="X335">
        <v>949.62</v>
      </c>
      <c r="Y335" t="s">
        <v>4351</v>
      </c>
      <c r="Z335" t="s">
        <v>4353</v>
      </c>
      <c r="AB335" t="s">
        <v>4676</v>
      </c>
      <c r="AC335" t="s">
        <v>5809</v>
      </c>
      <c r="AD335" t="s">
        <v>6081</v>
      </c>
      <c r="AE335">
        <v>0</v>
      </c>
      <c r="AF335" t="s">
        <v>7101</v>
      </c>
      <c r="AG335" t="s">
        <v>7121</v>
      </c>
      <c r="AH335">
        <v>2</v>
      </c>
      <c r="AI335">
        <v>2</v>
      </c>
      <c r="AJ335">
        <v>0</v>
      </c>
      <c r="AK335">
        <v>60.25</v>
      </c>
      <c r="AN335" t="s">
        <v>7138</v>
      </c>
      <c r="AO335">
        <v>10188</v>
      </c>
      <c r="AU335">
        <v>2</v>
      </c>
      <c r="AV335" t="s">
        <v>7293</v>
      </c>
      <c r="AW335" t="s">
        <v>7347</v>
      </c>
      <c r="AX335" t="s">
        <v>7378</v>
      </c>
    </row>
    <row r="336" spans="1:50">
      <c r="A336" s="1">
        <f>HYPERLINK("https://lsnyc.legalserver.org/matter/dynamic-profile/view/1847705","17-1847705")</f>
        <v>0</v>
      </c>
      <c r="B336" t="s">
        <v>89</v>
      </c>
      <c r="C336" t="s">
        <v>104</v>
      </c>
      <c r="D336" t="s">
        <v>284</v>
      </c>
      <c r="E336" t="s">
        <v>529</v>
      </c>
      <c r="F336" t="s">
        <v>924</v>
      </c>
      <c r="G336" t="s">
        <v>1730</v>
      </c>
      <c r="H336" t="s">
        <v>2685</v>
      </c>
      <c r="I336" t="s">
        <v>3385</v>
      </c>
      <c r="J336" t="s">
        <v>3604</v>
      </c>
      <c r="K336">
        <v>10040</v>
      </c>
      <c r="L336" t="s">
        <v>3609</v>
      </c>
      <c r="M336" t="s">
        <v>3609</v>
      </c>
      <c r="Q336" t="s">
        <v>4249</v>
      </c>
      <c r="R336" t="s">
        <v>4258</v>
      </c>
      <c r="T336" t="s">
        <v>4259</v>
      </c>
      <c r="U336" t="s">
        <v>4269</v>
      </c>
      <c r="X336">
        <v>0</v>
      </c>
      <c r="Y336" t="s">
        <v>4351</v>
      </c>
      <c r="AA336" t="s">
        <v>4377</v>
      </c>
      <c r="AB336" t="s">
        <v>4512</v>
      </c>
      <c r="AD336" t="s">
        <v>6082</v>
      </c>
      <c r="AE336">
        <v>0</v>
      </c>
      <c r="AH336">
        <v>0</v>
      </c>
      <c r="AI336">
        <v>2</v>
      </c>
      <c r="AJ336">
        <v>0</v>
      </c>
      <c r="AK336">
        <v>60.44</v>
      </c>
      <c r="AN336" t="s">
        <v>7139</v>
      </c>
      <c r="AO336">
        <v>9816</v>
      </c>
      <c r="AU336">
        <v>0.75</v>
      </c>
      <c r="AV336" t="s">
        <v>663</v>
      </c>
      <c r="AW336" t="s">
        <v>7368</v>
      </c>
    </row>
    <row r="337" spans="1:50">
      <c r="A337" s="1">
        <f>HYPERLINK("https://lsnyc.legalserver.org/matter/dynamic-profile/view/1834799","17-1834799")</f>
        <v>0</v>
      </c>
      <c r="B337" t="s">
        <v>63</v>
      </c>
      <c r="C337" t="s">
        <v>104</v>
      </c>
      <c r="D337" t="s">
        <v>331</v>
      </c>
      <c r="E337" t="s">
        <v>108</v>
      </c>
      <c r="F337" t="s">
        <v>922</v>
      </c>
      <c r="G337" t="s">
        <v>1587</v>
      </c>
      <c r="H337" t="s">
        <v>2487</v>
      </c>
      <c r="I337" t="s">
        <v>3348</v>
      </c>
      <c r="J337" t="s">
        <v>3604</v>
      </c>
      <c r="K337">
        <v>10033</v>
      </c>
      <c r="L337" t="s">
        <v>3610</v>
      </c>
      <c r="M337" t="s">
        <v>3610</v>
      </c>
      <c r="N337" t="s">
        <v>3732</v>
      </c>
      <c r="O337" t="s">
        <v>4213</v>
      </c>
      <c r="P337" t="s">
        <v>4241</v>
      </c>
      <c r="Q337" t="s">
        <v>4248</v>
      </c>
      <c r="R337" t="s">
        <v>4258</v>
      </c>
      <c r="S337" t="s">
        <v>3610</v>
      </c>
      <c r="U337" t="s">
        <v>4268</v>
      </c>
      <c r="W337" t="s">
        <v>431</v>
      </c>
      <c r="X337">
        <v>0</v>
      </c>
      <c r="Y337" t="s">
        <v>4351</v>
      </c>
      <c r="Z337" t="s">
        <v>4352</v>
      </c>
      <c r="AA337" t="s">
        <v>4379</v>
      </c>
      <c r="AB337" t="s">
        <v>4674</v>
      </c>
      <c r="AD337" t="s">
        <v>6080</v>
      </c>
      <c r="AE337">
        <v>24</v>
      </c>
      <c r="AF337" t="s">
        <v>7101</v>
      </c>
      <c r="AG337" t="s">
        <v>7116</v>
      </c>
      <c r="AH337">
        <v>20</v>
      </c>
      <c r="AI337">
        <v>4</v>
      </c>
      <c r="AJ337">
        <v>0</v>
      </c>
      <c r="AK337">
        <v>60.57</v>
      </c>
      <c r="AL337" t="s">
        <v>496</v>
      </c>
      <c r="AN337" t="s">
        <v>7139</v>
      </c>
      <c r="AO337">
        <v>14900</v>
      </c>
      <c r="AU337">
        <v>0.1</v>
      </c>
      <c r="AV337" t="s">
        <v>108</v>
      </c>
      <c r="AW337" t="s">
        <v>7341</v>
      </c>
    </row>
    <row r="338" spans="1:50">
      <c r="A338" s="1">
        <f>HYPERLINK("https://lsnyc.legalserver.org/matter/dynamic-profile/view/1834800","17-1834800")</f>
        <v>0</v>
      </c>
      <c r="B338" t="s">
        <v>63</v>
      </c>
      <c r="C338" t="s">
        <v>105</v>
      </c>
      <c r="D338" t="s">
        <v>331</v>
      </c>
      <c r="F338" t="s">
        <v>922</v>
      </c>
      <c r="G338" t="s">
        <v>1587</v>
      </c>
      <c r="H338" t="s">
        <v>2487</v>
      </c>
      <c r="I338" t="s">
        <v>3348</v>
      </c>
      <c r="J338" t="s">
        <v>3604</v>
      </c>
      <c r="K338">
        <v>10033</v>
      </c>
      <c r="L338" t="s">
        <v>3610</v>
      </c>
      <c r="M338" t="s">
        <v>3609</v>
      </c>
      <c r="O338" t="s">
        <v>4211</v>
      </c>
      <c r="P338" t="s">
        <v>4244</v>
      </c>
      <c r="R338" t="s">
        <v>4258</v>
      </c>
      <c r="S338" t="s">
        <v>3610</v>
      </c>
      <c r="U338" t="s">
        <v>4268</v>
      </c>
      <c r="W338" t="s">
        <v>4282</v>
      </c>
      <c r="X338">
        <v>0</v>
      </c>
      <c r="Y338" t="s">
        <v>4351</v>
      </c>
      <c r="Z338" t="s">
        <v>4352</v>
      </c>
      <c r="AB338" t="s">
        <v>4674</v>
      </c>
      <c r="AD338" t="s">
        <v>6080</v>
      </c>
      <c r="AE338">
        <v>20</v>
      </c>
      <c r="AF338" t="s">
        <v>7101</v>
      </c>
      <c r="AG338" t="s">
        <v>7116</v>
      </c>
      <c r="AH338">
        <v>20</v>
      </c>
      <c r="AI338">
        <v>4</v>
      </c>
      <c r="AJ338">
        <v>0</v>
      </c>
      <c r="AK338">
        <v>60.57</v>
      </c>
      <c r="AL338" t="s">
        <v>496</v>
      </c>
      <c r="AN338" t="s">
        <v>7139</v>
      </c>
      <c r="AO338">
        <v>14900</v>
      </c>
      <c r="AU338">
        <v>0</v>
      </c>
      <c r="AW338" t="s">
        <v>7341</v>
      </c>
    </row>
    <row r="339" spans="1:50">
      <c r="A339" s="1">
        <f>HYPERLINK("https://lsnyc.legalserver.org/matter/dynamic-profile/view/0825664","17-0825664")</f>
        <v>0</v>
      </c>
      <c r="B339" t="s">
        <v>51</v>
      </c>
      <c r="C339" t="s">
        <v>104</v>
      </c>
      <c r="D339" t="s">
        <v>332</v>
      </c>
      <c r="E339" t="s">
        <v>293</v>
      </c>
      <c r="F339" t="s">
        <v>925</v>
      </c>
      <c r="G339" t="s">
        <v>1806</v>
      </c>
      <c r="H339" t="s">
        <v>2686</v>
      </c>
      <c r="I339" t="s">
        <v>3386</v>
      </c>
      <c r="J339" t="s">
        <v>3604</v>
      </c>
      <c r="K339">
        <v>10029</v>
      </c>
      <c r="L339" t="s">
        <v>3610</v>
      </c>
      <c r="M339" t="s">
        <v>3610</v>
      </c>
      <c r="N339" t="s">
        <v>3743</v>
      </c>
      <c r="O339" t="s">
        <v>4209</v>
      </c>
      <c r="P339" t="s">
        <v>4241</v>
      </c>
      <c r="Q339" t="s">
        <v>4248</v>
      </c>
      <c r="R339" t="s">
        <v>4258</v>
      </c>
      <c r="S339" t="s">
        <v>3611</v>
      </c>
      <c r="U339" t="s">
        <v>4268</v>
      </c>
      <c r="V339" t="s">
        <v>4274</v>
      </c>
      <c r="W339" t="s">
        <v>568</v>
      </c>
      <c r="X339">
        <v>267</v>
      </c>
      <c r="Y339" t="s">
        <v>4351</v>
      </c>
      <c r="Z339" t="s">
        <v>4354</v>
      </c>
      <c r="AA339" t="s">
        <v>4374</v>
      </c>
      <c r="AB339" t="s">
        <v>4677</v>
      </c>
      <c r="AD339" t="s">
        <v>6083</v>
      </c>
      <c r="AE339">
        <v>9</v>
      </c>
      <c r="AF339" t="s">
        <v>7104</v>
      </c>
      <c r="AG339" t="s">
        <v>3745</v>
      </c>
      <c r="AH339">
        <v>48</v>
      </c>
      <c r="AI339">
        <v>2</v>
      </c>
      <c r="AJ339">
        <v>0</v>
      </c>
      <c r="AK339">
        <v>60.9</v>
      </c>
      <c r="AN339" t="s">
        <v>7138</v>
      </c>
      <c r="AO339">
        <v>9756</v>
      </c>
      <c r="AU339">
        <v>12.2</v>
      </c>
      <c r="AV339" t="s">
        <v>265</v>
      </c>
      <c r="AW339" t="s">
        <v>7341</v>
      </c>
    </row>
    <row r="340" spans="1:50">
      <c r="A340" s="1">
        <f>HYPERLINK("https://lsnyc.legalserver.org/matter/dynamic-profile/view/1856971","18-1856971")</f>
        <v>0</v>
      </c>
      <c r="B340" t="s">
        <v>61</v>
      </c>
      <c r="C340" t="s">
        <v>105</v>
      </c>
      <c r="D340" t="s">
        <v>333</v>
      </c>
      <c r="F340" t="s">
        <v>926</v>
      </c>
      <c r="G340" t="s">
        <v>1807</v>
      </c>
      <c r="H340" t="s">
        <v>2687</v>
      </c>
      <c r="I340" t="s">
        <v>3274</v>
      </c>
      <c r="J340" t="s">
        <v>3604</v>
      </c>
      <c r="K340">
        <v>10034</v>
      </c>
      <c r="L340" t="s">
        <v>3610</v>
      </c>
      <c r="M340" t="s">
        <v>3609</v>
      </c>
      <c r="O340" t="s">
        <v>4221</v>
      </c>
      <c r="P340" t="s">
        <v>4244</v>
      </c>
      <c r="R340" t="s">
        <v>4258</v>
      </c>
      <c r="S340" t="s">
        <v>3611</v>
      </c>
      <c r="U340" t="s">
        <v>4268</v>
      </c>
      <c r="W340" t="s">
        <v>333</v>
      </c>
      <c r="X340">
        <v>767.38</v>
      </c>
      <c r="Y340" t="s">
        <v>4351</v>
      </c>
      <c r="Z340" t="s">
        <v>4354</v>
      </c>
      <c r="AB340" t="s">
        <v>4678</v>
      </c>
      <c r="AD340" t="s">
        <v>6084</v>
      </c>
      <c r="AE340">
        <v>48</v>
      </c>
      <c r="AF340" t="s">
        <v>7101</v>
      </c>
      <c r="AG340" t="s">
        <v>3745</v>
      </c>
      <c r="AH340">
        <v>14</v>
      </c>
      <c r="AI340">
        <v>2</v>
      </c>
      <c r="AJ340">
        <v>2</v>
      </c>
      <c r="AK340">
        <v>60.98</v>
      </c>
      <c r="AN340" t="s">
        <v>7138</v>
      </c>
      <c r="AO340">
        <v>15000</v>
      </c>
      <c r="AU340">
        <v>15.9</v>
      </c>
      <c r="AV340" t="s">
        <v>283</v>
      </c>
      <c r="AW340" t="s">
        <v>7342</v>
      </c>
    </row>
    <row r="341" spans="1:50">
      <c r="A341" s="1">
        <f>HYPERLINK("https://lsnyc.legalserver.org/matter/dynamic-profile/view/1879852","18-1879852")</f>
        <v>0</v>
      </c>
      <c r="B341" t="s">
        <v>56</v>
      </c>
      <c r="C341" t="s">
        <v>104</v>
      </c>
      <c r="D341" t="s">
        <v>334</v>
      </c>
      <c r="E341" t="s">
        <v>671</v>
      </c>
      <c r="F341" t="s">
        <v>927</v>
      </c>
      <c r="G341" t="s">
        <v>1808</v>
      </c>
      <c r="H341" t="s">
        <v>2688</v>
      </c>
      <c r="I341" t="s">
        <v>3279</v>
      </c>
      <c r="J341" t="s">
        <v>3604</v>
      </c>
      <c r="K341">
        <v>10034</v>
      </c>
      <c r="L341" t="s">
        <v>3610</v>
      </c>
      <c r="M341" t="s">
        <v>3610</v>
      </c>
      <c r="O341" t="s">
        <v>4221</v>
      </c>
      <c r="P341" t="s">
        <v>4244</v>
      </c>
      <c r="Q341" t="s">
        <v>4254</v>
      </c>
      <c r="R341" t="s">
        <v>4258</v>
      </c>
      <c r="S341" t="s">
        <v>3611</v>
      </c>
      <c r="U341" t="s">
        <v>4268</v>
      </c>
      <c r="W341" t="s">
        <v>334</v>
      </c>
      <c r="X341">
        <v>1400</v>
      </c>
      <c r="Y341" t="s">
        <v>4351</v>
      </c>
      <c r="Z341" t="s">
        <v>4354</v>
      </c>
      <c r="AA341" t="s">
        <v>4377</v>
      </c>
      <c r="AB341" t="s">
        <v>4679</v>
      </c>
      <c r="AD341" t="s">
        <v>6085</v>
      </c>
      <c r="AE341">
        <v>30</v>
      </c>
      <c r="AF341" t="s">
        <v>7101</v>
      </c>
      <c r="AG341" t="s">
        <v>7116</v>
      </c>
      <c r="AH341">
        <v>6</v>
      </c>
      <c r="AI341">
        <v>2</v>
      </c>
      <c r="AJ341">
        <v>1</v>
      </c>
      <c r="AK341">
        <v>60.99</v>
      </c>
      <c r="AN341" t="s">
        <v>7139</v>
      </c>
      <c r="AO341">
        <v>12673.2</v>
      </c>
      <c r="AU341">
        <v>13.5</v>
      </c>
      <c r="AV341" t="s">
        <v>174</v>
      </c>
      <c r="AW341" t="s">
        <v>7342</v>
      </c>
    </row>
    <row r="342" spans="1:50">
      <c r="A342" s="1">
        <f>HYPERLINK("https://lsnyc.legalserver.org/matter/dynamic-profile/view/1885942","18-1885942")</f>
        <v>0</v>
      </c>
      <c r="B342" t="s">
        <v>90</v>
      </c>
      <c r="C342" t="s">
        <v>105</v>
      </c>
      <c r="D342" t="s">
        <v>335</v>
      </c>
      <c r="F342" t="s">
        <v>928</v>
      </c>
      <c r="G342" t="s">
        <v>1599</v>
      </c>
      <c r="H342" t="s">
        <v>2689</v>
      </c>
      <c r="I342" t="s">
        <v>3334</v>
      </c>
      <c r="J342" t="s">
        <v>3604</v>
      </c>
      <c r="K342">
        <v>10032</v>
      </c>
      <c r="L342" t="s">
        <v>3610</v>
      </c>
      <c r="M342" t="s">
        <v>3610</v>
      </c>
      <c r="P342" t="s">
        <v>4246</v>
      </c>
      <c r="R342" t="s">
        <v>4258</v>
      </c>
      <c r="S342" t="s">
        <v>3611</v>
      </c>
      <c r="U342" t="s">
        <v>4268</v>
      </c>
      <c r="W342" t="s">
        <v>335</v>
      </c>
      <c r="X342">
        <v>558</v>
      </c>
      <c r="Y342" t="s">
        <v>4351</v>
      </c>
      <c r="Z342" t="s">
        <v>4354</v>
      </c>
      <c r="AB342" t="s">
        <v>4680</v>
      </c>
      <c r="AD342" t="s">
        <v>6086</v>
      </c>
      <c r="AE342">
        <v>0</v>
      </c>
      <c r="AF342" t="s">
        <v>7101</v>
      </c>
      <c r="AG342" t="s">
        <v>3745</v>
      </c>
      <c r="AH342">
        <v>48</v>
      </c>
      <c r="AI342">
        <v>2</v>
      </c>
      <c r="AJ342">
        <v>0</v>
      </c>
      <c r="AK342">
        <v>61.02</v>
      </c>
      <c r="AN342" t="s">
        <v>7145</v>
      </c>
      <c r="AO342">
        <v>10044</v>
      </c>
      <c r="AU342">
        <v>6.5</v>
      </c>
      <c r="AV342" t="s">
        <v>7286</v>
      </c>
      <c r="AW342" t="s">
        <v>7342</v>
      </c>
    </row>
    <row r="343" spans="1:50">
      <c r="A343" s="1">
        <f>HYPERLINK("https://lsnyc.legalserver.org/matter/dynamic-profile/view/1866492","18-1866492")</f>
        <v>0</v>
      </c>
      <c r="B343" t="s">
        <v>66</v>
      </c>
      <c r="C343" t="s">
        <v>104</v>
      </c>
      <c r="D343" t="s">
        <v>288</v>
      </c>
      <c r="E343" t="s">
        <v>209</v>
      </c>
      <c r="F343" t="s">
        <v>706</v>
      </c>
      <c r="G343" t="s">
        <v>1809</v>
      </c>
      <c r="H343" t="s">
        <v>2690</v>
      </c>
      <c r="I343" t="s">
        <v>3382</v>
      </c>
      <c r="J343" t="s">
        <v>3604</v>
      </c>
      <c r="K343">
        <v>10032</v>
      </c>
      <c r="L343" t="s">
        <v>3610</v>
      </c>
      <c r="M343" t="s">
        <v>3610</v>
      </c>
      <c r="N343" t="s">
        <v>3744</v>
      </c>
      <c r="O343" t="s">
        <v>4210</v>
      </c>
      <c r="P343" t="s">
        <v>4242</v>
      </c>
      <c r="Q343" t="s">
        <v>4250</v>
      </c>
      <c r="R343" t="s">
        <v>4258</v>
      </c>
      <c r="S343" t="s">
        <v>3611</v>
      </c>
      <c r="U343" t="s">
        <v>4268</v>
      </c>
      <c r="W343" t="s">
        <v>288</v>
      </c>
      <c r="X343">
        <v>742</v>
      </c>
      <c r="Y343" t="s">
        <v>4351</v>
      </c>
      <c r="Z343" t="s">
        <v>4354</v>
      </c>
      <c r="AA343" t="s">
        <v>4373</v>
      </c>
      <c r="AB343" t="s">
        <v>4681</v>
      </c>
      <c r="AD343" t="s">
        <v>6087</v>
      </c>
      <c r="AE343">
        <v>0</v>
      </c>
      <c r="AF343" t="s">
        <v>7105</v>
      </c>
      <c r="AG343" t="s">
        <v>3745</v>
      </c>
      <c r="AH343">
        <v>20</v>
      </c>
      <c r="AI343">
        <v>2</v>
      </c>
      <c r="AJ343">
        <v>0</v>
      </c>
      <c r="AK343">
        <v>61.24</v>
      </c>
      <c r="AN343" t="s">
        <v>7139</v>
      </c>
      <c r="AO343">
        <v>10080</v>
      </c>
      <c r="AU343">
        <v>5</v>
      </c>
      <c r="AV343" t="s">
        <v>175</v>
      </c>
      <c r="AW343" t="s">
        <v>7350</v>
      </c>
    </row>
    <row r="344" spans="1:50">
      <c r="A344" s="1">
        <f>HYPERLINK("https://lsnyc.legalserver.org/matter/dynamic-profile/view/1871577","18-1871577")</f>
        <v>0</v>
      </c>
      <c r="B344" t="s">
        <v>56</v>
      </c>
      <c r="C344" t="s">
        <v>104</v>
      </c>
      <c r="D344" t="s">
        <v>119</v>
      </c>
      <c r="E344" t="s">
        <v>627</v>
      </c>
      <c r="F344" t="s">
        <v>929</v>
      </c>
      <c r="G344" t="s">
        <v>1810</v>
      </c>
      <c r="H344" t="s">
        <v>2691</v>
      </c>
      <c r="I344" t="s">
        <v>3387</v>
      </c>
      <c r="J344" t="s">
        <v>3604</v>
      </c>
      <c r="K344">
        <v>10034</v>
      </c>
      <c r="L344" t="s">
        <v>3610</v>
      </c>
      <c r="M344" t="s">
        <v>3610</v>
      </c>
      <c r="O344" t="s">
        <v>4213</v>
      </c>
      <c r="P344" t="s">
        <v>4245</v>
      </c>
      <c r="Q344" t="s">
        <v>4249</v>
      </c>
      <c r="R344" t="s">
        <v>4258</v>
      </c>
      <c r="S344" t="s">
        <v>3611</v>
      </c>
      <c r="U344" t="s">
        <v>4268</v>
      </c>
      <c r="W344" t="s">
        <v>119</v>
      </c>
      <c r="X344">
        <v>1200</v>
      </c>
      <c r="Y344" t="s">
        <v>4351</v>
      </c>
      <c r="Z344" t="s">
        <v>4354</v>
      </c>
      <c r="AA344" t="s">
        <v>4377</v>
      </c>
      <c r="AB344" t="s">
        <v>4682</v>
      </c>
      <c r="AD344" t="s">
        <v>6088</v>
      </c>
      <c r="AE344">
        <v>46</v>
      </c>
      <c r="AF344" t="s">
        <v>7101</v>
      </c>
      <c r="AG344" t="s">
        <v>3745</v>
      </c>
      <c r="AH344">
        <v>30</v>
      </c>
      <c r="AI344">
        <v>3</v>
      </c>
      <c r="AJ344">
        <v>1</v>
      </c>
      <c r="AK344">
        <v>61.25</v>
      </c>
      <c r="AN344" t="s">
        <v>7139</v>
      </c>
      <c r="AO344">
        <v>15374.46</v>
      </c>
      <c r="AU344">
        <v>1.9</v>
      </c>
      <c r="AV344" t="s">
        <v>212</v>
      </c>
      <c r="AW344" t="s">
        <v>7342</v>
      </c>
    </row>
    <row r="345" spans="1:50">
      <c r="A345" s="1">
        <f>HYPERLINK("https://lsnyc.legalserver.org/matter/dynamic-profile/view/1873805","18-1873805")</f>
        <v>0</v>
      </c>
      <c r="B345" t="s">
        <v>56</v>
      </c>
      <c r="C345" t="s">
        <v>104</v>
      </c>
      <c r="D345" t="s">
        <v>287</v>
      </c>
      <c r="E345" t="s">
        <v>579</v>
      </c>
      <c r="F345" t="s">
        <v>929</v>
      </c>
      <c r="G345" t="s">
        <v>1810</v>
      </c>
      <c r="H345" t="s">
        <v>2691</v>
      </c>
      <c r="I345" t="s">
        <v>3387</v>
      </c>
      <c r="J345" t="s">
        <v>3604</v>
      </c>
      <c r="K345">
        <v>10034</v>
      </c>
      <c r="L345" t="s">
        <v>3610</v>
      </c>
      <c r="M345" t="s">
        <v>3610</v>
      </c>
      <c r="O345" t="s">
        <v>4213</v>
      </c>
      <c r="P345" t="s">
        <v>4245</v>
      </c>
      <c r="Q345" t="s">
        <v>4250</v>
      </c>
      <c r="R345" t="s">
        <v>4258</v>
      </c>
      <c r="S345" t="s">
        <v>3611</v>
      </c>
      <c r="U345" t="s">
        <v>4268</v>
      </c>
      <c r="W345" t="s">
        <v>287</v>
      </c>
      <c r="X345">
        <v>1200</v>
      </c>
      <c r="Y345" t="s">
        <v>4351</v>
      </c>
      <c r="Z345" t="s">
        <v>4357</v>
      </c>
      <c r="AA345" t="s">
        <v>4373</v>
      </c>
      <c r="AB345" t="s">
        <v>4682</v>
      </c>
      <c r="AD345" t="s">
        <v>6088</v>
      </c>
      <c r="AE345">
        <v>46</v>
      </c>
      <c r="AF345" t="s">
        <v>7101</v>
      </c>
      <c r="AG345" t="s">
        <v>3745</v>
      </c>
      <c r="AH345">
        <v>30</v>
      </c>
      <c r="AI345">
        <v>3</v>
      </c>
      <c r="AJ345">
        <v>1</v>
      </c>
      <c r="AK345">
        <v>61.25</v>
      </c>
      <c r="AN345" t="s">
        <v>7139</v>
      </c>
      <c r="AO345">
        <v>15374.46</v>
      </c>
      <c r="AU345">
        <v>0.5</v>
      </c>
      <c r="AV345" t="s">
        <v>579</v>
      </c>
      <c r="AW345" t="s">
        <v>7342</v>
      </c>
    </row>
    <row r="346" spans="1:50">
      <c r="A346" s="1">
        <f>HYPERLINK("https://lsnyc.legalserver.org/matter/dynamic-profile/view/1846318","17-1846318")</f>
        <v>0</v>
      </c>
      <c r="B346" t="s">
        <v>91</v>
      </c>
      <c r="C346" t="s">
        <v>105</v>
      </c>
      <c r="D346" t="s">
        <v>336</v>
      </c>
      <c r="F346" t="s">
        <v>843</v>
      </c>
      <c r="G346" t="s">
        <v>1771</v>
      </c>
      <c r="H346" t="s">
        <v>2692</v>
      </c>
      <c r="I346" t="s">
        <v>3388</v>
      </c>
      <c r="J346" t="s">
        <v>3604</v>
      </c>
      <c r="K346">
        <v>10002</v>
      </c>
      <c r="L346" t="s">
        <v>3609</v>
      </c>
      <c r="M346" t="s">
        <v>3609</v>
      </c>
      <c r="P346" t="s">
        <v>4244</v>
      </c>
      <c r="R346" t="s">
        <v>4258</v>
      </c>
      <c r="T346" t="s">
        <v>4259</v>
      </c>
      <c r="U346" t="s">
        <v>4271</v>
      </c>
      <c r="X346">
        <v>0</v>
      </c>
      <c r="Y346" t="s">
        <v>4351</v>
      </c>
      <c r="AB346" t="s">
        <v>4683</v>
      </c>
      <c r="AE346">
        <v>0</v>
      </c>
      <c r="AH346">
        <v>0</v>
      </c>
      <c r="AI346">
        <v>2</v>
      </c>
      <c r="AJ346">
        <v>0</v>
      </c>
      <c r="AK346">
        <v>61.33</v>
      </c>
      <c r="AN346" t="s">
        <v>7139</v>
      </c>
      <c r="AO346">
        <v>9960</v>
      </c>
      <c r="AU346">
        <v>8</v>
      </c>
      <c r="AV346" t="s">
        <v>345</v>
      </c>
      <c r="AW346" t="s">
        <v>7368</v>
      </c>
    </row>
    <row r="347" spans="1:50">
      <c r="A347" s="1">
        <f>HYPERLINK("https://lsnyc.legalserver.org/matter/dynamic-profile/view/0823241","16-0823241")</f>
        <v>0</v>
      </c>
      <c r="B347" t="s">
        <v>55</v>
      </c>
      <c r="C347" t="s">
        <v>104</v>
      </c>
      <c r="D347" t="s">
        <v>337</v>
      </c>
      <c r="E347" t="s">
        <v>662</v>
      </c>
      <c r="F347" t="s">
        <v>930</v>
      </c>
      <c r="G347" t="s">
        <v>1811</v>
      </c>
      <c r="H347" t="s">
        <v>2693</v>
      </c>
      <c r="I347">
        <v>62</v>
      </c>
      <c r="J347" t="s">
        <v>3604</v>
      </c>
      <c r="K347">
        <v>10029</v>
      </c>
      <c r="L347" t="s">
        <v>3610</v>
      </c>
      <c r="M347" t="s">
        <v>3610</v>
      </c>
      <c r="O347" t="s">
        <v>4211</v>
      </c>
      <c r="P347" t="s">
        <v>4244</v>
      </c>
      <c r="Q347" t="s">
        <v>4254</v>
      </c>
      <c r="R347" t="s">
        <v>4258</v>
      </c>
      <c r="S347" t="s">
        <v>3611</v>
      </c>
      <c r="U347" t="s">
        <v>4268</v>
      </c>
      <c r="V347" t="s">
        <v>4274</v>
      </c>
      <c r="W347" t="s">
        <v>608</v>
      </c>
      <c r="X347">
        <v>950</v>
      </c>
      <c r="Y347" t="s">
        <v>4351</v>
      </c>
      <c r="Z347" t="s">
        <v>4357</v>
      </c>
      <c r="AA347" t="s">
        <v>4377</v>
      </c>
      <c r="AB347" t="s">
        <v>4684</v>
      </c>
      <c r="AD347" t="s">
        <v>6089</v>
      </c>
      <c r="AE347">
        <v>32</v>
      </c>
      <c r="AF347" t="s">
        <v>7101</v>
      </c>
      <c r="AG347" t="s">
        <v>3745</v>
      </c>
      <c r="AH347">
        <v>4</v>
      </c>
      <c r="AI347">
        <v>1</v>
      </c>
      <c r="AJ347">
        <v>1</v>
      </c>
      <c r="AK347">
        <v>61.65</v>
      </c>
      <c r="AN347" t="s">
        <v>7138</v>
      </c>
      <c r="AO347">
        <v>9876</v>
      </c>
      <c r="AU347">
        <v>4</v>
      </c>
      <c r="AV347" t="s">
        <v>452</v>
      </c>
      <c r="AW347" t="s">
        <v>7341</v>
      </c>
    </row>
    <row r="348" spans="1:50">
      <c r="A348" s="1">
        <f>HYPERLINK("https://lsnyc.legalserver.org/matter/dynamic-profile/view/0801458","16-0801458")</f>
        <v>0</v>
      </c>
      <c r="B348" t="s">
        <v>51</v>
      </c>
      <c r="C348" t="s">
        <v>104</v>
      </c>
      <c r="D348" t="s">
        <v>338</v>
      </c>
      <c r="E348" t="s">
        <v>293</v>
      </c>
      <c r="F348" t="s">
        <v>931</v>
      </c>
      <c r="G348" t="s">
        <v>1812</v>
      </c>
      <c r="H348" t="s">
        <v>2471</v>
      </c>
      <c r="I348" t="s">
        <v>3389</v>
      </c>
      <c r="J348" t="s">
        <v>3604</v>
      </c>
      <c r="K348">
        <v>10034</v>
      </c>
      <c r="L348" t="s">
        <v>3611</v>
      </c>
      <c r="M348" t="s">
        <v>3611</v>
      </c>
      <c r="N348" t="s">
        <v>3745</v>
      </c>
      <c r="O348" t="s">
        <v>4211</v>
      </c>
      <c r="P348" t="s">
        <v>4244</v>
      </c>
      <c r="Q348" t="s">
        <v>4249</v>
      </c>
      <c r="R348" t="s">
        <v>4258</v>
      </c>
      <c r="S348" t="s">
        <v>3611</v>
      </c>
      <c r="U348" t="s">
        <v>4268</v>
      </c>
      <c r="V348" t="s">
        <v>4274</v>
      </c>
      <c r="W348" t="s">
        <v>338</v>
      </c>
      <c r="X348">
        <v>810</v>
      </c>
      <c r="Y348" t="s">
        <v>4351</v>
      </c>
      <c r="Z348" t="s">
        <v>4356</v>
      </c>
      <c r="AA348" t="s">
        <v>4379</v>
      </c>
      <c r="AB348" t="s">
        <v>4685</v>
      </c>
      <c r="AD348" t="s">
        <v>6090</v>
      </c>
      <c r="AE348">
        <v>60</v>
      </c>
      <c r="AF348" t="s">
        <v>7101</v>
      </c>
      <c r="AG348" t="s">
        <v>3745</v>
      </c>
      <c r="AH348">
        <v>30</v>
      </c>
      <c r="AI348">
        <v>4</v>
      </c>
      <c r="AJ348">
        <v>0</v>
      </c>
      <c r="AK348">
        <v>61.73</v>
      </c>
      <c r="AN348" t="s">
        <v>7138</v>
      </c>
      <c r="AO348">
        <v>15000</v>
      </c>
      <c r="AP348" t="s">
        <v>7172</v>
      </c>
      <c r="AU348">
        <v>1.8</v>
      </c>
      <c r="AV348" t="s">
        <v>565</v>
      </c>
      <c r="AW348" t="s">
        <v>7341</v>
      </c>
    </row>
    <row r="349" spans="1:50">
      <c r="A349" s="1">
        <f>HYPERLINK("https://lsnyc.legalserver.org/matter/dynamic-profile/view/1902418","19-1902418")</f>
        <v>0</v>
      </c>
      <c r="B349" t="s">
        <v>92</v>
      </c>
      <c r="C349" t="s">
        <v>104</v>
      </c>
      <c r="D349" t="s">
        <v>330</v>
      </c>
      <c r="E349" t="s">
        <v>325</v>
      </c>
      <c r="F349" t="s">
        <v>855</v>
      </c>
      <c r="G349" t="s">
        <v>1813</v>
      </c>
      <c r="H349" t="s">
        <v>2694</v>
      </c>
      <c r="I349" t="s">
        <v>3341</v>
      </c>
      <c r="J349" t="s">
        <v>3604</v>
      </c>
      <c r="K349">
        <v>10030</v>
      </c>
      <c r="L349" t="s">
        <v>3610</v>
      </c>
      <c r="M349" t="s">
        <v>3609</v>
      </c>
      <c r="N349" t="s">
        <v>3746</v>
      </c>
      <c r="O349" t="s">
        <v>4209</v>
      </c>
      <c r="P349" t="s">
        <v>4242</v>
      </c>
      <c r="Q349" t="s">
        <v>4250</v>
      </c>
      <c r="R349" t="s">
        <v>4258</v>
      </c>
      <c r="S349" t="s">
        <v>3611</v>
      </c>
      <c r="U349" t="s">
        <v>4268</v>
      </c>
      <c r="W349" t="s">
        <v>330</v>
      </c>
      <c r="X349">
        <v>1415</v>
      </c>
      <c r="Y349" t="s">
        <v>4351</v>
      </c>
      <c r="Z349" t="s">
        <v>4353</v>
      </c>
      <c r="AA349" t="s">
        <v>4373</v>
      </c>
      <c r="AB349" t="s">
        <v>4686</v>
      </c>
      <c r="AC349" t="s">
        <v>5810</v>
      </c>
      <c r="AD349" t="s">
        <v>6091</v>
      </c>
      <c r="AE349">
        <v>0</v>
      </c>
      <c r="AF349" t="s">
        <v>7106</v>
      </c>
      <c r="AG349" t="s">
        <v>7116</v>
      </c>
      <c r="AH349">
        <v>25</v>
      </c>
      <c r="AI349">
        <v>2</v>
      </c>
      <c r="AJ349">
        <v>0</v>
      </c>
      <c r="AK349">
        <v>61.74</v>
      </c>
      <c r="AN349" t="s">
        <v>7138</v>
      </c>
      <c r="AO349">
        <v>10440</v>
      </c>
      <c r="AU349">
        <v>0.75</v>
      </c>
      <c r="AV349" t="s">
        <v>330</v>
      </c>
      <c r="AW349" t="s">
        <v>7347</v>
      </c>
      <c r="AX349" t="s">
        <v>7378</v>
      </c>
    </row>
    <row r="350" spans="1:50">
      <c r="A350" s="1">
        <f>HYPERLINK("https://lsnyc.legalserver.org/matter/dynamic-profile/view/1873740","18-1873740")</f>
        <v>0</v>
      </c>
      <c r="B350" t="s">
        <v>65</v>
      </c>
      <c r="C350" t="s">
        <v>104</v>
      </c>
      <c r="D350" t="s">
        <v>287</v>
      </c>
      <c r="E350" t="s">
        <v>435</v>
      </c>
      <c r="F350" t="s">
        <v>735</v>
      </c>
      <c r="G350" t="s">
        <v>1814</v>
      </c>
      <c r="H350" t="s">
        <v>2695</v>
      </c>
      <c r="I350" t="s">
        <v>3324</v>
      </c>
      <c r="J350" t="s">
        <v>3604</v>
      </c>
      <c r="K350">
        <v>10034</v>
      </c>
      <c r="L350" t="s">
        <v>3610</v>
      </c>
      <c r="M350" t="s">
        <v>3610</v>
      </c>
      <c r="O350" t="s">
        <v>4209</v>
      </c>
      <c r="P350" t="s">
        <v>4242</v>
      </c>
      <c r="Q350" t="s">
        <v>4250</v>
      </c>
      <c r="R350" t="s">
        <v>4258</v>
      </c>
      <c r="S350" t="s">
        <v>3611</v>
      </c>
      <c r="U350" t="s">
        <v>4268</v>
      </c>
      <c r="W350" t="s">
        <v>287</v>
      </c>
      <c r="X350">
        <v>1275</v>
      </c>
      <c r="Y350" t="s">
        <v>4351</v>
      </c>
      <c r="Z350" t="s">
        <v>4357</v>
      </c>
      <c r="AA350" t="s">
        <v>4373</v>
      </c>
      <c r="AB350" t="s">
        <v>4687</v>
      </c>
      <c r="AD350" t="s">
        <v>6092</v>
      </c>
      <c r="AE350">
        <v>44</v>
      </c>
      <c r="AF350" t="s">
        <v>7101</v>
      </c>
      <c r="AG350" t="s">
        <v>3745</v>
      </c>
      <c r="AH350">
        <v>15</v>
      </c>
      <c r="AI350">
        <v>3</v>
      </c>
      <c r="AJ350">
        <v>2</v>
      </c>
      <c r="AK350">
        <v>61.86</v>
      </c>
      <c r="AN350" t="s">
        <v>7139</v>
      </c>
      <c r="AO350">
        <v>18200</v>
      </c>
      <c r="AU350">
        <v>1</v>
      </c>
      <c r="AV350" t="s">
        <v>435</v>
      </c>
      <c r="AW350" t="s">
        <v>7342</v>
      </c>
    </row>
    <row r="351" spans="1:50">
      <c r="A351" s="1">
        <f>HYPERLINK("https://lsnyc.legalserver.org/matter/dynamic-profile/view/1882611","18-1882611")</f>
        <v>0</v>
      </c>
      <c r="B351" t="s">
        <v>55</v>
      </c>
      <c r="C351" t="s">
        <v>104</v>
      </c>
      <c r="D351" t="s">
        <v>192</v>
      </c>
      <c r="E351" t="s">
        <v>209</v>
      </c>
      <c r="F351" t="s">
        <v>932</v>
      </c>
      <c r="G351" t="s">
        <v>1815</v>
      </c>
      <c r="H351" t="s">
        <v>2696</v>
      </c>
      <c r="I351" t="s">
        <v>3390</v>
      </c>
      <c r="J351" t="s">
        <v>3608</v>
      </c>
      <c r="K351">
        <v>10457</v>
      </c>
      <c r="L351" t="s">
        <v>3610</v>
      </c>
      <c r="M351" t="s">
        <v>3610</v>
      </c>
      <c r="O351" t="s">
        <v>4211</v>
      </c>
      <c r="P351" t="s">
        <v>4242</v>
      </c>
      <c r="Q351" t="s">
        <v>4250</v>
      </c>
      <c r="R351" t="s">
        <v>4257</v>
      </c>
      <c r="S351" t="s">
        <v>3611</v>
      </c>
      <c r="U351" t="s">
        <v>4273</v>
      </c>
      <c r="V351" t="s">
        <v>4274</v>
      </c>
      <c r="W351" t="s">
        <v>653</v>
      </c>
      <c r="X351">
        <v>0</v>
      </c>
      <c r="Y351" t="s">
        <v>4351</v>
      </c>
      <c r="Z351" t="s">
        <v>4355</v>
      </c>
      <c r="AA351" t="s">
        <v>4373</v>
      </c>
      <c r="AB351" t="s">
        <v>4688</v>
      </c>
      <c r="AD351" t="s">
        <v>6093</v>
      </c>
      <c r="AE351">
        <v>58</v>
      </c>
      <c r="AF351" t="s">
        <v>7108</v>
      </c>
      <c r="AG351" t="s">
        <v>3745</v>
      </c>
      <c r="AH351">
        <v>0</v>
      </c>
      <c r="AI351">
        <v>1</v>
      </c>
      <c r="AJ351">
        <v>3</v>
      </c>
      <c r="AK351">
        <v>62.01</v>
      </c>
      <c r="AL351" t="s">
        <v>369</v>
      </c>
      <c r="AM351" t="s">
        <v>7133</v>
      </c>
      <c r="AN351" t="s">
        <v>7138</v>
      </c>
      <c r="AO351">
        <v>15564</v>
      </c>
      <c r="AU351">
        <v>0.5</v>
      </c>
      <c r="AV351" t="s">
        <v>656</v>
      </c>
      <c r="AW351" t="s">
        <v>7341</v>
      </c>
    </row>
    <row r="352" spans="1:50">
      <c r="A352" s="1">
        <f>HYPERLINK("https://lsnyc.legalserver.org/matter/dynamic-profile/view/0832581","17-0832581")</f>
        <v>0</v>
      </c>
      <c r="B352" t="s">
        <v>64</v>
      </c>
      <c r="C352" t="s">
        <v>105</v>
      </c>
      <c r="D352" t="s">
        <v>339</v>
      </c>
      <c r="F352" t="s">
        <v>933</v>
      </c>
      <c r="G352" t="s">
        <v>1599</v>
      </c>
      <c r="H352" t="s">
        <v>2496</v>
      </c>
      <c r="I352">
        <v>52</v>
      </c>
      <c r="J352" t="s">
        <v>3604</v>
      </c>
      <c r="K352">
        <v>10032</v>
      </c>
      <c r="L352" t="s">
        <v>3610</v>
      </c>
      <c r="M352" t="s">
        <v>3609</v>
      </c>
      <c r="O352" t="s">
        <v>4213</v>
      </c>
      <c r="P352" t="s">
        <v>4244</v>
      </c>
      <c r="R352" t="s">
        <v>4258</v>
      </c>
      <c r="S352" t="s">
        <v>3610</v>
      </c>
      <c r="U352" t="s">
        <v>4268</v>
      </c>
      <c r="W352" t="s">
        <v>4282</v>
      </c>
      <c r="X352">
        <v>0</v>
      </c>
      <c r="Y352" t="s">
        <v>4351</v>
      </c>
      <c r="Z352" t="s">
        <v>4352</v>
      </c>
      <c r="AB352" t="s">
        <v>4689</v>
      </c>
      <c r="AD352" t="s">
        <v>6094</v>
      </c>
      <c r="AE352">
        <v>0</v>
      </c>
      <c r="AF352" t="s">
        <v>7101</v>
      </c>
      <c r="AG352" t="s">
        <v>3745</v>
      </c>
      <c r="AH352">
        <v>8</v>
      </c>
      <c r="AI352">
        <v>2</v>
      </c>
      <c r="AJ352">
        <v>0</v>
      </c>
      <c r="AK352">
        <v>62.14</v>
      </c>
      <c r="AL352" t="s">
        <v>4319</v>
      </c>
      <c r="AN352" t="s">
        <v>7139</v>
      </c>
      <c r="AO352">
        <v>10092</v>
      </c>
      <c r="AU352">
        <v>12.25</v>
      </c>
      <c r="AV352" t="s">
        <v>236</v>
      </c>
      <c r="AW352" t="s">
        <v>7341</v>
      </c>
    </row>
    <row r="353" spans="1:50">
      <c r="A353" s="1">
        <f>HYPERLINK("https://lsnyc.legalserver.org/matter/dynamic-profile/view/0832587","17-0832587")</f>
        <v>0</v>
      </c>
      <c r="B353" t="s">
        <v>64</v>
      </c>
      <c r="C353" t="s">
        <v>105</v>
      </c>
      <c r="D353" t="s">
        <v>339</v>
      </c>
      <c r="F353" t="s">
        <v>933</v>
      </c>
      <c r="G353" t="s">
        <v>1599</v>
      </c>
      <c r="H353" t="s">
        <v>2496</v>
      </c>
      <c r="I353">
        <v>52</v>
      </c>
      <c r="J353" t="s">
        <v>3604</v>
      </c>
      <c r="K353">
        <v>10032</v>
      </c>
      <c r="L353" t="s">
        <v>3610</v>
      </c>
      <c r="M353" t="s">
        <v>3609</v>
      </c>
      <c r="O353" t="s">
        <v>4211</v>
      </c>
      <c r="P353" t="s">
        <v>4244</v>
      </c>
      <c r="R353" t="s">
        <v>4258</v>
      </c>
      <c r="S353" t="s">
        <v>3610</v>
      </c>
      <c r="U353" t="s">
        <v>4268</v>
      </c>
      <c r="W353" t="s">
        <v>4283</v>
      </c>
      <c r="X353">
        <v>120</v>
      </c>
      <c r="Y353" t="s">
        <v>4351</v>
      </c>
      <c r="Z353" t="s">
        <v>4352</v>
      </c>
      <c r="AB353" t="s">
        <v>4689</v>
      </c>
      <c r="AD353" t="s">
        <v>6094</v>
      </c>
      <c r="AE353">
        <v>44</v>
      </c>
      <c r="AF353" t="s">
        <v>7101</v>
      </c>
      <c r="AG353" t="s">
        <v>3745</v>
      </c>
      <c r="AH353">
        <v>8</v>
      </c>
      <c r="AI353">
        <v>2</v>
      </c>
      <c r="AJ353">
        <v>0</v>
      </c>
      <c r="AK353">
        <v>62.14</v>
      </c>
      <c r="AL353" t="s">
        <v>4311</v>
      </c>
      <c r="AN353" t="s">
        <v>7139</v>
      </c>
      <c r="AO353">
        <v>10092</v>
      </c>
      <c r="AU353">
        <v>0</v>
      </c>
      <c r="AW353" t="s">
        <v>7341</v>
      </c>
    </row>
    <row r="354" spans="1:50">
      <c r="A354" s="1">
        <f>HYPERLINK("https://lsnyc.legalserver.org/matter/dynamic-profile/view/1896367","19-1896367")</f>
        <v>0</v>
      </c>
      <c r="B354" t="s">
        <v>60</v>
      </c>
      <c r="C354" t="s">
        <v>105</v>
      </c>
      <c r="D354" t="s">
        <v>340</v>
      </c>
      <c r="F354" t="s">
        <v>934</v>
      </c>
      <c r="G354" t="s">
        <v>1754</v>
      </c>
      <c r="H354" t="s">
        <v>2697</v>
      </c>
      <c r="I354" t="s">
        <v>3391</v>
      </c>
      <c r="J354" t="s">
        <v>3604</v>
      </c>
      <c r="K354">
        <v>10034</v>
      </c>
      <c r="L354" t="s">
        <v>3609</v>
      </c>
      <c r="M354" t="s">
        <v>3609</v>
      </c>
      <c r="O354" t="s">
        <v>4211</v>
      </c>
      <c r="P354" t="s">
        <v>4244</v>
      </c>
      <c r="R354" t="s">
        <v>4257</v>
      </c>
      <c r="U354" t="s">
        <v>4268</v>
      </c>
      <c r="X354">
        <v>460</v>
      </c>
      <c r="Y354" t="s">
        <v>4351</v>
      </c>
      <c r="AB354" t="s">
        <v>4690</v>
      </c>
      <c r="AD354" t="s">
        <v>6095</v>
      </c>
      <c r="AE354">
        <v>0</v>
      </c>
      <c r="AH354">
        <v>4</v>
      </c>
      <c r="AI354">
        <v>2</v>
      </c>
      <c r="AJ354">
        <v>0</v>
      </c>
      <c r="AK354">
        <v>62.31</v>
      </c>
      <c r="AN354" t="s">
        <v>7139</v>
      </c>
      <c r="AO354">
        <v>10536</v>
      </c>
      <c r="AU354">
        <v>9.35</v>
      </c>
      <c r="AV354" t="s">
        <v>149</v>
      </c>
      <c r="AW354" t="s">
        <v>7340</v>
      </c>
    </row>
    <row r="355" spans="1:50">
      <c r="A355" s="1">
        <f>HYPERLINK("https://lsnyc.legalserver.org/matter/dynamic-profile/view/1888851","19-1888851")</f>
        <v>0</v>
      </c>
      <c r="B355" t="s">
        <v>69</v>
      </c>
      <c r="C355" t="s">
        <v>105</v>
      </c>
      <c r="D355" t="s">
        <v>341</v>
      </c>
      <c r="F355" t="s">
        <v>935</v>
      </c>
      <c r="G355" t="s">
        <v>1816</v>
      </c>
      <c r="H355" t="s">
        <v>2698</v>
      </c>
      <c r="I355" t="s">
        <v>3315</v>
      </c>
      <c r="J355" t="s">
        <v>3604</v>
      </c>
      <c r="K355">
        <v>10128</v>
      </c>
      <c r="L355" t="s">
        <v>3610</v>
      </c>
      <c r="M355" t="s">
        <v>3610</v>
      </c>
      <c r="N355" t="s">
        <v>3747</v>
      </c>
      <c r="O355" t="s">
        <v>4209</v>
      </c>
      <c r="P355" t="s">
        <v>4241</v>
      </c>
      <c r="R355" t="s">
        <v>4258</v>
      </c>
      <c r="S355" t="s">
        <v>3611</v>
      </c>
      <c r="U355" t="s">
        <v>4268</v>
      </c>
      <c r="V355" t="s">
        <v>4274</v>
      </c>
      <c r="W355" t="s">
        <v>341</v>
      </c>
      <c r="X355">
        <v>1660.44</v>
      </c>
      <c r="Y355" t="s">
        <v>4351</v>
      </c>
      <c r="Z355" t="s">
        <v>4356</v>
      </c>
      <c r="AB355" t="s">
        <v>4691</v>
      </c>
      <c r="AD355" t="s">
        <v>6096</v>
      </c>
      <c r="AE355">
        <v>19</v>
      </c>
      <c r="AF355" t="s">
        <v>7101</v>
      </c>
      <c r="AG355" t="s">
        <v>3745</v>
      </c>
      <c r="AH355">
        <v>3</v>
      </c>
      <c r="AI355">
        <v>1</v>
      </c>
      <c r="AJ355">
        <v>0</v>
      </c>
      <c r="AK355">
        <v>62.45</v>
      </c>
      <c r="AN355" t="s">
        <v>7138</v>
      </c>
      <c r="AO355">
        <v>7800</v>
      </c>
      <c r="AQ355" t="s">
        <v>7198</v>
      </c>
      <c r="AR355" t="s">
        <v>4228</v>
      </c>
      <c r="AS355" t="s">
        <v>7232</v>
      </c>
      <c r="AT355" t="s">
        <v>7250</v>
      </c>
      <c r="AU355">
        <v>20.2</v>
      </c>
      <c r="AV355" t="s">
        <v>325</v>
      </c>
      <c r="AW355" t="s">
        <v>7341</v>
      </c>
      <c r="AX355" t="s">
        <v>7377</v>
      </c>
    </row>
    <row r="356" spans="1:50">
      <c r="A356" s="1">
        <f>HYPERLINK("https://lsnyc.legalserver.org/matter/dynamic-profile/view/1878802","18-1878802")</f>
        <v>0</v>
      </c>
      <c r="B356" t="s">
        <v>64</v>
      </c>
      <c r="C356" t="s">
        <v>104</v>
      </c>
      <c r="D356" t="s">
        <v>342</v>
      </c>
      <c r="E356" t="s">
        <v>342</v>
      </c>
      <c r="F356" t="s">
        <v>936</v>
      </c>
      <c r="G356" t="s">
        <v>1817</v>
      </c>
      <c r="H356" t="s">
        <v>2699</v>
      </c>
      <c r="I356" t="s">
        <v>3306</v>
      </c>
      <c r="J356" t="s">
        <v>3604</v>
      </c>
      <c r="K356">
        <v>10034</v>
      </c>
      <c r="L356" t="s">
        <v>3610</v>
      </c>
      <c r="M356" t="s">
        <v>3610</v>
      </c>
      <c r="O356" t="s">
        <v>4210</v>
      </c>
      <c r="P356" t="s">
        <v>4242</v>
      </c>
      <c r="Q356" t="s">
        <v>4250</v>
      </c>
      <c r="R356" t="s">
        <v>4258</v>
      </c>
      <c r="S356" t="s">
        <v>3611</v>
      </c>
      <c r="U356" t="s">
        <v>4268</v>
      </c>
      <c r="W356" t="s">
        <v>342</v>
      </c>
      <c r="X356">
        <v>871.59</v>
      </c>
      <c r="Y356" t="s">
        <v>4351</v>
      </c>
      <c r="Z356" t="s">
        <v>4354</v>
      </c>
      <c r="AA356" t="s">
        <v>4373</v>
      </c>
      <c r="AB356" t="s">
        <v>4692</v>
      </c>
      <c r="AD356" t="s">
        <v>6097</v>
      </c>
      <c r="AE356">
        <v>0</v>
      </c>
      <c r="AF356" t="s">
        <v>7101</v>
      </c>
      <c r="AG356" t="s">
        <v>3745</v>
      </c>
      <c r="AH356">
        <v>12</v>
      </c>
      <c r="AI356">
        <v>2</v>
      </c>
      <c r="AJ356">
        <v>0</v>
      </c>
      <c r="AK356">
        <v>62.48</v>
      </c>
      <c r="AN356" t="s">
        <v>7139</v>
      </c>
      <c r="AO356">
        <v>10284</v>
      </c>
      <c r="AU356">
        <v>1</v>
      </c>
      <c r="AV356" t="s">
        <v>342</v>
      </c>
      <c r="AW356" t="s">
        <v>7342</v>
      </c>
    </row>
    <row r="357" spans="1:50">
      <c r="A357" s="1">
        <f>HYPERLINK("https://lsnyc.legalserver.org/matter/dynamic-profile/view/1864457","18-1864457")</f>
        <v>0</v>
      </c>
      <c r="B357" t="s">
        <v>54</v>
      </c>
      <c r="C357" t="s">
        <v>104</v>
      </c>
      <c r="D357" t="s">
        <v>157</v>
      </c>
      <c r="E357" t="s">
        <v>662</v>
      </c>
      <c r="F357" t="s">
        <v>763</v>
      </c>
      <c r="G357" t="s">
        <v>1600</v>
      </c>
      <c r="H357" t="s">
        <v>2700</v>
      </c>
      <c r="I357" t="s">
        <v>3273</v>
      </c>
      <c r="J357" t="s">
        <v>3604</v>
      </c>
      <c r="K357">
        <v>10032</v>
      </c>
      <c r="L357" t="s">
        <v>3610</v>
      </c>
      <c r="M357" t="s">
        <v>3610</v>
      </c>
      <c r="N357" t="s">
        <v>3748</v>
      </c>
      <c r="O357" t="s">
        <v>4209</v>
      </c>
      <c r="P357" t="s">
        <v>4241</v>
      </c>
      <c r="Q357" t="s">
        <v>4248</v>
      </c>
      <c r="R357" t="s">
        <v>4258</v>
      </c>
      <c r="S357" t="s">
        <v>3611</v>
      </c>
      <c r="U357" t="s">
        <v>4268</v>
      </c>
      <c r="W357" t="s">
        <v>157</v>
      </c>
      <c r="X357">
        <v>1181.02</v>
      </c>
      <c r="Y357" t="s">
        <v>4351</v>
      </c>
      <c r="Z357" t="s">
        <v>4354</v>
      </c>
      <c r="AA357" t="s">
        <v>4374</v>
      </c>
      <c r="AB357" t="s">
        <v>4693</v>
      </c>
      <c r="AD357" t="s">
        <v>6098</v>
      </c>
      <c r="AE357">
        <v>30</v>
      </c>
      <c r="AF357" t="s">
        <v>7101</v>
      </c>
      <c r="AG357" t="s">
        <v>3745</v>
      </c>
      <c r="AH357">
        <v>13</v>
      </c>
      <c r="AI357">
        <v>3</v>
      </c>
      <c r="AJ357">
        <v>0</v>
      </c>
      <c r="AK357">
        <v>62.48</v>
      </c>
      <c r="AN357" t="s">
        <v>7139</v>
      </c>
      <c r="AO357">
        <v>12984</v>
      </c>
      <c r="AU357">
        <v>29.25</v>
      </c>
      <c r="AV357" t="s">
        <v>142</v>
      </c>
      <c r="AW357" t="s">
        <v>7342</v>
      </c>
    </row>
    <row r="358" spans="1:50">
      <c r="A358" s="1">
        <f>HYPERLINK("https://lsnyc.legalserver.org/matter/dynamic-profile/view/1875941","18-1875941")</f>
        <v>0</v>
      </c>
      <c r="B358" t="s">
        <v>52</v>
      </c>
      <c r="C358" t="s">
        <v>105</v>
      </c>
      <c r="D358" t="s">
        <v>343</v>
      </c>
      <c r="F358" t="s">
        <v>937</v>
      </c>
      <c r="G358" t="s">
        <v>1737</v>
      </c>
      <c r="H358" t="s">
        <v>2701</v>
      </c>
      <c r="I358" t="s">
        <v>3344</v>
      </c>
      <c r="J358" t="s">
        <v>3604</v>
      </c>
      <c r="K358">
        <v>10033</v>
      </c>
      <c r="L358" t="s">
        <v>3609</v>
      </c>
      <c r="M358" t="s">
        <v>3609</v>
      </c>
      <c r="P358" t="s">
        <v>4245</v>
      </c>
      <c r="R358" t="s">
        <v>4257</v>
      </c>
      <c r="S358" t="s">
        <v>3611</v>
      </c>
      <c r="U358" t="s">
        <v>4268</v>
      </c>
      <c r="X358">
        <v>0</v>
      </c>
      <c r="Y358" t="s">
        <v>4351</v>
      </c>
      <c r="AB358" t="s">
        <v>4694</v>
      </c>
      <c r="AE358">
        <v>0</v>
      </c>
      <c r="AF358" t="s">
        <v>7101</v>
      </c>
      <c r="AH358">
        <v>15</v>
      </c>
      <c r="AI358">
        <v>2</v>
      </c>
      <c r="AJ358">
        <v>1</v>
      </c>
      <c r="AK358">
        <v>62.56</v>
      </c>
      <c r="AN358" t="s">
        <v>7139</v>
      </c>
      <c r="AO358">
        <v>13000</v>
      </c>
      <c r="AU358">
        <v>10.6</v>
      </c>
      <c r="AV358" t="s">
        <v>352</v>
      </c>
      <c r="AW358" t="s">
        <v>102</v>
      </c>
    </row>
    <row r="359" spans="1:50">
      <c r="A359" s="1">
        <f>HYPERLINK("https://lsnyc.legalserver.org/matter/dynamic-profile/view/1863416","18-1863416")</f>
        <v>0</v>
      </c>
      <c r="B359" t="s">
        <v>57</v>
      </c>
      <c r="C359" t="s">
        <v>105</v>
      </c>
      <c r="D359" t="s">
        <v>184</v>
      </c>
      <c r="F359" t="s">
        <v>938</v>
      </c>
      <c r="G359" t="s">
        <v>1818</v>
      </c>
      <c r="H359" t="s">
        <v>2702</v>
      </c>
      <c r="I359" t="s">
        <v>3276</v>
      </c>
      <c r="J359" t="s">
        <v>3604</v>
      </c>
      <c r="K359">
        <v>10034</v>
      </c>
      <c r="L359" t="s">
        <v>3610</v>
      </c>
      <c r="M359" t="s">
        <v>3609</v>
      </c>
      <c r="O359" t="s">
        <v>4216</v>
      </c>
      <c r="P359" t="s">
        <v>4243</v>
      </c>
      <c r="R359" t="s">
        <v>4258</v>
      </c>
      <c r="S359" t="s">
        <v>3611</v>
      </c>
      <c r="U359" t="s">
        <v>4270</v>
      </c>
      <c r="W359" t="s">
        <v>184</v>
      </c>
      <c r="X359">
        <v>1554.47</v>
      </c>
      <c r="Y359" t="s">
        <v>4351</v>
      </c>
      <c r="Z359" t="s">
        <v>4356</v>
      </c>
      <c r="AB359" t="s">
        <v>4695</v>
      </c>
      <c r="AD359" t="s">
        <v>6099</v>
      </c>
      <c r="AE359">
        <v>48</v>
      </c>
      <c r="AF359" t="s">
        <v>7101</v>
      </c>
      <c r="AG359" t="s">
        <v>4228</v>
      </c>
      <c r="AH359">
        <v>13</v>
      </c>
      <c r="AI359">
        <v>2</v>
      </c>
      <c r="AJ359">
        <v>2</v>
      </c>
      <c r="AK359">
        <v>62.63</v>
      </c>
      <c r="AN359" t="s">
        <v>7139</v>
      </c>
      <c r="AO359">
        <v>15720</v>
      </c>
      <c r="AU359">
        <v>62.75</v>
      </c>
      <c r="AV359" t="s">
        <v>468</v>
      </c>
      <c r="AW359" t="s">
        <v>7341</v>
      </c>
    </row>
    <row r="360" spans="1:50">
      <c r="A360" s="1">
        <f>HYPERLINK("https://lsnyc.legalserver.org/matter/dynamic-profile/view/1839260","17-1839260")</f>
        <v>0</v>
      </c>
      <c r="B360" t="s">
        <v>64</v>
      </c>
      <c r="C360" t="s">
        <v>104</v>
      </c>
      <c r="D360" t="s">
        <v>206</v>
      </c>
      <c r="E360" t="s">
        <v>137</v>
      </c>
      <c r="F360" t="s">
        <v>939</v>
      </c>
      <c r="G360" t="s">
        <v>1819</v>
      </c>
      <c r="H360" t="s">
        <v>2650</v>
      </c>
      <c r="I360" t="s">
        <v>3344</v>
      </c>
      <c r="J360" t="s">
        <v>3604</v>
      </c>
      <c r="K360">
        <v>10040</v>
      </c>
      <c r="L360" t="s">
        <v>3610</v>
      </c>
      <c r="M360" t="s">
        <v>3609</v>
      </c>
      <c r="O360" t="s">
        <v>4211</v>
      </c>
      <c r="P360" t="s">
        <v>4241</v>
      </c>
      <c r="Q360" t="s">
        <v>4254</v>
      </c>
      <c r="R360" t="s">
        <v>4258</v>
      </c>
      <c r="S360" t="s">
        <v>3611</v>
      </c>
      <c r="U360" t="s">
        <v>4268</v>
      </c>
      <c r="W360" t="s">
        <v>4282</v>
      </c>
      <c r="X360">
        <v>1379.9</v>
      </c>
      <c r="Y360" t="s">
        <v>4351</v>
      </c>
      <c r="Z360" t="s">
        <v>4354</v>
      </c>
      <c r="AA360" t="s">
        <v>4377</v>
      </c>
      <c r="AB360" t="s">
        <v>4696</v>
      </c>
      <c r="AD360" t="s">
        <v>6100</v>
      </c>
      <c r="AE360">
        <v>16</v>
      </c>
      <c r="AF360" t="s">
        <v>7101</v>
      </c>
      <c r="AG360" t="s">
        <v>7118</v>
      </c>
      <c r="AH360">
        <v>7</v>
      </c>
      <c r="AI360">
        <v>1</v>
      </c>
      <c r="AJ360">
        <v>0</v>
      </c>
      <c r="AK360">
        <v>62.69</v>
      </c>
      <c r="AL360" t="s">
        <v>647</v>
      </c>
      <c r="AN360" t="s">
        <v>7139</v>
      </c>
      <c r="AO360">
        <v>7560</v>
      </c>
      <c r="AU360">
        <v>6.2</v>
      </c>
      <c r="AV360" t="s">
        <v>137</v>
      </c>
      <c r="AW360" t="s">
        <v>7342</v>
      </c>
    </row>
    <row r="361" spans="1:50">
      <c r="A361" s="1">
        <f>HYPERLINK("https://lsnyc.legalserver.org/matter/dynamic-profile/view/0824384","17-0824384")</f>
        <v>0</v>
      </c>
      <c r="B361" t="s">
        <v>51</v>
      </c>
      <c r="C361" t="s">
        <v>104</v>
      </c>
      <c r="D361" t="s">
        <v>344</v>
      </c>
      <c r="E361" t="s">
        <v>653</v>
      </c>
      <c r="F361" t="s">
        <v>787</v>
      </c>
      <c r="G361" t="s">
        <v>1820</v>
      </c>
      <c r="H361" t="s">
        <v>2703</v>
      </c>
      <c r="I361" t="s">
        <v>3365</v>
      </c>
      <c r="J361" t="s">
        <v>3604</v>
      </c>
      <c r="K361">
        <v>10029</v>
      </c>
      <c r="L361" t="s">
        <v>3610</v>
      </c>
      <c r="M361" t="s">
        <v>3610</v>
      </c>
      <c r="N361" t="s">
        <v>3749</v>
      </c>
      <c r="O361" t="s">
        <v>4209</v>
      </c>
      <c r="P361" t="s">
        <v>4241</v>
      </c>
      <c r="Q361" t="s">
        <v>4248</v>
      </c>
      <c r="R361" t="s">
        <v>4258</v>
      </c>
      <c r="S361" t="s">
        <v>3611</v>
      </c>
      <c r="U361" t="s">
        <v>4268</v>
      </c>
      <c r="V361" t="s">
        <v>4274</v>
      </c>
      <c r="W361" t="s">
        <v>597</v>
      </c>
      <c r="X361">
        <v>858</v>
      </c>
      <c r="Y361" t="s">
        <v>4351</v>
      </c>
      <c r="Z361" t="s">
        <v>4354</v>
      </c>
      <c r="AA361" t="s">
        <v>4374</v>
      </c>
      <c r="AB361" t="s">
        <v>4697</v>
      </c>
      <c r="AD361" t="s">
        <v>6101</v>
      </c>
      <c r="AE361">
        <v>38</v>
      </c>
      <c r="AF361" t="s">
        <v>7101</v>
      </c>
      <c r="AG361" t="s">
        <v>7116</v>
      </c>
      <c r="AH361">
        <v>24</v>
      </c>
      <c r="AI361">
        <v>2</v>
      </c>
      <c r="AJ361">
        <v>0</v>
      </c>
      <c r="AK361">
        <v>62.92</v>
      </c>
      <c r="AN361" t="s">
        <v>7138</v>
      </c>
      <c r="AO361">
        <v>10080</v>
      </c>
      <c r="AU361">
        <v>16.3</v>
      </c>
      <c r="AV361" t="s">
        <v>265</v>
      </c>
      <c r="AW361" t="s">
        <v>7345</v>
      </c>
    </row>
    <row r="362" spans="1:50">
      <c r="A362" s="1">
        <f>HYPERLINK("https://lsnyc.legalserver.org/matter/dynamic-profile/view/1883266","18-1883266")</f>
        <v>0</v>
      </c>
      <c r="B362" t="s">
        <v>52</v>
      </c>
      <c r="C362" t="s">
        <v>105</v>
      </c>
      <c r="D362" t="s">
        <v>345</v>
      </c>
      <c r="F362" t="s">
        <v>872</v>
      </c>
      <c r="G362" t="s">
        <v>1821</v>
      </c>
      <c r="H362" t="s">
        <v>2704</v>
      </c>
      <c r="I362" t="s">
        <v>3282</v>
      </c>
      <c r="J362" t="s">
        <v>3604</v>
      </c>
      <c r="K362">
        <v>10031</v>
      </c>
      <c r="L362" t="s">
        <v>3610</v>
      </c>
      <c r="M362" t="s">
        <v>3610</v>
      </c>
      <c r="P362" t="s">
        <v>4244</v>
      </c>
      <c r="R362" t="s">
        <v>4258</v>
      </c>
      <c r="S362" t="s">
        <v>3611</v>
      </c>
      <c r="U362" t="s">
        <v>4268</v>
      </c>
      <c r="W362" t="s">
        <v>345</v>
      </c>
      <c r="X362">
        <v>818</v>
      </c>
      <c r="Y362" t="s">
        <v>4351</v>
      </c>
      <c r="Z362" t="s">
        <v>4354</v>
      </c>
      <c r="AB362" t="s">
        <v>4698</v>
      </c>
      <c r="AC362" t="s">
        <v>5811</v>
      </c>
      <c r="AD362" t="s">
        <v>6102</v>
      </c>
      <c r="AE362">
        <v>0</v>
      </c>
      <c r="AF362" t="s">
        <v>7101</v>
      </c>
      <c r="AG362" t="s">
        <v>3745</v>
      </c>
      <c r="AH362">
        <v>0</v>
      </c>
      <c r="AI362">
        <v>4</v>
      </c>
      <c r="AJ362">
        <v>0</v>
      </c>
      <c r="AK362">
        <v>63.11</v>
      </c>
      <c r="AN362" t="s">
        <v>7139</v>
      </c>
      <c r="AO362">
        <v>15840</v>
      </c>
      <c r="AU362">
        <v>52.5</v>
      </c>
      <c r="AV362" t="s">
        <v>529</v>
      </c>
      <c r="AW362" t="s">
        <v>7342</v>
      </c>
    </row>
    <row r="363" spans="1:50">
      <c r="A363" s="1">
        <f>HYPERLINK("https://lsnyc.legalserver.org/matter/dynamic-profile/view/1890698","19-1890698")</f>
        <v>0</v>
      </c>
      <c r="B363" t="s">
        <v>52</v>
      </c>
      <c r="C363" t="s">
        <v>105</v>
      </c>
      <c r="D363" t="s">
        <v>214</v>
      </c>
      <c r="F363" t="s">
        <v>940</v>
      </c>
      <c r="G363" t="s">
        <v>1822</v>
      </c>
      <c r="H363" t="s">
        <v>2705</v>
      </c>
      <c r="I363" t="s">
        <v>3372</v>
      </c>
      <c r="J363" t="s">
        <v>3604</v>
      </c>
      <c r="K363">
        <v>10033</v>
      </c>
      <c r="L363" t="s">
        <v>3610</v>
      </c>
      <c r="M363" t="s">
        <v>3610</v>
      </c>
      <c r="P363" t="s">
        <v>4241</v>
      </c>
      <c r="R363" t="s">
        <v>4258</v>
      </c>
      <c r="S363" t="s">
        <v>3611</v>
      </c>
      <c r="U363" t="s">
        <v>4268</v>
      </c>
      <c r="W363" t="s">
        <v>214</v>
      </c>
      <c r="X363">
        <v>1213</v>
      </c>
      <c r="Y363" t="s">
        <v>4351</v>
      </c>
      <c r="Z363" t="s">
        <v>4354</v>
      </c>
      <c r="AB363" t="s">
        <v>4699</v>
      </c>
      <c r="AD363" t="s">
        <v>6103</v>
      </c>
      <c r="AE363">
        <v>0</v>
      </c>
      <c r="AF363" t="s">
        <v>7101</v>
      </c>
      <c r="AG363" t="s">
        <v>7119</v>
      </c>
      <c r="AH363">
        <v>3</v>
      </c>
      <c r="AI363">
        <v>1</v>
      </c>
      <c r="AJ363">
        <v>0</v>
      </c>
      <c r="AK363">
        <v>63.28</v>
      </c>
      <c r="AN363" t="s">
        <v>7138</v>
      </c>
      <c r="AO363">
        <v>7904</v>
      </c>
      <c r="AU363">
        <v>143.1</v>
      </c>
      <c r="AV363" t="s">
        <v>678</v>
      </c>
      <c r="AW363" t="s">
        <v>7342</v>
      </c>
    </row>
    <row r="364" spans="1:50">
      <c r="A364" s="1">
        <f>HYPERLINK("https://lsnyc.legalserver.org/matter/dynamic-profile/view/1838580","17-1838580")</f>
        <v>0</v>
      </c>
      <c r="B364" t="s">
        <v>64</v>
      </c>
      <c r="C364" t="s">
        <v>104</v>
      </c>
      <c r="D364" t="s">
        <v>189</v>
      </c>
      <c r="E364" t="s">
        <v>277</v>
      </c>
      <c r="F364" t="s">
        <v>941</v>
      </c>
      <c r="G364" t="s">
        <v>1823</v>
      </c>
      <c r="H364" t="s">
        <v>2642</v>
      </c>
      <c r="I364" t="s">
        <v>3392</v>
      </c>
      <c r="J364" t="s">
        <v>3604</v>
      </c>
      <c r="K364">
        <v>10034</v>
      </c>
      <c r="L364" t="s">
        <v>3610</v>
      </c>
      <c r="M364" t="s">
        <v>3609</v>
      </c>
      <c r="O364" t="s">
        <v>4213</v>
      </c>
      <c r="P364" t="s">
        <v>4241</v>
      </c>
      <c r="Q364" t="s">
        <v>4248</v>
      </c>
      <c r="R364" t="s">
        <v>4258</v>
      </c>
      <c r="S364" t="s">
        <v>3610</v>
      </c>
      <c r="U364" t="s">
        <v>4268</v>
      </c>
      <c r="W364" t="s">
        <v>133</v>
      </c>
      <c r="X364">
        <v>1060.75</v>
      </c>
      <c r="Y364" t="s">
        <v>4351</v>
      </c>
      <c r="Z364" t="s">
        <v>4352</v>
      </c>
      <c r="AA364" t="s">
        <v>4379</v>
      </c>
      <c r="AB364" t="s">
        <v>4700</v>
      </c>
      <c r="AD364" t="s">
        <v>6104</v>
      </c>
      <c r="AE364">
        <v>49</v>
      </c>
      <c r="AF364" t="s">
        <v>7101</v>
      </c>
      <c r="AG364" t="s">
        <v>3745</v>
      </c>
      <c r="AH364">
        <v>9</v>
      </c>
      <c r="AI364">
        <v>4</v>
      </c>
      <c r="AJ364">
        <v>0</v>
      </c>
      <c r="AK364">
        <v>63.41</v>
      </c>
      <c r="AN364" t="s">
        <v>7139</v>
      </c>
      <c r="AO364">
        <v>15600</v>
      </c>
      <c r="AU364">
        <v>0.55</v>
      </c>
      <c r="AV364" t="s">
        <v>335</v>
      </c>
      <c r="AW364" t="s">
        <v>7341</v>
      </c>
    </row>
    <row r="365" spans="1:50">
      <c r="A365" s="1">
        <f>HYPERLINK("https://lsnyc.legalserver.org/matter/dynamic-profile/view/0823226","16-0823226")</f>
        <v>0</v>
      </c>
      <c r="B365" t="s">
        <v>51</v>
      </c>
      <c r="C365" t="s">
        <v>104</v>
      </c>
      <c r="D365" t="s">
        <v>337</v>
      </c>
      <c r="E365" t="s">
        <v>385</v>
      </c>
      <c r="F365" t="s">
        <v>942</v>
      </c>
      <c r="G365" t="s">
        <v>1824</v>
      </c>
      <c r="H365" t="s">
        <v>2706</v>
      </c>
      <c r="I365">
        <v>856</v>
      </c>
      <c r="J365" t="s">
        <v>3604</v>
      </c>
      <c r="K365">
        <v>10029</v>
      </c>
      <c r="L365" t="s">
        <v>3610</v>
      </c>
      <c r="M365" t="s">
        <v>3610</v>
      </c>
      <c r="O365" t="s">
        <v>4211</v>
      </c>
      <c r="P365" t="s">
        <v>4245</v>
      </c>
      <c r="Q365" t="s">
        <v>4249</v>
      </c>
      <c r="R365" t="s">
        <v>4258</v>
      </c>
      <c r="S365" t="s">
        <v>3611</v>
      </c>
      <c r="U365" t="s">
        <v>4268</v>
      </c>
      <c r="V365" t="s">
        <v>4274</v>
      </c>
      <c r="W365" t="s">
        <v>337</v>
      </c>
      <c r="X365">
        <v>1010</v>
      </c>
      <c r="Y365" t="s">
        <v>4351</v>
      </c>
      <c r="Z365" t="s">
        <v>4357</v>
      </c>
      <c r="AA365" t="s">
        <v>4377</v>
      </c>
      <c r="AB365" t="s">
        <v>4701</v>
      </c>
      <c r="AD365" t="s">
        <v>6105</v>
      </c>
      <c r="AE365">
        <v>426</v>
      </c>
      <c r="AF365" t="s">
        <v>7101</v>
      </c>
      <c r="AG365" t="s">
        <v>3745</v>
      </c>
      <c r="AH365">
        <v>41</v>
      </c>
      <c r="AI365">
        <v>3</v>
      </c>
      <c r="AJ365">
        <v>0</v>
      </c>
      <c r="AK365">
        <v>63.45</v>
      </c>
      <c r="AN365" t="s">
        <v>7138</v>
      </c>
      <c r="AO365">
        <v>15184</v>
      </c>
      <c r="AU365">
        <v>1.4</v>
      </c>
      <c r="AV365" t="s">
        <v>172</v>
      </c>
      <c r="AW365" t="s">
        <v>7341</v>
      </c>
    </row>
    <row r="366" spans="1:50">
      <c r="A366" s="1">
        <f>HYPERLINK("https://lsnyc.legalserver.org/matter/dynamic-profile/view/1850000","17-1850000")</f>
        <v>0</v>
      </c>
      <c r="B366" t="s">
        <v>63</v>
      </c>
      <c r="C366" t="s">
        <v>104</v>
      </c>
      <c r="D366" t="s">
        <v>346</v>
      </c>
      <c r="E366" t="s">
        <v>315</v>
      </c>
      <c r="F366" t="s">
        <v>938</v>
      </c>
      <c r="G366" t="s">
        <v>1818</v>
      </c>
      <c r="H366" t="s">
        <v>2707</v>
      </c>
      <c r="I366" t="s">
        <v>3276</v>
      </c>
      <c r="J366" t="s">
        <v>3604</v>
      </c>
      <c r="K366">
        <v>10034</v>
      </c>
      <c r="L366" t="s">
        <v>3610</v>
      </c>
      <c r="M366" t="s">
        <v>3609</v>
      </c>
      <c r="N366" t="s">
        <v>3750</v>
      </c>
      <c r="O366" t="s">
        <v>4209</v>
      </c>
      <c r="P366" t="s">
        <v>4241</v>
      </c>
      <c r="Q366" t="s">
        <v>4248</v>
      </c>
      <c r="R366" t="s">
        <v>4258</v>
      </c>
      <c r="S366" t="s">
        <v>3611</v>
      </c>
      <c r="U366" t="s">
        <v>4268</v>
      </c>
      <c r="W366" t="s">
        <v>346</v>
      </c>
      <c r="X366">
        <v>1534</v>
      </c>
      <c r="Y366" t="s">
        <v>4351</v>
      </c>
      <c r="Z366" t="s">
        <v>4357</v>
      </c>
      <c r="AA366" t="s">
        <v>4374</v>
      </c>
      <c r="AB366" t="s">
        <v>4695</v>
      </c>
      <c r="AC366" t="s">
        <v>5812</v>
      </c>
      <c r="AD366" t="s">
        <v>6099</v>
      </c>
      <c r="AE366">
        <v>48</v>
      </c>
      <c r="AF366" t="s">
        <v>7101</v>
      </c>
      <c r="AG366" t="s">
        <v>7117</v>
      </c>
      <c r="AH366">
        <v>13</v>
      </c>
      <c r="AI366">
        <v>2</v>
      </c>
      <c r="AJ366">
        <v>2</v>
      </c>
      <c r="AK366">
        <v>63.9</v>
      </c>
      <c r="AN366" t="s">
        <v>7139</v>
      </c>
      <c r="AO366">
        <v>15720</v>
      </c>
      <c r="AU366">
        <v>15.3</v>
      </c>
      <c r="AV366" t="s">
        <v>649</v>
      </c>
      <c r="AW366" t="s">
        <v>7342</v>
      </c>
    </row>
    <row r="367" spans="1:50">
      <c r="A367" s="1">
        <f>HYPERLINK("https://lsnyc.legalserver.org/matter/dynamic-profile/view/1879067","18-1879067")</f>
        <v>0</v>
      </c>
      <c r="B367" t="s">
        <v>56</v>
      </c>
      <c r="C367" t="s">
        <v>104</v>
      </c>
      <c r="D367" t="s">
        <v>302</v>
      </c>
      <c r="E367" t="s">
        <v>672</v>
      </c>
      <c r="F367" t="s">
        <v>943</v>
      </c>
      <c r="G367" t="s">
        <v>1825</v>
      </c>
      <c r="H367" t="s">
        <v>2708</v>
      </c>
      <c r="I367" t="s">
        <v>3316</v>
      </c>
      <c r="J367" t="s">
        <v>3604</v>
      </c>
      <c r="K367">
        <v>10032</v>
      </c>
      <c r="L367" t="s">
        <v>3609</v>
      </c>
      <c r="M367" t="s">
        <v>3609</v>
      </c>
      <c r="N367" t="s">
        <v>3751</v>
      </c>
      <c r="O367" t="s">
        <v>4209</v>
      </c>
      <c r="P367" t="s">
        <v>4245</v>
      </c>
      <c r="Q367" t="s">
        <v>4249</v>
      </c>
      <c r="R367" t="s">
        <v>4258</v>
      </c>
      <c r="S367" t="s">
        <v>3611</v>
      </c>
      <c r="U367" t="s">
        <v>4268</v>
      </c>
      <c r="X367">
        <v>622.46</v>
      </c>
      <c r="Y367" t="s">
        <v>4351</v>
      </c>
      <c r="Z367" t="s">
        <v>4354</v>
      </c>
      <c r="AA367" t="s">
        <v>4373</v>
      </c>
      <c r="AB367" t="s">
        <v>4702</v>
      </c>
      <c r="AD367" t="s">
        <v>6106</v>
      </c>
      <c r="AE367">
        <v>15</v>
      </c>
      <c r="AF367" t="s">
        <v>7101</v>
      </c>
      <c r="AG367" t="s">
        <v>3745</v>
      </c>
      <c r="AH367">
        <v>40</v>
      </c>
      <c r="AI367">
        <v>2</v>
      </c>
      <c r="AJ367">
        <v>1</v>
      </c>
      <c r="AK367">
        <v>64.09999999999999</v>
      </c>
      <c r="AN367" t="s">
        <v>7139</v>
      </c>
      <c r="AO367">
        <v>13320</v>
      </c>
      <c r="AU367">
        <v>0.5</v>
      </c>
      <c r="AV367" t="s">
        <v>672</v>
      </c>
      <c r="AW367" t="s">
        <v>7340</v>
      </c>
    </row>
    <row r="368" spans="1:50">
      <c r="A368" s="1">
        <f>HYPERLINK("https://lsnyc.legalserver.org/matter/dynamic-profile/view/1900583","19-1900583")</f>
        <v>0</v>
      </c>
      <c r="B368" t="s">
        <v>56</v>
      </c>
      <c r="C368" t="s">
        <v>105</v>
      </c>
      <c r="D368" t="s">
        <v>196</v>
      </c>
      <c r="F368" t="s">
        <v>944</v>
      </c>
      <c r="G368" t="s">
        <v>1826</v>
      </c>
      <c r="H368" t="s">
        <v>2709</v>
      </c>
      <c r="I368" t="s">
        <v>3393</v>
      </c>
      <c r="J368" t="s">
        <v>3604</v>
      </c>
      <c r="K368">
        <v>10034</v>
      </c>
      <c r="L368" t="s">
        <v>3610</v>
      </c>
      <c r="M368" t="s">
        <v>3609</v>
      </c>
      <c r="P368" t="s">
        <v>4242</v>
      </c>
      <c r="R368" t="s">
        <v>4258</v>
      </c>
      <c r="S368" t="s">
        <v>3610</v>
      </c>
      <c r="U368" t="s">
        <v>4268</v>
      </c>
      <c r="W368" t="s">
        <v>196</v>
      </c>
      <c r="X368">
        <v>1178.65</v>
      </c>
      <c r="Y368" t="s">
        <v>4351</v>
      </c>
      <c r="Z368" t="s">
        <v>4354</v>
      </c>
      <c r="AB368" t="s">
        <v>4703</v>
      </c>
      <c r="AD368" t="s">
        <v>6107</v>
      </c>
      <c r="AE368">
        <v>43</v>
      </c>
      <c r="AF368" t="s">
        <v>7101</v>
      </c>
      <c r="AG368" t="s">
        <v>3745</v>
      </c>
      <c r="AH368">
        <v>12</v>
      </c>
      <c r="AI368">
        <v>5</v>
      </c>
      <c r="AJ368">
        <v>1</v>
      </c>
      <c r="AK368">
        <v>64.2</v>
      </c>
      <c r="AN368" t="s">
        <v>7139</v>
      </c>
      <c r="AO368">
        <v>22208</v>
      </c>
      <c r="AU368">
        <v>0.01</v>
      </c>
      <c r="AV368" t="s">
        <v>131</v>
      </c>
      <c r="AW368" t="s">
        <v>7342</v>
      </c>
      <c r="AX368" t="s">
        <v>7377</v>
      </c>
    </row>
    <row r="369" spans="1:50">
      <c r="A369" s="1">
        <f>HYPERLINK("https://lsnyc.legalserver.org/matter/dynamic-profile/view/1863994","18-1863994")</f>
        <v>0</v>
      </c>
      <c r="B369" t="s">
        <v>53</v>
      </c>
      <c r="C369" t="s">
        <v>105</v>
      </c>
      <c r="D369" t="s">
        <v>347</v>
      </c>
      <c r="F369" t="s">
        <v>945</v>
      </c>
      <c r="G369" t="s">
        <v>1367</v>
      </c>
      <c r="H369" t="s">
        <v>2508</v>
      </c>
      <c r="I369">
        <v>305</v>
      </c>
      <c r="J369" t="s">
        <v>3604</v>
      </c>
      <c r="K369">
        <v>10029</v>
      </c>
      <c r="L369" t="s">
        <v>3610</v>
      </c>
      <c r="M369" t="s">
        <v>3610</v>
      </c>
      <c r="N369" t="s">
        <v>3642</v>
      </c>
      <c r="O369" t="s">
        <v>4213</v>
      </c>
      <c r="P369" t="s">
        <v>4241</v>
      </c>
      <c r="R369" t="s">
        <v>4258</v>
      </c>
      <c r="S369" t="s">
        <v>3610</v>
      </c>
      <c r="U369" t="s">
        <v>4268</v>
      </c>
      <c r="V369" t="s">
        <v>4274</v>
      </c>
      <c r="W369" t="s">
        <v>347</v>
      </c>
      <c r="X369">
        <v>0</v>
      </c>
      <c r="Y369" t="s">
        <v>4351</v>
      </c>
      <c r="Z369" t="s">
        <v>4352</v>
      </c>
      <c r="AB369" t="s">
        <v>4704</v>
      </c>
      <c r="AD369" t="s">
        <v>6108</v>
      </c>
      <c r="AE369">
        <v>108</v>
      </c>
      <c r="AF369" t="s">
        <v>7106</v>
      </c>
      <c r="AG369" t="s">
        <v>7116</v>
      </c>
      <c r="AH369">
        <v>2</v>
      </c>
      <c r="AI369">
        <v>2</v>
      </c>
      <c r="AJ369">
        <v>0</v>
      </c>
      <c r="AK369">
        <v>64.23</v>
      </c>
      <c r="AN369" t="s">
        <v>7139</v>
      </c>
      <c r="AO369">
        <v>10572</v>
      </c>
      <c r="AU369">
        <v>0</v>
      </c>
      <c r="AW369" t="s">
        <v>7341</v>
      </c>
    </row>
    <row r="370" spans="1:50">
      <c r="A370" s="1">
        <f>HYPERLINK("https://lsnyc.legalserver.org/matter/dynamic-profile/view/1881101","18-1881101")</f>
        <v>0</v>
      </c>
      <c r="B370" t="s">
        <v>83</v>
      </c>
      <c r="C370" t="s">
        <v>104</v>
      </c>
      <c r="D370" t="s">
        <v>348</v>
      </c>
      <c r="E370" t="s">
        <v>156</v>
      </c>
      <c r="F370" t="s">
        <v>935</v>
      </c>
      <c r="G370" t="s">
        <v>1816</v>
      </c>
      <c r="H370" t="s">
        <v>2698</v>
      </c>
      <c r="I370" t="s">
        <v>3315</v>
      </c>
      <c r="J370" t="s">
        <v>3604</v>
      </c>
      <c r="K370">
        <v>10128</v>
      </c>
      <c r="L370" t="s">
        <v>3610</v>
      </c>
      <c r="M370" t="s">
        <v>3610</v>
      </c>
      <c r="O370" t="s">
        <v>4212</v>
      </c>
      <c r="P370" t="s">
        <v>4243</v>
      </c>
      <c r="Q370" t="s">
        <v>4254</v>
      </c>
      <c r="R370" t="s">
        <v>4258</v>
      </c>
      <c r="S370" t="s">
        <v>3611</v>
      </c>
      <c r="U370" t="s">
        <v>4270</v>
      </c>
      <c r="V370" t="s">
        <v>4274</v>
      </c>
      <c r="W370" t="s">
        <v>348</v>
      </c>
      <c r="X370">
        <v>1660.44</v>
      </c>
      <c r="Y370" t="s">
        <v>4351</v>
      </c>
      <c r="Z370" t="s">
        <v>4356</v>
      </c>
      <c r="AA370" t="s">
        <v>4376</v>
      </c>
      <c r="AB370" t="s">
        <v>4691</v>
      </c>
      <c r="AD370" t="s">
        <v>6096</v>
      </c>
      <c r="AE370">
        <v>19</v>
      </c>
      <c r="AF370" t="s">
        <v>7101</v>
      </c>
      <c r="AG370" t="s">
        <v>3745</v>
      </c>
      <c r="AH370">
        <v>3</v>
      </c>
      <c r="AI370">
        <v>1</v>
      </c>
      <c r="AJ370">
        <v>0</v>
      </c>
      <c r="AK370">
        <v>64.25</v>
      </c>
      <c r="AN370" t="s">
        <v>7138</v>
      </c>
      <c r="AO370">
        <v>7800</v>
      </c>
      <c r="AU370">
        <v>31.25</v>
      </c>
      <c r="AV370" t="s">
        <v>679</v>
      </c>
      <c r="AW370" t="s">
        <v>7341</v>
      </c>
    </row>
    <row r="371" spans="1:50">
      <c r="A371" s="1">
        <f>HYPERLINK("https://lsnyc.legalserver.org/matter/dynamic-profile/view/1839599","17-1839599")</f>
        <v>0</v>
      </c>
      <c r="B371" t="s">
        <v>69</v>
      </c>
      <c r="C371" t="s">
        <v>105</v>
      </c>
      <c r="D371" t="s">
        <v>215</v>
      </c>
      <c r="F371" t="s">
        <v>935</v>
      </c>
      <c r="G371" t="s">
        <v>1816</v>
      </c>
      <c r="H371" t="s">
        <v>2698</v>
      </c>
      <c r="I371" t="s">
        <v>3315</v>
      </c>
      <c r="J371" t="s">
        <v>3604</v>
      </c>
      <c r="K371">
        <v>10128</v>
      </c>
      <c r="L371" t="s">
        <v>3610</v>
      </c>
      <c r="M371" t="s">
        <v>3609</v>
      </c>
      <c r="N371" t="s">
        <v>3752</v>
      </c>
      <c r="O371" t="s">
        <v>4209</v>
      </c>
      <c r="P371" t="s">
        <v>4241</v>
      </c>
      <c r="R371" t="s">
        <v>4257</v>
      </c>
      <c r="S371" t="s">
        <v>3611</v>
      </c>
      <c r="U371" t="s">
        <v>4268</v>
      </c>
      <c r="V371" t="s">
        <v>4274</v>
      </c>
      <c r="W371" t="s">
        <v>133</v>
      </c>
      <c r="X371">
        <v>1660.44</v>
      </c>
      <c r="Y371" t="s">
        <v>4351</v>
      </c>
      <c r="Z371" t="s">
        <v>4355</v>
      </c>
      <c r="AB371" t="s">
        <v>4691</v>
      </c>
      <c r="AD371" t="s">
        <v>6096</v>
      </c>
      <c r="AE371">
        <v>19</v>
      </c>
      <c r="AF371" t="s">
        <v>7101</v>
      </c>
      <c r="AG371" t="s">
        <v>3745</v>
      </c>
      <c r="AH371">
        <v>3</v>
      </c>
      <c r="AI371">
        <v>1</v>
      </c>
      <c r="AJ371">
        <v>0</v>
      </c>
      <c r="AK371">
        <v>64.68000000000001</v>
      </c>
      <c r="AL371" t="s">
        <v>369</v>
      </c>
      <c r="AN371" t="s">
        <v>7138</v>
      </c>
      <c r="AO371">
        <v>7800</v>
      </c>
      <c r="AQ371" t="s">
        <v>7201</v>
      </c>
      <c r="AR371" t="s">
        <v>7205</v>
      </c>
      <c r="AS371" t="s">
        <v>7231</v>
      </c>
      <c r="AT371" t="s">
        <v>7251</v>
      </c>
      <c r="AU371">
        <v>203.78</v>
      </c>
      <c r="AV371" t="s">
        <v>667</v>
      </c>
      <c r="AW371" t="s">
        <v>102</v>
      </c>
      <c r="AX371" t="s">
        <v>7377</v>
      </c>
    </row>
    <row r="372" spans="1:50">
      <c r="A372" s="1">
        <f>HYPERLINK("https://lsnyc.legalserver.org/matter/dynamic-profile/view/1847851","17-1847851")</f>
        <v>0</v>
      </c>
      <c r="B372" t="s">
        <v>51</v>
      </c>
      <c r="C372" t="s">
        <v>104</v>
      </c>
      <c r="D372" t="s">
        <v>349</v>
      </c>
      <c r="E372" t="s">
        <v>293</v>
      </c>
      <c r="F372" t="s">
        <v>917</v>
      </c>
      <c r="G372" t="s">
        <v>1795</v>
      </c>
      <c r="H372" t="s">
        <v>2677</v>
      </c>
      <c r="I372" t="s">
        <v>3381</v>
      </c>
      <c r="J372" t="s">
        <v>3604</v>
      </c>
      <c r="K372">
        <v>10029</v>
      </c>
      <c r="L372" t="s">
        <v>3610</v>
      </c>
      <c r="M372" t="s">
        <v>3610</v>
      </c>
      <c r="O372" t="s">
        <v>4211</v>
      </c>
      <c r="P372" t="s">
        <v>4245</v>
      </c>
      <c r="Q372" t="s">
        <v>4249</v>
      </c>
      <c r="R372" t="s">
        <v>4258</v>
      </c>
      <c r="S372" t="s">
        <v>3611</v>
      </c>
      <c r="U372" t="s">
        <v>4268</v>
      </c>
      <c r="V372" t="s">
        <v>4274</v>
      </c>
      <c r="W372" t="s">
        <v>349</v>
      </c>
      <c r="X372">
        <v>836.39</v>
      </c>
      <c r="Y372" t="s">
        <v>4351</v>
      </c>
      <c r="Z372" t="s">
        <v>4357</v>
      </c>
      <c r="AA372" t="s">
        <v>4373</v>
      </c>
      <c r="AB372" t="s">
        <v>4665</v>
      </c>
      <c r="AD372" t="s">
        <v>6109</v>
      </c>
      <c r="AE372">
        <v>10</v>
      </c>
      <c r="AF372" t="s">
        <v>7101</v>
      </c>
      <c r="AG372" t="s">
        <v>3745</v>
      </c>
      <c r="AH372">
        <v>4</v>
      </c>
      <c r="AI372">
        <v>1</v>
      </c>
      <c r="AJ372">
        <v>0</v>
      </c>
      <c r="AK372">
        <v>64.68000000000001</v>
      </c>
      <c r="AN372" t="s">
        <v>7143</v>
      </c>
      <c r="AO372">
        <v>7800</v>
      </c>
      <c r="AU372">
        <v>10.7</v>
      </c>
      <c r="AV372" t="s">
        <v>611</v>
      </c>
      <c r="AW372" t="s">
        <v>7341</v>
      </c>
    </row>
    <row r="373" spans="1:50">
      <c r="A373" s="1">
        <f>HYPERLINK("https://lsnyc.legalserver.org/matter/dynamic-profile/view/0824964","17-0824964")</f>
        <v>0</v>
      </c>
      <c r="B373" t="s">
        <v>78</v>
      </c>
      <c r="C373" t="s">
        <v>105</v>
      </c>
      <c r="D373" t="s">
        <v>350</v>
      </c>
      <c r="F373" t="s">
        <v>946</v>
      </c>
      <c r="G373" t="s">
        <v>1827</v>
      </c>
      <c r="H373" t="s">
        <v>2710</v>
      </c>
      <c r="I373">
        <v>2</v>
      </c>
      <c r="J373" t="s">
        <v>3604</v>
      </c>
      <c r="K373">
        <v>10035</v>
      </c>
      <c r="L373" t="s">
        <v>3609</v>
      </c>
      <c r="M373" t="s">
        <v>3609</v>
      </c>
      <c r="O373" t="s">
        <v>4211</v>
      </c>
      <c r="P373" t="s">
        <v>4241</v>
      </c>
      <c r="R373" t="s">
        <v>4258</v>
      </c>
      <c r="S373" t="s">
        <v>3611</v>
      </c>
      <c r="U373" t="s">
        <v>4268</v>
      </c>
      <c r="W373" t="s">
        <v>350</v>
      </c>
      <c r="X373">
        <v>1020</v>
      </c>
      <c r="Y373" t="s">
        <v>4351</v>
      </c>
      <c r="Z373" t="s">
        <v>4354</v>
      </c>
      <c r="AB373" t="s">
        <v>4705</v>
      </c>
      <c r="AD373" t="s">
        <v>6110</v>
      </c>
      <c r="AE373">
        <v>6</v>
      </c>
      <c r="AF373" t="s">
        <v>7101</v>
      </c>
      <c r="AG373" t="s">
        <v>3745</v>
      </c>
      <c r="AH373">
        <v>12</v>
      </c>
      <c r="AI373">
        <v>1</v>
      </c>
      <c r="AJ373">
        <v>1</v>
      </c>
      <c r="AK373">
        <v>64.92</v>
      </c>
      <c r="AN373" t="s">
        <v>7138</v>
      </c>
      <c r="AO373">
        <v>10400</v>
      </c>
      <c r="AU373">
        <v>12.02</v>
      </c>
      <c r="AV373" t="s">
        <v>411</v>
      </c>
      <c r="AW373" t="s">
        <v>7341</v>
      </c>
    </row>
    <row r="374" spans="1:50">
      <c r="A374" s="1">
        <f>HYPERLINK("https://lsnyc.legalserver.org/matter/dynamic-profile/view/1860610","18-1860610")</f>
        <v>0</v>
      </c>
      <c r="B374" t="s">
        <v>53</v>
      </c>
      <c r="C374" t="s">
        <v>105</v>
      </c>
      <c r="D374" t="s">
        <v>257</v>
      </c>
      <c r="F374" t="s">
        <v>947</v>
      </c>
      <c r="G374" t="s">
        <v>1828</v>
      </c>
      <c r="H374" t="s">
        <v>2565</v>
      </c>
      <c r="I374" t="s">
        <v>3295</v>
      </c>
      <c r="J374" t="s">
        <v>3604</v>
      </c>
      <c r="K374">
        <v>10031</v>
      </c>
      <c r="L374" t="s">
        <v>3610</v>
      </c>
      <c r="M374" t="s">
        <v>3609</v>
      </c>
      <c r="O374" t="s">
        <v>4213</v>
      </c>
      <c r="P374" t="s">
        <v>4245</v>
      </c>
      <c r="R374" t="s">
        <v>4258</v>
      </c>
      <c r="S374" t="s">
        <v>3610</v>
      </c>
      <c r="U374" t="s">
        <v>4268</v>
      </c>
      <c r="V374" t="s">
        <v>4274</v>
      </c>
      <c r="W374" t="s">
        <v>633</v>
      </c>
      <c r="X374">
        <v>2126</v>
      </c>
      <c r="Y374" t="s">
        <v>4351</v>
      </c>
      <c r="Z374" t="s">
        <v>4352</v>
      </c>
      <c r="AB374" t="s">
        <v>4706</v>
      </c>
      <c r="AD374" t="s">
        <v>6111</v>
      </c>
      <c r="AE374">
        <v>44</v>
      </c>
      <c r="AF374" t="s">
        <v>7106</v>
      </c>
      <c r="AG374" t="s">
        <v>7116</v>
      </c>
      <c r="AH374">
        <v>23</v>
      </c>
      <c r="AI374">
        <v>2</v>
      </c>
      <c r="AJ374">
        <v>0</v>
      </c>
      <c r="AK374">
        <v>65.39</v>
      </c>
      <c r="AN374" t="s">
        <v>7139</v>
      </c>
      <c r="AO374">
        <v>10764</v>
      </c>
      <c r="AU374">
        <v>115.65</v>
      </c>
      <c r="AV374" t="s">
        <v>7293</v>
      </c>
      <c r="AW374" t="s">
        <v>7341</v>
      </c>
    </row>
    <row r="375" spans="1:50">
      <c r="A375" s="1">
        <f>HYPERLINK("https://lsnyc.legalserver.org/matter/dynamic-profile/view/1886801","19-1886801")</f>
        <v>0</v>
      </c>
      <c r="B375" t="s">
        <v>53</v>
      </c>
      <c r="C375" t="s">
        <v>105</v>
      </c>
      <c r="D375" t="s">
        <v>351</v>
      </c>
      <c r="F375" t="s">
        <v>947</v>
      </c>
      <c r="G375" t="s">
        <v>1828</v>
      </c>
      <c r="H375" t="s">
        <v>2565</v>
      </c>
      <c r="I375" t="s">
        <v>3295</v>
      </c>
      <c r="J375" t="s">
        <v>3604</v>
      </c>
      <c r="K375">
        <v>10031</v>
      </c>
      <c r="L375" t="s">
        <v>3610</v>
      </c>
      <c r="M375" t="s">
        <v>3610</v>
      </c>
      <c r="N375" t="s">
        <v>3753</v>
      </c>
      <c r="O375" t="s">
        <v>4209</v>
      </c>
      <c r="P375" t="s">
        <v>4241</v>
      </c>
      <c r="R375" t="s">
        <v>4258</v>
      </c>
      <c r="S375" t="s">
        <v>3611</v>
      </c>
      <c r="U375" t="s">
        <v>4268</v>
      </c>
      <c r="V375" t="s">
        <v>4274</v>
      </c>
      <c r="W375" t="s">
        <v>351</v>
      </c>
      <c r="X375">
        <v>2126</v>
      </c>
      <c r="Y375" t="s">
        <v>4351</v>
      </c>
      <c r="Z375" t="s">
        <v>4357</v>
      </c>
      <c r="AB375" t="s">
        <v>4706</v>
      </c>
      <c r="AD375" t="s">
        <v>6111</v>
      </c>
      <c r="AE375">
        <v>44</v>
      </c>
      <c r="AF375" t="s">
        <v>7106</v>
      </c>
      <c r="AG375" t="s">
        <v>7116</v>
      </c>
      <c r="AH375">
        <v>23</v>
      </c>
      <c r="AI375">
        <v>2</v>
      </c>
      <c r="AJ375">
        <v>0</v>
      </c>
      <c r="AK375">
        <v>65.39</v>
      </c>
      <c r="AN375" t="s">
        <v>7139</v>
      </c>
      <c r="AO375">
        <v>10764</v>
      </c>
      <c r="AU375">
        <v>8</v>
      </c>
      <c r="AV375" t="s">
        <v>371</v>
      </c>
      <c r="AW375" t="s">
        <v>7341</v>
      </c>
    </row>
    <row r="376" spans="1:50">
      <c r="A376" s="1">
        <f>HYPERLINK("https://lsnyc.legalserver.org/matter/dynamic-profile/view/1863708","18-1863708")</f>
        <v>0</v>
      </c>
      <c r="B376" t="s">
        <v>53</v>
      </c>
      <c r="C376" t="s">
        <v>105</v>
      </c>
      <c r="D376" t="s">
        <v>242</v>
      </c>
      <c r="F376" t="s">
        <v>948</v>
      </c>
      <c r="G376" t="s">
        <v>1656</v>
      </c>
      <c r="H376" t="s">
        <v>2508</v>
      </c>
      <c r="I376">
        <v>504</v>
      </c>
      <c r="J376" t="s">
        <v>3604</v>
      </c>
      <c r="K376">
        <v>10029</v>
      </c>
      <c r="L376" t="s">
        <v>3610</v>
      </c>
      <c r="M376" t="s">
        <v>3610</v>
      </c>
      <c r="O376" t="s">
        <v>4213</v>
      </c>
      <c r="P376" t="s">
        <v>4245</v>
      </c>
      <c r="R376" t="s">
        <v>4258</v>
      </c>
      <c r="S376" t="s">
        <v>3611</v>
      </c>
      <c r="U376" t="s">
        <v>4268</v>
      </c>
      <c r="V376" t="s">
        <v>4274</v>
      </c>
      <c r="W376" t="s">
        <v>242</v>
      </c>
      <c r="X376">
        <v>0</v>
      </c>
      <c r="Y376" t="s">
        <v>4351</v>
      </c>
      <c r="Z376" t="s">
        <v>4352</v>
      </c>
      <c r="AB376" t="s">
        <v>4707</v>
      </c>
      <c r="AE376">
        <v>108</v>
      </c>
      <c r="AF376" t="s">
        <v>7106</v>
      </c>
      <c r="AG376" t="s">
        <v>7116</v>
      </c>
      <c r="AH376">
        <v>26</v>
      </c>
      <c r="AI376">
        <v>2</v>
      </c>
      <c r="AJ376">
        <v>0</v>
      </c>
      <c r="AK376">
        <v>65.39</v>
      </c>
      <c r="AN376" t="s">
        <v>7139</v>
      </c>
      <c r="AO376">
        <v>10764</v>
      </c>
      <c r="AU376">
        <v>0</v>
      </c>
      <c r="AW376" t="s">
        <v>7341</v>
      </c>
    </row>
    <row r="377" spans="1:50">
      <c r="A377" s="1">
        <f>HYPERLINK("https://lsnyc.legalserver.org/matter/dynamic-profile/view/1893532","19-1893532")</f>
        <v>0</v>
      </c>
      <c r="B377" t="s">
        <v>61</v>
      </c>
      <c r="C377" t="s">
        <v>105</v>
      </c>
      <c r="D377" t="s">
        <v>352</v>
      </c>
      <c r="F377" t="s">
        <v>733</v>
      </c>
      <c r="G377" t="s">
        <v>1829</v>
      </c>
      <c r="H377" t="s">
        <v>2711</v>
      </c>
      <c r="I377">
        <v>7</v>
      </c>
      <c r="J377" t="s">
        <v>3604</v>
      </c>
      <c r="K377">
        <v>10034</v>
      </c>
      <c r="L377" t="s">
        <v>3610</v>
      </c>
      <c r="M377" t="s">
        <v>3610</v>
      </c>
      <c r="O377" t="s">
        <v>4213</v>
      </c>
      <c r="P377" t="s">
        <v>4245</v>
      </c>
      <c r="R377" t="s">
        <v>4258</v>
      </c>
      <c r="S377" t="s">
        <v>3611</v>
      </c>
      <c r="U377" t="s">
        <v>4268</v>
      </c>
      <c r="W377" t="s">
        <v>352</v>
      </c>
      <c r="X377">
        <v>2200</v>
      </c>
      <c r="Y377" t="s">
        <v>4351</v>
      </c>
      <c r="Z377" t="s">
        <v>4354</v>
      </c>
      <c r="AB377" t="s">
        <v>4708</v>
      </c>
      <c r="AD377" t="s">
        <v>6112</v>
      </c>
      <c r="AE377">
        <v>25</v>
      </c>
      <c r="AF377" t="s">
        <v>7101</v>
      </c>
      <c r="AG377" t="s">
        <v>3745</v>
      </c>
      <c r="AH377">
        <v>1</v>
      </c>
      <c r="AI377">
        <v>1</v>
      </c>
      <c r="AJ377">
        <v>0</v>
      </c>
      <c r="AK377">
        <v>65.62</v>
      </c>
      <c r="AN377" t="s">
        <v>7139</v>
      </c>
      <c r="AO377">
        <v>8196</v>
      </c>
      <c r="AU377">
        <v>1.2</v>
      </c>
      <c r="AV377" t="s">
        <v>122</v>
      </c>
      <c r="AW377" t="s">
        <v>7342</v>
      </c>
      <c r="AX377" t="s">
        <v>7377</v>
      </c>
    </row>
    <row r="378" spans="1:50">
      <c r="A378" s="1">
        <f>HYPERLINK("https://lsnyc.legalserver.org/matter/dynamic-profile/view/0818092","16-0818092")</f>
        <v>0</v>
      </c>
      <c r="B378" t="s">
        <v>67</v>
      </c>
      <c r="C378" t="s">
        <v>104</v>
      </c>
      <c r="D378" t="s">
        <v>353</v>
      </c>
      <c r="E378" t="s">
        <v>642</v>
      </c>
      <c r="F378" t="s">
        <v>949</v>
      </c>
      <c r="G378" t="s">
        <v>1399</v>
      </c>
      <c r="H378" t="s">
        <v>2607</v>
      </c>
      <c r="I378" t="s">
        <v>3316</v>
      </c>
      <c r="J378" t="s">
        <v>3604</v>
      </c>
      <c r="K378">
        <v>10029</v>
      </c>
      <c r="L378" t="s">
        <v>3610</v>
      </c>
      <c r="M378" t="s">
        <v>3609</v>
      </c>
      <c r="O378" t="s">
        <v>4228</v>
      </c>
      <c r="P378" t="s">
        <v>4245</v>
      </c>
      <c r="Q378" t="s">
        <v>4249</v>
      </c>
      <c r="R378" t="s">
        <v>4258</v>
      </c>
      <c r="S378" t="s">
        <v>3610</v>
      </c>
      <c r="U378" t="s">
        <v>4268</v>
      </c>
      <c r="V378" t="s">
        <v>4274</v>
      </c>
      <c r="W378" t="s">
        <v>4295</v>
      </c>
      <c r="X378">
        <v>500</v>
      </c>
      <c r="Y378" t="s">
        <v>4351</v>
      </c>
      <c r="Z378" t="s">
        <v>4352</v>
      </c>
      <c r="AA378" t="s">
        <v>4374</v>
      </c>
      <c r="AB378" t="s">
        <v>4709</v>
      </c>
      <c r="AE378">
        <v>10</v>
      </c>
      <c r="AF378" t="s">
        <v>7101</v>
      </c>
      <c r="AG378" t="s">
        <v>3745</v>
      </c>
      <c r="AH378">
        <v>2</v>
      </c>
      <c r="AI378">
        <v>1</v>
      </c>
      <c r="AJ378">
        <v>0</v>
      </c>
      <c r="AK378">
        <v>65.66</v>
      </c>
      <c r="AN378" t="s">
        <v>7138</v>
      </c>
      <c r="AO378">
        <v>7800</v>
      </c>
      <c r="AU378">
        <v>0.5</v>
      </c>
      <c r="AV378" t="s">
        <v>353</v>
      </c>
      <c r="AW378" t="s">
        <v>7364</v>
      </c>
    </row>
    <row r="379" spans="1:50">
      <c r="A379" s="1">
        <f>HYPERLINK("https://lsnyc.legalserver.org/matter/dynamic-profile/view/1843444","17-1843444")</f>
        <v>0</v>
      </c>
      <c r="B379" t="s">
        <v>62</v>
      </c>
      <c r="C379" t="s">
        <v>105</v>
      </c>
      <c r="D379" t="s">
        <v>354</v>
      </c>
      <c r="F379" t="s">
        <v>950</v>
      </c>
      <c r="G379" t="s">
        <v>1830</v>
      </c>
      <c r="H379" t="s">
        <v>2712</v>
      </c>
      <c r="I379" t="s">
        <v>3342</v>
      </c>
      <c r="J379" t="s">
        <v>3604</v>
      </c>
      <c r="K379">
        <v>10040</v>
      </c>
      <c r="L379" t="s">
        <v>3610</v>
      </c>
      <c r="M379" t="s">
        <v>3609</v>
      </c>
      <c r="O379" t="s">
        <v>4213</v>
      </c>
      <c r="P379" t="s">
        <v>4241</v>
      </c>
      <c r="R379" t="s">
        <v>4258</v>
      </c>
      <c r="S379" t="s">
        <v>3610</v>
      </c>
      <c r="U379" t="s">
        <v>4268</v>
      </c>
      <c r="W379" t="s">
        <v>379</v>
      </c>
      <c r="X379">
        <v>800</v>
      </c>
      <c r="Y379" t="s">
        <v>4351</v>
      </c>
      <c r="Z379" t="s">
        <v>4354</v>
      </c>
      <c r="AB379" t="s">
        <v>4710</v>
      </c>
      <c r="AD379" t="s">
        <v>6113</v>
      </c>
      <c r="AE379">
        <v>42</v>
      </c>
      <c r="AF379" t="s">
        <v>7101</v>
      </c>
      <c r="AG379" t="s">
        <v>7116</v>
      </c>
      <c r="AH379">
        <v>40</v>
      </c>
      <c r="AI379">
        <v>1</v>
      </c>
      <c r="AJ379">
        <v>0</v>
      </c>
      <c r="AK379">
        <v>65.67</v>
      </c>
      <c r="AL379" t="s">
        <v>183</v>
      </c>
      <c r="AN379" t="s">
        <v>7139</v>
      </c>
      <c r="AO379">
        <v>7920</v>
      </c>
      <c r="AU379">
        <v>0.2</v>
      </c>
      <c r="AV379" t="s">
        <v>426</v>
      </c>
      <c r="AW379" t="s">
        <v>7342</v>
      </c>
    </row>
    <row r="380" spans="1:50">
      <c r="A380" s="1">
        <f>HYPERLINK("https://lsnyc.legalserver.org/matter/dynamic-profile/view/1837349","17-1837349")</f>
        <v>0</v>
      </c>
      <c r="B380" t="s">
        <v>64</v>
      </c>
      <c r="C380" t="s">
        <v>104</v>
      </c>
      <c r="D380" t="s">
        <v>355</v>
      </c>
      <c r="E380" t="s">
        <v>263</v>
      </c>
      <c r="F380" t="s">
        <v>738</v>
      </c>
      <c r="G380" t="s">
        <v>1754</v>
      </c>
      <c r="H380" t="s">
        <v>2713</v>
      </c>
      <c r="I380" t="s">
        <v>3288</v>
      </c>
      <c r="J380" t="s">
        <v>3604</v>
      </c>
      <c r="K380">
        <v>10034</v>
      </c>
      <c r="L380" t="s">
        <v>3610</v>
      </c>
      <c r="M380" t="s">
        <v>3609</v>
      </c>
      <c r="N380" t="s">
        <v>3754</v>
      </c>
      <c r="O380" t="s">
        <v>4209</v>
      </c>
      <c r="P380" t="s">
        <v>4241</v>
      </c>
      <c r="Q380" t="s">
        <v>4248</v>
      </c>
      <c r="R380" t="s">
        <v>4258</v>
      </c>
      <c r="S380" t="s">
        <v>3611</v>
      </c>
      <c r="U380" t="s">
        <v>4268</v>
      </c>
      <c r="W380" t="s">
        <v>355</v>
      </c>
      <c r="X380">
        <v>1067.09</v>
      </c>
      <c r="Y380" t="s">
        <v>4351</v>
      </c>
      <c r="Z380" t="s">
        <v>4354</v>
      </c>
      <c r="AA380" t="s">
        <v>4374</v>
      </c>
      <c r="AB380" t="s">
        <v>4711</v>
      </c>
      <c r="AD380" t="s">
        <v>6114</v>
      </c>
      <c r="AE380">
        <v>30</v>
      </c>
      <c r="AF380" t="s">
        <v>7101</v>
      </c>
      <c r="AG380" t="s">
        <v>7118</v>
      </c>
      <c r="AH380">
        <v>28</v>
      </c>
      <c r="AI380">
        <v>1</v>
      </c>
      <c r="AJ380">
        <v>0</v>
      </c>
      <c r="AK380">
        <v>65.81999999999999</v>
      </c>
      <c r="AN380" t="s">
        <v>7139</v>
      </c>
      <c r="AO380">
        <v>7938</v>
      </c>
      <c r="AU380">
        <v>13.5</v>
      </c>
      <c r="AV380" t="s">
        <v>386</v>
      </c>
      <c r="AW380" t="s">
        <v>7341</v>
      </c>
    </row>
    <row r="381" spans="1:50">
      <c r="A381" s="1">
        <f>HYPERLINK("https://lsnyc.legalserver.org/matter/dynamic-profile/view/1837357","17-1837357")</f>
        <v>0</v>
      </c>
      <c r="B381" t="s">
        <v>61</v>
      </c>
      <c r="C381" t="s">
        <v>104</v>
      </c>
      <c r="D381" t="s">
        <v>355</v>
      </c>
      <c r="E381" t="s">
        <v>668</v>
      </c>
      <c r="F381" t="s">
        <v>895</v>
      </c>
      <c r="G381" t="s">
        <v>1775</v>
      </c>
      <c r="H381" t="s">
        <v>2631</v>
      </c>
      <c r="I381">
        <v>2</v>
      </c>
      <c r="J381" t="s">
        <v>3604</v>
      </c>
      <c r="K381">
        <v>10034</v>
      </c>
      <c r="L381" t="s">
        <v>3610</v>
      </c>
      <c r="M381" t="s">
        <v>3609</v>
      </c>
      <c r="O381" t="s">
        <v>4217</v>
      </c>
      <c r="P381" t="s">
        <v>4244</v>
      </c>
      <c r="Q381" t="s">
        <v>4249</v>
      </c>
      <c r="R381" t="s">
        <v>4258</v>
      </c>
      <c r="S381" t="s">
        <v>3611</v>
      </c>
      <c r="U381" t="s">
        <v>4269</v>
      </c>
      <c r="W381" t="s">
        <v>4283</v>
      </c>
      <c r="X381">
        <v>871.5700000000001</v>
      </c>
      <c r="Y381" t="s">
        <v>4351</v>
      </c>
      <c r="Z381" t="s">
        <v>4352</v>
      </c>
      <c r="AA381" t="s">
        <v>4384</v>
      </c>
      <c r="AB381" t="s">
        <v>4635</v>
      </c>
      <c r="AC381" t="s">
        <v>5813</v>
      </c>
      <c r="AD381" t="s">
        <v>6048</v>
      </c>
      <c r="AE381">
        <v>25</v>
      </c>
      <c r="AF381" t="s">
        <v>7101</v>
      </c>
      <c r="AG381" t="s">
        <v>7118</v>
      </c>
      <c r="AH381">
        <v>12</v>
      </c>
      <c r="AI381">
        <v>1</v>
      </c>
      <c r="AJ381">
        <v>1</v>
      </c>
      <c r="AK381">
        <v>65.91</v>
      </c>
      <c r="AN381" t="s">
        <v>7139</v>
      </c>
      <c r="AO381">
        <v>10704</v>
      </c>
      <c r="AU381">
        <v>2.7</v>
      </c>
      <c r="AV381" t="s">
        <v>668</v>
      </c>
      <c r="AW381" t="s">
        <v>7342</v>
      </c>
    </row>
    <row r="382" spans="1:50">
      <c r="A382" s="1">
        <f>HYPERLINK("https://lsnyc.legalserver.org/matter/dynamic-profile/view/0816578","16-0816578")</f>
        <v>0</v>
      </c>
      <c r="B382" t="s">
        <v>64</v>
      </c>
      <c r="C382" t="s">
        <v>105</v>
      </c>
      <c r="D382" t="s">
        <v>356</v>
      </c>
      <c r="F382" t="s">
        <v>852</v>
      </c>
      <c r="G382" t="s">
        <v>1728</v>
      </c>
      <c r="H382" t="s">
        <v>2496</v>
      </c>
      <c r="I382">
        <v>63</v>
      </c>
      <c r="J382" t="s">
        <v>3604</v>
      </c>
      <c r="K382">
        <v>10032</v>
      </c>
      <c r="L382" t="s">
        <v>3610</v>
      </c>
      <c r="M382" t="s">
        <v>3609</v>
      </c>
      <c r="N382" t="s">
        <v>3755</v>
      </c>
      <c r="O382" t="s">
        <v>4211</v>
      </c>
      <c r="P382" t="s">
        <v>4241</v>
      </c>
      <c r="R382" t="s">
        <v>4258</v>
      </c>
      <c r="S382" t="s">
        <v>3611</v>
      </c>
      <c r="U382" t="s">
        <v>4268</v>
      </c>
      <c r="W382" t="s">
        <v>356</v>
      </c>
      <c r="X382">
        <v>333.87</v>
      </c>
      <c r="Y382" t="s">
        <v>4351</v>
      </c>
      <c r="Z382" t="s">
        <v>4352</v>
      </c>
      <c r="AB382" t="s">
        <v>4575</v>
      </c>
      <c r="AD382" t="s">
        <v>6000</v>
      </c>
      <c r="AE382">
        <v>35</v>
      </c>
      <c r="AF382" t="s">
        <v>7104</v>
      </c>
      <c r="AG382" t="s">
        <v>3745</v>
      </c>
      <c r="AH382">
        <v>50</v>
      </c>
      <c r="AI382">
        <v>1</v>
      </c>
      <c r="AJ382">
        <v>0</v>
      </c>
      <c r="AK382">
        <v>66.17</v>
      </c>
      <c r="AL382" t="s">
        <v>4319</v>
      </c>
      <c r="AN382" t="s">
        <v>7138</v>
      </c>
      <c r="AO382">
        <v>7861</v>
      </c>
      <c r="AU382">
        <v>183.86</v>
      </c>
      <c r="AV382" t="s">
        <v>340</v>
      </c>
      <c r="AW382" t="s">
        <v>7345</v>
      </c>
    </row>
    <row r="383" spans="1:50">
      <c r="A383" s="1">
        <f>HYPERLINK("https://lsnyc.legalserver.org/matter/dynamic-profile/view/1847595","17-1847595")</f>
        <v>0</v>
      </c>
      <c r="B383" t="s">
        <v>79</v>
      </c>
      <c r="C383" t="s">
        <v>104</v>
      </c>
      <c r="D383" t="s">
        <v>284</v>
      </c>
      <c r="E383" t="s">
        <v>539</v>
      </c>
      <c r="F383" t="s">
        <v>951</v>
      </c>
      <c r="G383" t="s">
        <v>1831</v>
      </c>
      <c r="H383" t="s">
        <v>2714</v>
      </c>
      <c r="I383">
        <v>44</v>
      </c>
      <c r="J383" t="s">
        <v>3604</v>
      </c>
      <c r="K383">
        <v>10031</v>
      </c>
      <c r="L383" t="s">
        <v>3610</v>
      </c>
      <c r="M383" t="s">
        <v>3609</v>
      </c>
      <c r="O383" t="s">
        <v>4217</v>
      </c>
      <c r="P383" t="s">
        <v>4245</v>
      </c>
      <c r="Q383" t="s">
        <v>4249</v>
      </c>
      <c r="R383" t="s">
        <v>4258</v>
      </c>
      <c r="S383" t="s">
        <v>3610</v>
      </c>
      <c r="U383" t="s">
        <v>4269</v>
      </c>
      <c r="W383" t="s">
        <v>411</v>
      </c>
      <c r="X383">
        <v>0</v>
      </c>
      <c r="Y383" t="s">
        <v>4351</v>
      </c>
      <c r="AA383" t="s">
        <v>4378</v>
      </c>
      <c r="AB383" t="s">
        <v>4712</v>
      </c>
      <c r="AD383" t="s">
        <v>6115</v>
      </c>
      <c r="AE383">
        <v>0</v>
      </c>
      <c r="AF383" t="s">
        <v>7101</v>
      </c>
      <c r="AH383">
        <v>0</v>
      </c>
      <c r="AI383">
        <v>2</v>
      </c>
      <c r="AJ383">
        <v>0</v>
      </c>
      <c r="AK383">
        <v>66.5</v>
      </c>
      <c r="AN383" t="s">
        <v>7139</v>
      </c>
      <c r="AO383">
        <v>10800</v>
      </c>
      <c r="AU383">
        <v>1.2</v>
      </c>
      <c r="AV383" t="s">
        <v>539</v>
      </c>
      <c r="AW383" t="s">
        <v>7359</v>
      </c>
    </row>
    <row r="384" spans="1:50">
      <c r="A384" s="1">
        <f>HYPERLINK("https://lsnyc.legalserver.org/matter/dynamic-profile/view/0795512","16-0795512")</f>
        <v>0</v>
      </c>
      <c r="B384" t="s">
        <v>51</v>
      </c>
      <c r="C384" t="s">
        <v>104</v>
      </c>
      <c r="D384" t="s">
        <v>357</v>
      </c>
      <c r="E384" t="s">
        <v>385</v>
      </c>
      <c r="F384" t="s">
        <v>904</v>
      </c>
      <c r="G384" t="s">
        <v>1832</v>
      </c>
      <c r="H384" t="s">
        <v>2715</v>
      </c>
      <c r="I384" t="s">
        <v>3394</v>
      </c>
      <c r="J384" t="s">
        <v>3604</v>
      </c>
      <c r="K384">
        <v>10029</v>
      </c>
      <c r="L384" t="s">
        <v>3610</v>
      </c>
      <c r="M384" t="s">
        <v>3610</v>
      </c>
      <c r="N384" t="s">
        <v>3756</v>
      </c>
      <c r="O384" t="s">
        <v>4210</v>
      </c>
      <c r="P384" t="s">
        <v>4241</v>
      </c>
      <c r="Q384" t="s">
        <v>4248</v>
      </c>
      <c r="R384" t="s">
        <v>4258</v>
      </c>
      <c r="S384" t="s">
        <v>3611</v>
      </c>
      <c r="U384" t="s">
        <v>4271</v>
      </c>
      <c r="V384" t="s">
        <v>4275</v>
      </c>
      <c r="W384" t="s">
        <v>357</v>
      </c>
      <c r="X384">
        <v>2600</v>
      </c>
      <c r="Y384" t="s">
        <v>4351</v>
      </c>
      <c r="Z384" t="s">
        <v>4368</v>
      </c>
      <c r="AA384" t="s">
        <v>4374</v>
      </c>
      <c r="AB384" t="s">
        <v>4713</v>
      </c>
      <c r="AD384" t="s">
        <v>6116</v>
      </c>
      <c r="AE384">
        <v>135</v>
      </c>
      <c r="AF384" t="s">
        <v>7106</v>
      </c>
      <c r="AG384" t="s">
        <v>7116</v>
      </c>
      <c r="AH384">
        <v>32</v>
      </c>
      <c r="AI384">
        <v>4</v>
      </c>
      <c r="AJ384">
        <v>1</v>
      </c>
      <c r="AK384">
        <v>66.56999999999999</v>
      </c>
      <c r="AN384" t="s">
        <v>7138</v>
      </c>
      <c r="AO384">
        <v>18912</v>
      </c>
      <c r="AU384">
        <v>94.40000000000001</v>
      </c>
      <c r="AV384" t="s">
        <v>464</v>
      </c>
      <c r="AW384" t="s">
        <v>102</v>
      </c>
    </row>
    <row r="385" spans="1:50">
      <c r="A385" s="1">
        <f>HYPERLINK("https://lsnyc.legalserver.org/matter/dynamic-profile/view/0817499","16-0817499")</f>
        <v>0</v>
      </c>
      <c r="B385" t="s">
        <v>61</v>
      </c>
      <c r="C385" t="s">
        <v>104</v>
      </c>
      <c r="D385" t="s">
        <v>358</v>
      </c>
      <c r="E385" t="s">
        <v>271</v>
      </c>
      <c r="F385" t="s">
        <v>952</v>
      </c>
      <c r="G385" t="s">
        <v>1833</v>
      </c>
      <c r="H385" t="s">
        <v>2638</v>
      </c>
      <c r="I385">
        <v>32</v>
      </c>
      <c r="J385" t="s">
        <v>3604</v>
      </c>
      <c r="K385">
        <v>10034</v>
      </c>
      <c r="L385" t="s">
        <v>3610</v>
      </c>
      <c r="M385" t="s">
        <v>3609</v>
      </c>
      <c r="N385" t="s">
        <v>3757</v>
      </c>
      <c r="O385" t="s">
        <v>4209</v>
      </c>
      <c r="P385" t="s">
        <v>4241</v>
      </c>
      <c r="Q385" t="s">
        <v>4248</v>
      </c>
      <c r="R385" t="s">
        <v>4258</v>
      </c>
      <c r="S385" t="s">
        <v>3611</v>
      </c>
      <c r="U385" t="s">
        <v>4268</v>
      </c>
      <c r="W385" t="s">
        <v>358</v>
      </c>
      <c r="X385">
        <v>1400</v>
      </c>
      <c r="Y385" t="s">
        <v>4351</v>
      </c>
      <c r="Z385" t="s">
        <v>4354</v>
      </c>
      <c r="AA385" t="s">
        <v>4374</v>
      </c>
      <c r="AB385" t="s">
        <v>4714</v>
      </c>
      <c r="AD385" t="s">
        <v>6117</v>
      </c>
      <c r="AE385">
        <v>41</v>
      </c>
      <c r="AF385" t="s">
        <v>7101</v>
      </c>
      <c r="AG385" t="s">
        <v>3745</v>
      </c>
      <c r="AH385">
        <v>7</v>
      </c>
      <c r="AI385">
        <v>4</v>
      </c>
      <c r="AJ385">
        <v>0</v>
      </c>
      <c r="AK385">
        <v>66.81</v>
      </c>
      <c r="AN385" t="s">
        <v>7139</v>
      </c>
      <c r="AO385">
        <v>16236</v>
      </c>
      <c r="AU385">
        <v>45.05</v>
      </c>
      <c r="AV385" t="s">
        <v>271</v>
      </c>
      <c r="AW385" t="s">
        <v>7345</v>
      </c>
    </row>
    <row r="386" spans="1:50">
      <c r="A386" s="1">
        <f>HYPERLINK("https://lsnyc.legalserver.org/matter/dynamic-profile/view/1838455","17-1838455")</f>
        <v>0</v>
      </c>
      <c r="B386" t="s">
        <v>70</v>
      </c>
      <c r="C386" t="s">
        <v>104</v>
      </c>
      <c r="D386" t="s">
        <v>359</v>
      </c>
      <c r="E386" t="s">
        <v>196</v>
      </c>
      <c r="F386" t="s">
        <v>953</v>
      </c>
      <c r="G386" t="s">
        <v>1834</v>
      </c>
      <c r="H386" t="s">
        <v>2716</v>
      </c>
      <c r="I386" t="s">
        <v>3395</v>
      </c>
      <c r="J386" t="s">
        <v>3604</v>
      </c>
      <c r="K386">
        <v>10128</v>
      </c>
      <c r="L386" t="s">
        <v>3610</v>
      </c>
      <c r="M386" t="s">
        <v>3609</v>
      </c>
      <c r="N386" t="s">
        <v>3758</v>
      </c>
      <c r="O386" t="s">
        <v>4210</v>
      </c>
      <c r="P386" t="s">
        <v>4241</v>
      </c>
      <c r="Q386" t="s">
        <v>4251</v>
      </c>
      <c r="R386" t="s">
        <v>4257</v>
      </c>
      <c r="S386" t="s">
        <v>3611</v>
      </c>
      <c r="U386" t="s">
        <v>4268</v>
      </c>
      <c r="V386" t="s">
        <v>4274</v>
      </c>
      <c r="W386" t="s">
        <v>359</v>
      </c>
      <c r="X386">
        <v>399</v>
      </c>
      <c r="Y386" t="s">
        <v>4351</v>
      </c>
      <c r="Z386" t="s">
        <v>4355</v>
      </c>
      <c r="AA386" t="s">
        <v>4386</v>
      </c>
      <c r="AB386" t="s">
        <v>4715</v>
      </c>
      <c r="AC386">
        <v>2323907</v>
      </c>
      <c r="AD386" t="s">
        <v>5987</v>
      </c>
      <c r="AE386">
        <v>92</v>
      </c>
      <c r="AF386" t="s">
        <v>7112</v>
      </c>
      <c r="AG386" t="s">
        <v>7116</v>
      </c>
      <c r="AH386">
        <v>2</v>
      </c>
      <c r="AI386">
        <v>1</v>
      </c>
      <c r="AJ386">
        <v>3</v>
      </c>
      <c r="AK386">
        <v>66.83</v>
      </c>
      <c r="AL386" t="s">
        <v>369</v>
      </c>
      <c r="AN386" t="s">
        <v>7138</v>
      </c>
      <c r="AO386">
        <v>16440</v>
      </c>
      <c r="AQ386" t="s">
        <v>7196</v>
      </c>
      <c r="AR386" t="s">
        <v>7213</v>
      </c>
      <c r="AS386" t="s">
        <v>7231</v>
      </c>
      <c r="AT386" t="s">
        <v>7252</v>
      </c>
      <c r="AU386">
        <v>13.4</v>
      </c>
      <c r="AV386" t="s">
        <v>196</v>
      </c>
      <c r="AW386" t="s">
        <v>7341</v>
      </c>
    </row>
    <row r="387" spans="1:50">
      <c r="A387" s="1">
        <f>HYPERLINK("https://lsnyc.legalserver.org/matter/dynamic-profile/view/1864819","18-1864819")</f>
        <v>0</v>
      </c>
      <c r="B387" t="s">
        <v>53</v>
      </c>
      <c r="C387" t="s">
        <v>105</v>
      </c>
      <c r="D387" t="s">
        <v>151</v>
      </c>
      <c r="F387" t="s">
        <v>954</v>
      </c>
      <c r="G387" t="s">
        <v>1835</v>
      </c>
      <c r="H387" t="s">
        <v>2508</v>
      </c>
      <c r="I387">
        <v>707</v>
      </c>
      <c r="J387" t="s">
        <v>3604</v>
      </c>
      <c r="K387">
        <v>10029</v>
      </c>
      <c r="L387" t="s">
        <v>3610</v>
      </c>
      <c r="M387" t="s">
        <v>3610</v>
      </c>
      <c r="N387" t="s">
        <v>3642</v>
      </c>
      <c r="O387" t="s">
        <v>4213</v>
      </c>
      <c r="P387" t="s">
        <v>4241</v>
      </c>
      <c r="R387" t="s">
        <v>4258</v>
      </c>
      <c r="S387" t="s">
        <v>3610</v>
      </c>
      <c r="U387" t="s">
        <v>4268</v>
      </c>
      <c r="V387" t="s">
        <v>4274</v>
      </c>
      <c r="W387" t="s">
        <v>151</v>
      </c>
      <c r="X387">
        <v>2100</v>
      </c>
      <c r="Y387" t="s">
        <v>4351</v>
      </c>
      <c r="Z387" t="s">
        <v>4352</v>
      </c>
      <c r="AB387" t="s">
        <v>4716</v>
      </c>
      <c r="AD387" t="s">
        <v>6118</v>
      </c>
      <c r="AE387">
        <v>108</v>
      </c>
      <c r="AF387" t="s">
        <v>7106</v>
      </c>
      <c r="AG387" t="s">
        <v>7116</v>
      </c>
      <c r="AH387">
        <v>2</v>
      </c>
      <c r="AI387">
        <v>1</v>
      </c>
      <c r="AJ387">
        <v>1</v>
      </c>
      <c r="AK387">
        <v>66.83</v>
      </c>
      <c r="AN387" t="s">
        <v>7138</v>
      </c>
      <c r="AO387">
        <v>11000</v>
      </c>
      <c r="AU387">
        <v>0</v>
      </c>
      <c r="AW387" t="s">
        <v>7341</v>
      </c>
    </row>
    <row r="388" spans="1:50">
      <c r="A388" s="1">
        <f>HYPERLINK("https://lsnyc.legalserver.org/matter/dynamic-profile/view/1874934","18-1874934")</f>
        <v>0</v>
      </c>
      <c r="B388" t="s">
        <v>86</v>
      </c>
      <c r="C388" t="s">
        <v>104</v>
      </c>
      <c r="D388" t="s">
        <v>360</v>
      </c>
      <c r="E388" t="s">
        <v>636</v>
      </c>
      <c r="F388" t="s">
        <v>955</v>
      </c>
      <c r="G388" t="s">
        <v>1836</v>
      </c>
      <c r="H388" t="s">
        <v>2717</v>
      </c>
      <c r="I388" t="s">
        <v>3288</v>
      </c>
      <c r="J388" t="s">
        <v>3604</v>
      </c>
      <c r="K388">
        <v>10002</v>
      </c>
      <c r="L388" t="s">
        <v>3610</v>
      </c>
      <c r="M388" t="s">
        <v>3609</v>
      </c>
      <c r="O388" t="s">
        <v>4211</v>
      </c>
      <c r="P388" t="s">
        <v>4245</v>
      </c>
      <c r="Q388" t="s">
        <v>4250</v>
      </c>
      <c r="R388" t="s">
        <v>4258</v>
      </c>
      <c r="S388" t="s">
        <v>3611</v>
      </c>
      <c r="U388" t="s">
        <v>4268</v>
      </c>
      <c r="W388" t="s">
        <v>574</v>
      </c>
      <c r="X388">
        <v>900</v>
      </c>
      <c r="Y388" t="s">
        <v>4351</v>
      </c>
      <c r="Z388" t="s">
        <v>4352</v>
      </c>
      <c r="AA388" t="s">
        <v>4373</v>
      </c>
      <c r="AB388" t="s">
        <v>4717</v>
      </c>
      <c r="AD388" t="s">
        <v>6119</v>
      </c>
      <c r="AE388">
        <v>44</v>
      </c>
      <c r="AF388" t="s">
        <v>7101</v>
      </c>
      <c r="AG388" t="s">
        <v>3745</v>
      </c>
      <c r="AH388">
        <v>3</v>
      </c>
      <c r="AI388">
        <v>2</v>
      </c>
      <c r="AJ388">
        <v>1</v>
      </c>
      <c r="AK388">
        <v>67.37</v>
      </c>
      <c r="AN388" t="s">
        <v>7143</v>
      </c>
      <c r="AO388">
        <v>14000</v>
      </c>
      <c r="AU388">
        <v>0.8</v>
      </c>
      <c r="AV388" t="s">
        <v>360</v>
      </c>
      <c r="AW388" t="s">
        <v>7344</v>
      </c>
    </row>
    <row r="389" spans="1:50">
      <c r="A389" s="1">
        <f>HYPERLINK("https://lsnyc.legalserver.org/matter/dynamic-profile/view/0820152","16-0820152")</f>
        <v>0</v>
      </c>
      <c r="B389" t="s">
        <v>64</v>
      </c>
      <c r="C389" t="s">
        <v>104</v>
      </c>
      <c r="D389" t="s">
        <v>361</v>
      </c>
      <c r="E389" t="s">
        <v>378</v>
      </c>
      <c r="F389" t="s">
        <v>704</v>
      </c>
      <c r="G389" t="s">
        <v>1837</v>
      </c>
      <c r="H389" t="s">
        <v>2718</v>
      </c>
      <c r="I389" t="s">
        <v>3396</v>
      </c>
      <c r="J389" t="s">
        <v>3604</v>
      </c>
      <c r="K389">
        <v>10034</v>
      </c>
      <c r="L389" t="s">
        <v>3610</v>
      </c>
      <c r="M389" t="s">
        <v>3609</v>
      </c>
      <c r="N389" t="s">
        <v>3759</v>
      </c>
      <c r="O389" t="s">
        <v>4213</v>
      </c>
      <c r="P389" t="s">
        <v>4241</v>
      </c>
      <c r="Q389" t="s">
        <v>4248</v>
      </c>
      <c r="R389" t="s">
        <v>4258</v>
      </c>
      <c r="S389" t="s">
        <v>3610</v>
      </c>
      <c r="U389" t="s">
        <v>4268</v>
      </c>
      <c r="W389" t="s">
        <v>323</v>
      </c>
      <c r="X389">
        <v>380</v>
      </c>
      <c r="Y389" t="s">
        <v>4351</v>
      </c>
      <c r="Z389" t="s">
        <v>4352</v>
      </c>
      <c r="AA389" t="s">
        <v>4379</v>
      </c>
      <c r="AB389" t="s">
        <v>4718</v>
      </c>
      <c r="AD389" t="s">
        <v>6120</v>
      </c>
      <c r="AE389">
        <v>65</v>
      </c>
      <c r="AF389" t="s">
        <v>7101</v>
      </c>
      <c r="AG389" t="s">
        <v>3745</v>
      </c>
      <c r="AH389">
        <v>50</v>
      </c>
      <c r="AI389">
        <v>2</v>
      </c>
      <c r="AJ389">
        <v>0</v>
      </c>
      <c r="AK389">
        <v>67.42</v>
      </c>
      <c r="AN389" t="s">
        <v>7139</v>
      </c>
      <c r="AO389">
        <v>10800</v>
      </c>
      <c r="AU389">
        <v>1.6</v>
      </c>
      <c r="AV389" t="s">
        <v>403</v>
      </c>
      <c r="AW389" t="s">
        <v>7341</v>
      </c>
    </row>
    <row r="390" spans="1:50">
      <c r="A390" s="1">
        <f>HYPERLINK("https://lsnyc.legalserver.org/matter/dynamic-profile/view/1878600","18-1878600")</f>
        <v>0</v>
      </c>
      <c r="B390" t="s">
        <v>67</v>
      </c>
      <c r="C390" t="s">
        <v>104</v>
      </c>
      <c r="D390" t="s">
        <v>362</v>
      </c>
      <c r="E390" t="s">
        <v>442</v>
      </c>
      <c r="F390" t="s">
        <v>956</v>
      </c>
      <c r="G390" t="s">
        <v>1838</v>
      </c>
      <c r="H390" t="s">
        <v>2719</v>
      </c>
      <c r="I390" t="s">
        <v>3316</v>
      </c>
      <c r="J390" t="s">
        <v>3604</v>
      </c>
      <c r="K390">
        <v>10035</v>
      </c>
      <c r="L390" t="s">
        <v>3610</v>
      </c>
      <c r="M390" t="s">
        <v>3610</v>
      </c>
      <c r="N390" t="s">
        <v>3760</v>
      </c>
      <c r="O390" t="s">
        <v>4210</v>
      </c>
      <c r="P390" t="s">
        <v>4241</v>
      </c>
      <c r="Q390" t="s">
        <v>4248</v>
      </c>
      <c r="R390" t="s">
        <v>4258</v>
      </c>
      <c r="S390" t="s">
        <v>3611</v>
      </c>
      <c r="U390" t="s">
        <v>4268</v>
      </c>
      <c r="V390" t="s">
        <v>4274</v>
      </c>
      <c r="W390" t="s">
        <v>229</v>
      </c>
      <c r="X390">
        <v>0</v>
      </c>
      <c r="Y390" t="s">
        <v>4351</v>
      </c>
      <c r="Z390" t="s">
        <v>4364</v>
      </c>
      <c r="AA390" t="s">
        <v>4374</v>
      </c>
      <c r="AB390" t="s">
        <v>4719</v>
      </c>
      <c r="AE390">
        <v>24</v>
      </c>
      <c r="AF390" t="s">
        <v>7101</v>
      </c>
      <c r="AG390" t="s">
        <v>7116</v>
      </c>
      <c r="AH390">
        <v>22</v>
      </c>
      <c r="AI390">
        <v>3</v>
      </c>
      <c r="AJ390">
        <v>0</v>
      </c>
      <c r="AK390">
        <v>67.56</v>
      </c>
      <c r="AN390" t="s">
        <v>7138</v>
      </c>
      <c r="AO390">
        <v>14040</v>
      </c>
      <c r="AU390">
        <v>6.5</v>
      </c>
      <c r="AV390" t="s">
        <v>192</v>
      </c>
      <c r="AW390" t="s">
        <v>7341</v>
      </c>
      <c r="AX390" t="s">
        <v>7377</v>
      </c>
    </row>
    <row r="391" spans="1:50">
      <c r="A391" s="1">
        <f>HYPERLINK("https://lsnyc.legalserver.org/matter/dynamic-profile/view/1892877","19-1892877")</f>
        <v>0</v>
      </c>
      <c r="B391" t="s">
        <v>60</v>
      </c>
      <c r="C391" t="s">
        <v>105</v>
      </c>
      <c r="D391" t="s">
        <v>245</v>
      </c>
      <c r="F391" t="s">
        <v>895</v>
      </c>
      <c r="G391" t="s">
        <v>1775</v>
      </c>
      <c r="H391" t="s">
        <v>2631</v>
      </c>
      <c r="I391">
        <v>2</v>
      </c>
      <c r="J391" t="s">
        <v>3604</v>
      </c>
      <c r="K391">
        <v>10034</v>
      </c>
      <c r="L391" t="s">
        <v>3610</v>
      </c>
      <c r="M391" t="s">
        <v>3610</v>
      </c>
      <c r="P391" t="s">
        <v>4242</v>
      </c>
      <c r="R391" t="s">
        <v>4258</v>
      </c>
      <c r="S391" t="s">
        <v>3610</v>
      </c>
      <c r="U391" t="s">
        <v>4268</v>
      </c>
      <c r="W391" t="s">
        <v>245</v>
      </c>
      <c r="X391">
        <v>803</v>
      </c>
      <c r="Y391" t="s">
        <v>4351</v>
      </c>
      <c r="Z391" t="s">
        <v>4357</v>
      </c>
      <c r="AB391" t="s">
        <v>4635</v>
      </c>
      <c r="AC391" t="s">
        <v>5814</v>
      </c>
      <c r="AD391" t="s">
        <v>6048</v>
      </c>
      <c r="AE391">
        <v>25</v>
      </c>
      <c r="AF391" t="s">
        <v>7101</v>
      </c>
      <c r="AG391" t="s">
        <v>7118</v>
      </c>
      <c r="AH391">
        <v>14</v>
      </c>
      <c r="AI391">
        <v>1</v>
      </c>
      <c r="AJ391">
        <v>1</v>
      </c>
      <c r="AK391">
        <v>67.63</v>
      </c>
      <c r="AN391" t="s">
        <v>7139</v>
      </c>
      <c r="AO391">
        <v>11436</v>
      </c>
      <c r="AU391">
        <v>0</v>
      </c>
      <c r="AW391" t="s">
        <v>7342</v>
      </c>
    </row>
    <row r="392" spans="1:50">
      <c r="A392" s="1">
        <f>HYPERLINK("https://lsnyc.legalserver.org/matter/dynamic-profile/view/1860272","18-1860272")</f>
        <v>0</v>
      </c>
      <c r="B392" t="s">
        <v>63</v>
      </c>
      <c r="C392" t="s">
        <v>105</v>
      </c>
      <c r="D392" t="s">
        <v>130</v>
      </c>
      <c r="F392" t="s">
        <v>957</v>
      </c>
      <c r="G392" t="s">
        <v>1599</v>
      </c>
      <c r="H392" t="s">
        <v>2637</v>
      </c>
      <c r="I392" t="s">
        <v>3288</v>
      </c>
      <c r="J392" t="s">
        <v>3604</v>
      </c>
      <c r="K392">
        <v>10034</v>
      </c>
      <c r="L392" t="s">
        <v>3610</v>
      </c>
      <c r="M392" t="s">
        <v>3609</v>
      </c>
      <c r="O392" t="s">
        <v>4211</v>
      </c>
      <c r="P392" t="s">
        <v>4245</v>
      </c>
      <c r="R392" t="s">
        <v>4258</v>
      </c>
      <c r="S392" t="s">
        <v>3611</v>
      </c>
      <c r="U392" t="s">
        <v>4268</v>
      </c>
      <c r="W392" t="s">
        <v>130</v>
      </c>
      <c r="X392">
        <v>986</v>
      </c>
      <c r="Y392" t="s">
        <v>4351</v>
      </c>
      <c r="Z392" t="s">
        <v>4357</v>
      </c>
      <c r="AB392" t="s">
        <v>4720</v>
      </c>
      <c r="AD392" t="s">
        <v>6121</v>
      </c>
      <c r="AE392">
        <v>44</v>
      </c>
      <c r="AF392" t="s">
        <v>7101</v>
      </c>
      <c r="AG392" t="s">
        <v>7118</v>
      </c>
      <c r="AH392">
        <v>22</v>
      </c>
      <c r="AI392">
        <v>4</v>
      </c>
      <c r="AJ392">
        <v>2</v>
      </c>
      <c r="AK392">
        <v>67.75</v>
      </c>
      <c r="AN392" t="s">
        <v>7139</v>
      </c>
      <c r="AO392">
        <v>37044</v>
      </c>
      <c r="AU392">
        <v>3.6</v>
      </c>
      <c r="AV392" t="s">
        <v>512</v>
      </c>
      <c r="AW392" t="s">
        <v>7342</v>
      </c>
    </row>
    <row r="393" spans="1:50">
      <c r="A393" s="1">
        <f>HYPERLINK("https://lsnyc.legalserver.org/matter/dynamic-profile/view/1873919","18-1873919")</f>
        <v>0</v>
      </c>
      <c r="B393" t="s">
        <v>55</v>
      </c>
      <c r="C393" t="s">
        <v>104</v>
      </c>
      <c r="D393" t="s">
        <v>363</v>
      </c>
      <c r="E393" t="s">
        <v>662</v>
      </c>
      <c r="F393" t="s">
        <v>958</v>
      </c>
      <c r="G393" t="s">
        <v>1675</v>
      </c>
      <c r="H393" t="s">
        <v>2720</v>
      </c>
      <c r="I393">
        <v>6</v>
      </c>
      <c r="J393" t="s">
        <v>3604</v>
      </c>
      <c r="K393">
        <v>10029</v>
      </c>
      <c r="L393" t="s">
        <v>3610</v>
      </c>
      <c r="M393" t="s">
        <v>3610</v>
      </c>
      <c r="O393" t="s">
        <v>4211</v>
      </c>
      <c r="P393" t="s">
        <v>4242</v>
      </c>
      <c r="Q393" t="s">
        <v>4250</v>
      </c>
      <c r="R393" t="s">
        <v>4258</v>
      </c>
      <c r="S393" t="s">
        <v>3611</v>
      </c>
      <c r="U393" t="s">
        <v>4268</v>
      </c>
      <c r="V393" t="s">
        <v>4274</v>
      </c>
      <c r="W393" t="s">
        <v>476</v>
      </c>
      <c r="X393">
        <v>1108</v>
      </c>
      <c r="Y393" t="s">
        <v>4351</v>
      </c>
      <c r="Z393" t="s">
        <v>4352</v>
      </c>
      <c r="AA393" t="s">
        <v>4373</v>
      </c>
      <c r="AB393" t="s">
        <v>4721</v>
      </c>
      <c r="AD393" t="s">
        <v>6122</v>
      </c>
      <c r="AE393">
        <v>15</v>
      </c>
      <c r="AF393" t="s">
        <v>7101</v>
      </c>
      <c r="AG393" t="s">
        <v>7116</v>
      </c>
      <c r="AH393">
        <v>11</v>
      </c>
      <c r="AI393">
        <v>1</v>
      </c>
      <c r="AJ393">
        <v>1</v>
      </c>
      <c r="AK393">
        <v>67.91</v>
      </c>
      <c r="AN393" t="s">
        <v>7139</v>
      </c>
      <c r="AO393">
        <v>11178</v>
      </c>
      <c r="AU393">
        <v>3.1</v>
      </c>
      <c r="AV393" t="s">
        <v>573</v>
      </c>
      <c r="AW393" t="s">
        <v>7366</v>
      </c>
    </row>
    <row r="394" spans="1:50">
      <c r="A394" s="1">
        <f>HYPERLINK("https://lsnyc.legalserver.org/matter/dynamic-profile/view/1897842","19-1897842")</f>
        <v>0</v>
      </c>
      <c r="B394" t="s">
        <v>53</v>
      </c>
      <c r="C394" t="s">
        <v>105</v>
      </c>
      <c r="D394" t="s">
        <v>134</v>
      </c>
      <c r="F394" t="s">
        <v>959</v>
      </c>
      <c r="G394" t="s">
        <v>1839</v>
      </c>
      <c r="H394" t="s">
        <v>2565</v>
      </c>
      <c r="I394" t="s">
        <v>3397</v>
      </c>
      <c r="J394" t="s">
        <v>3604</v>
      </c>
      <c r="K394">
        <v>10031</v>
      </c>
      <c r="L394" t="s">
        <v>3610</v>
      </c>
      <c r="M394" t="s">
        <v>3610</v>
      </c>
      <c r="N394" t="s">
        <v>3761</v>
      </c>
      <c r="O394" t="s">
        <v>4213</v>
      </c>
      <c r="P394" t="s">
        <v>4241</v>
      </c>
      <c r="R394" t="s">
        <v>4258</v>
      </c>
      <c r="S394" t="s">
        <v>3611</v>
      </c>
      <c r="U394" t="s">
        <v>4268</v>
      </c>
      <c r="V394" t="s">
        <v>4274</v>
      </c>
      <c r="W394" t="s">
        <v>319</v>
      </c>
      <c r="X394">
        <v>2130</v>
      </c>
      <c r="Y394" t="s">
        <v>4351</v>
      </c>
      <c r="Z394" t="s">
        <v>4352</v>
      </c>
      <c r="AB394" t="s">
        <v>4722</v>
      </c>
      <c r="AD394" t="s">
        <v>6123</v>
      </c>
      <c r="AE394">
        <v>44</v>
      </c>
      <c r="AF394" t="s">
        <v>7101</v>
      </c>
      <c r="AG394" t="s">
        <v>7116</v>
      </c>
      <c r="AH394">
        <v>22</v>
      </c>
      <c r="AI394">
        <v>3</v>
      </c>
      <c r="AJ394">
        <v>0</v>
      </c>
      <c r="AK394">
        <v>68.06999999999999</v>
      </c>
      <c r="AN394" t="s">
        <v>7139</v>
      </c>
      <c r="AO394">
        <v>14520</v>
      </c>
      <c r="AU394">
        <v>0</v>
      </c>
      <c r="AW394" t="s">
        <v>7341</v>
      </c>
    </row>
    <row r="395" spans="1:50">
      <c r="A395" s="1">
        <f>HYPERLINK("https://lsnyc.legalserver.org/matter/dynamic-profile/view/0823243","16-0823243")</f>
        <v>0</v>
      </c>
      <c r="B395" t="s">
        <v>51</v>
      </c>
      <c r="C395" t="s">
        <v>104</v>
      </c>
      <c r="D395" t="s">
        <v>337</v>
      </c>
      <c r="E395" t="s">
        <v>293</v>
      </c>
      <c r="F395" t="s">
        <v>930</v>
      </c>
      <c r="G395" t="s">
        <v>1811</v>
      </c>
      <c r="H395" t="s">
        <v>2693</v>
      </c>
      <c r="I395">
        <v>62</v>
      </c>
      <c r="J395" t="s">
        <v>3604</v>
      </c>
      <c r="K395">
        <v>10029</v>
      </c>
      <c r="L395" t="s">
        <v>3610</v>
      </c>
      <c r="M395" t="s">
        <v>3609</v>
      </c>
      <c r="O395" t="s">
        <v>4211</v>
      </c>
      <c r="P395" t="s">
        <v>4244</v>
      </c>
      <c r="Q395" t="s">
        <v>4251</v>
      </c>
      <c r="R395" t="s">
        <v>4258</v>
      </c>
      <c r="S395" t="s">
        <v>3611</v>
      </c>
      <c r="U395" t="s">
        <v>4268</v>
      </c>
      <c r="V395" t="s">
        <v>4274</v>
      </c>
      <c r="W395" t="s">
        <v>608</v>
      </c>
      <c r="X395">
        <v>950</v>
      </c>
      <c r="Y395" t="s">
        <v>4351</v>
      </c>
      <c r="Z395" t="s">
        <v>4357</v>
      </c>
      <c r="AA395" t="s">
        <v>4377</v>
      </c>
      <c r="AB395" t="s">
        <v>4684</v>
      </c>
      <c r="AD395" t="s">
        <v>6089</v>
      </c>
      <c r="AE395">
        <v>32</v>
      </c>
      <c r="AF395" t="s">
        <v>7101</v>
      </c>
      <c r="AG395" t="s">
        <v>7117</v>
      </c>
      <c r="AH395">
        <v>4</v>
      </c>
      <c r="AI395">
        <v>1</v>
      </c>
      <c r="AJ395">
        <v>1</v>
      </c>
      <c r="AK395">
        <v>68.39</v>
      </c>
      <c r="AN395" t="s">
        <v>7138</v>
      </c>
      <c r="AO395">
        <v>10956</v>
      </c>
      <c r="AU395">
        <v>7.8</v>
      </c>
      <c r="AV395" t="s">
        <v>282</v>
      </c>
      <c r="AW395" t="s">
        <v>7341</v>
      </c>
    </row>
    <row r="396" spans="1:50">
      <c r="A396" s="1">
        <f>HYPERLINK("https://lsnyc.legalserver.org/matter/dynamic-profile/view/0806925","16-0806925")</f>
        <v>0</v>
      </c>
      <c r="B396" t="s">
        <v>63</v>
      </c>
      <c r="C396" t="s">
        <v>105</v>
      </c>
      <c r="D396" t="s">
        <v>289</v>
      </c>
      <c r="F396" t="s">
        <v>957</v>
      </c>
      <c r="G396" t="s">
        <v>1599</v>
      </c>
      <c r="H396" t="s">
        <v>2637</v>
      </c>
      <c r="I396" t="s">
        <v>3288</v>
      </c>
      <c r="J396" t="s">
        <v>3604</v>
      </c>
      <c r="K396">
        <v>10034</v>
      </c>
      <c r="L396" t="s">
        <v>3610</v>
      </c>
      <c r="M396" t="s">
        <v>3609</v>
      </c>
      <c r="N396" t="s">
        <v>3721</v>
      </c>
      <c r="O396" t="s">
        <v>4213</v>
      </c>
      <c r="P396" t="s">
        <v>4241</v>
      </c>
      <c r="R396" t="s">
        <v>4258</v>
      </c>
      <c r="S396" t="s">
        <v>3610</v>
      </c>
      <c r="U396" t="s">
        <v>4268</v>
      </c>
      <c r="W396" t="s">
        <v>4292</v>
      </c>
      <c r="X396">
        <v>986</v>
      </c>
      <c r="Y396" t="s">
        <v>4351</v>
      </c>
      <c r="Z396" t="s">
        <v>4364</v>
      </c>
      <c r="AB396" t="s">
        <v>4720</v>
      </c>
      <c r="AD396" t="s">
        <v>6121</v>
      </c>
      <c r="AE396">
        <v>44</v>
      </c>
      <c r="AF396" t="s">
        <v>7101</v>
      </c>
      <c r="AG396" t="s">
        <v>7118</v>
      </c>
      <c r="AH396">
        <v>22</v>
      </c>
      <c r="AI396">
        <v>4</v>
      </c>
      <c r="AJ396">
        <v>2</v>
      </c>
      <c r="AK396">
        <v>68.55</v>
      </c>
      <c r="AN396" t="s">
        <v>7139</v>
      </c>
      <c r="AO396">
        <v>22332</v>
      </c>
      <c r="AU396">
        <v>248.15</v>
      </c>
      <c r="AV396" t="s">
        <v>467</v>
      </c>
      <c r="AW396" t="s">
        <v>7341</v>
      </c>
    </row>
    <row r="397" spans="1:50">
      <c r="A397" s="1">
        <f>HYPERLINK("https://lsnyc.legalserver.org/matter/dynamic-profile/view/1833279","17-1833279")</f>
        <v>0</v>
      </c>
      <c r="B397" t="s">
        <v>55</v>
      </c>
      <c r="C397" t="s">
        <v>104</v>
      </c>
      <c r="D397" t="s">
        <v>364</v>
      </c>
      <c r="E397" t="s">
        <v>303</v>
      </c>
      <c r="F397" t="s">
        <v>960</v>
      </c>
      <c r="G397" t="s">
        <v>1840</v>
      </c>
      <c r="H397" t="s">
        <v>2721</v>
      </c>
      <c r="I397">
        <v>20</v>
      </c>
      <c r="J397" t="s">
        <v>3604</v>
      </c>
      <c r="K397">
        <v>10029</v>
      </c>
      <c r="L397" t="s">
        <v>3610</v>
      </c>
      <c r="M397" t="s">
        <v>3610</v>
      </c>
      <c r="N397" t="s">
        <v>3762</v>
      </c>
      <c r="O397" t="s">
        <v>4221</v>
      </c>
      <c r="P397" t="s">
        <v>4241</v>
      </c>
      <c r="Q397" t="s">
        <v>4251</v>
      </c>
      <c r="R397" t="s">
        <v>4258</v>
      </c>
      <c r="S397" t="s">
        <v>3611</v>
      </c>
      <c r="U397" t="s">
        <v>4268</v>
      </c>
      <c r="V397" t="s">
        <v>4274</v>
      </c>
      <c r="W397" t="s">
        <v>4282</v>
      </c>
      <c r="X397">
        <v>812.49</v>
      </c>
      <c r="Y397" t="s">
        <v>4351</v>
      </c>
      <c r="Z397" t="s">
        <v>4354</v>
      </c>
      <c r="AA397" t="s">
        <v>4374</v>
      </c>
      <c r="AB397" t="s">
        <v>4723</v>
      </c>
      <c r="AD397" t="s">
        <v>6124</v>
      </c>
      <c r="AE397">
        <v>22</v>
      </c>
      <c r="AF397" t="s">
        <v>7101</v>
      </c>
      <c r="AG397" t="s">
        <v>7118</v>
      </c>
      <c r="AH397">
        <v>37</v>
      </c>
      <c r="AI397">
        <v>3</v>
      </c>
      <c r="AJ397">
        <v>2</v>
      </c>
      <c r="AK397">
        <v>68.92</v>
      </c>
      <c r="AN397" t="s">
        <v>7139</v>
      </c>
      <c r="AO397">
        <v>19836</v>
      </c>
      <c r="AU397">
        <v>3.8</v>
      </c>
      <c r="AV397" t="s">
        <v>316</v>
      </c>
      <c r="AW397" t="s">
        <v>7341</v>
      </c>
    </row>
    <row r="398" spans="1:50">
      <c r="A398" s="1">
        <f>HYPERLINK("https://lsnyc.legalserver.org/matter/dynamic-profile/view/1900563","19-1900563")</f>
        <v>0</v>
      </c>
      <c r="B398" t="s">
        <v>68</v>
      </c>
      <c r="C398" t="s">
        <v>105</v>
      </c>
      <c r="D398" t="s">
        <v>196</v>
      </c>
      <c r="F398" t="s">
        <v>843</v>
      </c>
      <c r="G398" t="s">
        <v>1599</v>
      </c>
      <c r="H398" t="s">
        <v>2722</v>
      </c>
      <c r="I398" t="s">
        <v>3398</v>
      </c>
      <c r="J398" t="s">
        <v>3604</v>
      </c>
      <c r="K398">
        <v>10029</v>
      </c>
      <c r="L398" t="s">
        <v>3610</v>
      </c>
      <c r="M398" t="s">
        <v>3609</v>
      </c>
      <c r="O398" t="s">
        <v>4213</v>
      </c>
      <c r="P398" t="s">
        <v>4246</v>
      </c>
      <c r="R398" t="s">
        <v>4258</v>
      </c>
      <c r="S398" t="s">
        <v>3611</v>
      </c>
      <c r="U398" t="s">
        <v>4268</v>
      </c>
      <c r="V398" t="s">
        <v>4274</v>
      </c>
      <c r="W398" t="s">
        <v>4296</v>
      </c>
      <c r="X398">
        <v>1085</v>
      </c>
      <c r="Y398" t="s">
        <v>4351</v>
      </c>
      <c r="Z398" t="s">
        <v>4352</v>
      </c>
      <c r="AB398" t="s">
        <v>4724</v>
      </c>
      <c r="AE398">
        <v>10</v>
      </c>
      <c r="AF398" t="s">
        <v>7101</v>
      </c>
      <c r="AG398" t="s">
        <v>3745</v>
      </c>
      <c r="AH398">
        <v>21</v>
      </c>
      <c r="AI398">
        <v>4</v>
      </c>
      <c r="AJ398">
        <v>1</v>
      </c>
      <c r="AK398">
        <v>68.94</v>
      </c>
      <c r="AN398" t="s">
        <v>7139</v>
      </c>
      <c r="AO398">
        <v>20800</v>
      </c>
      <c r="AU398">
        <v>14.5</v>
      </c>
      <c r="AV398" t="s">
        <v>143</v>
      </c>
      <c r="AW398" t="s">
        <v>7341</v>
      </c>
      <c r="AX398" t="s">
        <v>7377</v>
      </c>
    </row>
    <row r="399" spans="1:50">
      <c r="A399" s="1">
        <f>HYPERLINK("https://lsnyc.legalserver.org/matter/dynamic-profile/view/1861627","18-1861627")</f>
        <v>0</v>
      </c>
      <c r="B399" t="s">
        <v>55</v>
      </c>
      <c r="C399" t="s">
        <v>104</v>
      </c>
      <c r="D399" t="s">
        <v>153</v>
      </c>
      <c r="E399" t="s">
        <v>662</v>
      </c>
      <c r="F399" t="s">
        <v>961</v>
      </c>
      <c r="G399" t="s">
        <v>1841</v>
      </c>
      <c r="H399" t="s">
        <v>2723</v>
      </c>
      <c r="I399" t="s">
        <v>3282</v>
      </c>
      <c r="J399" t="s">
        <v>3604</v>
      </c>
      <c r="K399">
        <v>10029</v>
      </c>
      <c r="L399" t="s">
        <v>3610</v>
      </c>
      <c r="M399" t="s">
        <v>3610</v>
      </c>
      <c r="O399" t="s">
        <v>4220</v>
      </c>
      <c r="P399" t="s">
        <v>4245</v>
      </c>
      <c r="Q399" t="s">
        <v>4249</v>
      </c>
      <c r="R399" t="s">
        <v>4258</v>
      </c>
      <c r="S399" t="s">
        <v>3611</v>
      </c>
      <c r="U399" t="s">
        <v>4268</v>
      </c>
      <c r="V399" t="s">
        <v>4274</v>
      </c>
      <c r="W399" t="s">
        <v>153</v>
      </c>
      <c r="X399">
        <v>218.13</v>
      </c>
      <c r="Y399" t="s">
        <v>4351</v>
      </c>
      <c r="Z399" t="s">
        <v>4357</v>
      </c>
      <c r="AA399" t="s">
        <v>4377</v>
      </c>
      <c r="AB399" t="s">
        <v>4725</v>
      </c>
      <c r="AD399" t="s">
        <v>6125</v>
      </c>
      <c r="AE399">
        <v>17</v>
      </c>
      <c r="AF399" t="s">
        <v>7104</v>
      </c>
      <c r="AG399" t="s">
        <v>3745</v>
      </c>
      <c r="AH399">
        <v>7</v>
      </c>
      <c r="AI399">
        <v>2</v>
      </c>
      <c r="AJ399">
        <v>0</v>
      </c>
      <c r="AK399">
        <v>69.26000000000001</v>
      </c>
      <c r="AN399" t="s">
        <v>7138</v>
      </c>
      <c r="AO399">
        <v>11400</v>
      </c>
      <c r="AU399">
        <v>153.8</v>
      </c>
      <c r="AV399" t="s">
        <v>655</v>
      </c>
      <c r="AW399" t="s">
        <v>7341</v>
      </c>
    </row>
    <row r="400" spans="1:50">
      <c r="A400" s="1">
        <f>HYPERLINK("https://lsnyc.legalserver.org/matter/dynamic-profile/view/1864189","18-1864189")</f>
        <v>0</v>
      </c>
      <c r="B400" t="s">
        <v>56</v>
      </c>
      <c r="C400" t="s">
        <v>105</v>
      </c>
      <c r="D400" t="s">
        <v>161</v>
      </c>
      <c r="F400" t="s">
        <v>894</v>
      </c>
      <c r="G400" t="s">
        <v>1842</v>
      </c>
      <c r="H400" t="s">
        <v>2471</v>
      </c>
      <c r="I400" t="s">
        <v>3399</v>
      </c>
      <c r="J400" t="s">
        <v>3604</v>
      </c>
      <c r="K400">
        <v>10034</v>
      </c>
      <c r="L400" t="s">
        <v>3610</v>
      </c>
      <c r="M400" t="s">
        <v>3609</v>
      </c>
      <c r="N400" t="s">
        <v>3656</v>
      </c>
      <c r="O400" t="s">
        <v>4213</v>
      </c>
      <c r="P400" t="s">
        <v>4241</v>
      </c>
      <c r="R400" t="s">
        <v>4258</v>
      </c>
      <c r="S400" t="s">
        <v>3610</v>
      </c>
      <c r="U400" t="s">
        <v>4268</v>
      </c>
      <c r="W400" t="s">
        <v>161</v>
      </c>
      <c r="X400">
        <v>1023.97</v>
      </c>
      <c r="Y400" t="s">
        <v>4351</v>
      </c>
      <c r="Z400" t="s">
        <v>4357</v>
      </c>
      <c r="AB400" t="s">
        <v>4726</v>
      </c>
      <c r="AD400" t="s">
        <v>6126</v>
      </c>
      <c r="AE400">
        <v>60</v>
      </c>
      <c r="AF400" t="s">
        <v>7106</v>
      </c>
      <c r="AG400" t="s">
        <v>7116</v>
      </c>
      <c r="AH400">
        <v>14</v>
      </c>
      <c r="AI400">
        <v>1</v>
      </c>
      <c r="AJ400">
        <v>0</v>
      </c>
      <c r="AK400">
        <v>69.28</v>
      </c>
      <c r="AN400" t="s">
        <v>7139</v>
      </c>
      <c r="AO400">
        <v>8410.440000000001</v>
      </c>
      <c r="AU400">
        <v>5.51</v>
      </c>
      <c r="AV400" t="s">
        <v>612</v>
      </c>
      <c r="AW400" t="s">
        <v>7342</v>
      </c>
    </row>
    <row r="401" spans="1:50">
      <c r="A401" s="1">
        <f>HYPERLINK("https://lsnyc.legalserver.org/matter/dynamic-profile/view/1864184","18-1864184")</f>
        <v>0</v>
      </c>
      <c r="B401" t="s">
        <v>56</v>
      </c>
      <c r="C401" t="s">
        <v>104</v>
      </c>
      <c r="D401" t="s">
        <v>161</v>
      </c>
      <c r="E401" t="s">
        <v>665</v>
      </c>
      <c r="F401" t="s">
        <v>894</v>
      </c>
      <c r="G401" t="s">
        <v>1842</v>
      </c>
      <c r="H401" t="s">
        <v>2471</v>
      </c>
      <c r="I401" t="s">
        <v>3399</v>
      </c>
      <c r="J401" t="s">
        <v>3604</v>
      </c>
      <c r="K401">
        <v>10034</v>
      </c>
      <c r="L401" t="s">
        <v>3610</v>
      </c>
      <c r="M401" t="s">
        <v>3610</v>
      </c>
      <c r="N401" t="s">
        <v>3763</v>
      </c>
      <c r="O401" t="s">
        <v>4209</v>
      </c>
      <c r="P401" t="s">
        <v>4241</v>
      </c>
      <c r="Q401" t="s">
        <v>4248</v>
      </c>
      <c r="R401" t="s">
        <v>4258</v>
      </c>
      <c r="S401" t="s">
        <v>3611</v>
      </c>
      <c r="U401" t="s">
        <v>4268</v>
      </c>
      <c r="W401" t="s">
        <v>161</v>
      </c>
      <c r="X401">
        <v>1023.97</v>
      </c>
      <c r="Y401" t="s">
        <v>4351</v>
      </c>
      <c r="Z401" t="s">
        <v>4357</v>
      </c>
      <c r="AA401" t="s">
        <v>4386</v>
      </c>
      <c r="AB401" t="s">
        <v>4726</v>
      </c>
      <c r="AD401" t="s">
        <v>6126</v>
      </c>
      <c r="AE401">
        <v>60</v>
      </c>
      <c r="AF401" t="s">
        <v>7106</v>
      </c>
      <c r="AG401" t="s">
        <v>7116</v>
      </c>
      <c r="AH401">
        <v>14</v>
      </c>
      <c r="AI401">
        <v>1</v>
      </c>
      <c r="AJ401">
        <v>0</v>
      </c>
      <c r="AK401">
        <v>69.28</v>
      </c>
      <c r="AN401" t="s">
        <v>7139</v>
      </c>
      <c r="AO401">
        <v>8410.440000000001</v>
      </c>
      <c r="AU401">
        <v>8.6</v>
      </c>
      <c r="AV401" t="s">
        <v>665</v>
      </c>
      <c r="AW401" t="s">
        <v>7342</v>
      </c>
    </row>
    <row r="402" spans="1:50">
      <c r="A402" s="1">
        <f>HYPERLINK("https://lsnyc.legalserver.org/matter/dynamic-profile/view/1851951","17-1851951")</f>
        <v>0</v>
      </c>
      <c r="B402" t="s">
        <v>63</v>
      </c>
      <c r="C402" t="s">
        <v>104</v>
      </c>
      <c r="D402" t="s">
        <v>365</v>
      </c>
      <c r="E402" t="s">
        <v>271</v>
      </c>
      <c r="F402" t="s">
        <v>962</v>
      </c>
      <c r="G402" t="s">
        <v>1843</v>
      </c>
      <c r="H402" t="s">
        <v>2724</v>
      </c>
      <c r="I402" t="s">
        <v>3306</v>
      </c>
      <c r="J402" t="s">
        <v>3604</v>
      </c>
      <c r="K402">
        <v>10035</v>
      </c>
      <c r="L402" t="s">
        <v>3610</v>
      </c>
      <c r="M402" t="s">
        <v>3609</v>
      </c>
      <c r="N402" t="s">
        <v>3764</v>
      </c>
      <c r="O402" t="s">
        <v>4209</v>
      </c>
      <c r="P402" t="s">
        <v>4241</v>
      </c>
      <c r="Q402" t="s">
        <v>4248</v>
      </c>
      <c r="R402" t="s">
        <v>4258</v>
      </c>
      <c r="S402" t="s">
        <v>3611</v>
      </c>
      <c r="U402" t="s">
        <v>4268</v>
      </c>
      <c r="W402" t="s">
        <v>365</v>
      </c>
      <c r="X402">
        <v>331</v>
      </c>
      <c r="Y402" t="s">
        <v>4351</v>
      </c>
      <c r="Z402" t="s">
        <v>4354</v>
      </c>
      <c r="AA402" t="s">
        <v>4374</v>
      </c>
      <c r="AB402" t="s">
        <v>4727</v>
      </c>
      <c r="AD402" t="s">
        <v>6127</v>
      </c>
      <c r="AE402">
        <v>10</v>
      </c>
      <c r="AF402" t="s">
        <v>7101</v>
      </c>
      <c r="AG402" t="s">
        <v>7116</v>
      </c>
      <c r="AH402">
        <v>0</v>
      </c>
      <c r="AI402">
        <v>2</v>
      </c>
      <c r="AJ402">
        <v>0</v>
      </c>
      <c r="AK402">
        <v>69.38</v>
      </c>
      <c r="AN402" t="s">
        <v>7138</v>
      </c>
      <c r="AO402">
        <v>11268</v>
      </c>
      <c r="AU402">
        <v>12.4</v>
      </c>
      <c r="AV402" t="s">
        <v>117</v>
      </c>
      <c r="AW402" t="s">
        <v>7342</v>
      </c>
    </row>
    <row r="403" spans="1:50">
      <c r="A403" s="1">
        <f>HYPERLINK("https://lsnyc.legalserver.org/matter/dynamic-profile/view/1861239","18-1861239")</f>
        <v>0</v>
      </c>
      <c r="B403" t="s">
        <v>61</v>
      </c>
      <c r="C403" t="s">
        <v>105</v>
      </c>
      <c r="D403" t="s">
        <v>152</v>
      </c>
      <c r="F403" t="s">
        <v>704</v>
      </c>
      <c r="G403" t="s">
        <v>1844</v>
      </c>
      <c r="H403" t="s">
        <v>2725</v>
      </c>
      <c r="I403">
        <v>73</v>
      </c>
      <c r="J403" t="s">
        <v>3604</v>
      </c>
      <c r="K403">
        <v>10031</v>
      </c>
      <c r="L403" t="s">
        <v>3611</v>
      </c>
      <c r="M403" t="s">
        <v>3610</v>
      </c>
      <c r="O403" t="s">
        <v>4225</v>
      </c>
      <c r="P403" t="s">
        <v>4241</v>
      </c>
      <c r="R403" t="s">
        <v>4258</v>
      </c>
      <c r="S403" t="s">
        <v>3611</v>
      </c>
      <c r="U403" t="s">
        <v>4268</v>
      </c>
      <c r="W403" t="s">
        <v>4297</v>
      </c>
      <c r="X403">
        <v>0</v>
      </c>
      <c r="Y403" t="s">
        <v>4351</v>
      </c>
      <c r="Z403" t="s">
        <v>4357</v>
      </c>
      <c r="AB403" t="s">
        <v>4728</v>
      </c>
      <c r="AD403" t="s">
        <v>6128</v>
      </c>
      <c r="AE403">
        <v>30</v>
      </c>
      <c r="AF403" t="s">
        <v>7101</v>
      </c>
      <c r="AG403" t="s">
        <v>3745</v>
      </c>
      <c r="AH403">
        <v>5</v>
      </c>
      <c r="AI403">
        <v>1</v>
      </c>
      <c r="AJ403">
        <v>3</v>
      </c>
      <c r="AK403">
        <v>69.47</v>
      </c>
      <c r="AN403" t="s">
        <v>7138</v>
      </c>
      <c r="AO403">
        <v>26232</v>
      </c>
      <c r="AU403">
        <v>15.7</v>
      </c>
      <c r="AV403" t="s">
        <v>248</v>
      </c>
      <c r="AW403" t="s">
        <v>7342</v>
      </c>
      <c r="AX403" t="s">
        <v>7377</v>
      </c>
    </row>
    <row r="404" spans="1:50">
      <c r="A404" s="1">
        <f>HYPERLINK("https://lsnyc.legalserver.org/matter/dynamic-profile/view/1860801","18-1860801")</f>
        <v>0</v>
      </c>
      <c r="B404" t="s">
        <v>61</v>
      </c>
      <c r="C404" t="s">
        <v>104</v>
      </c>
      <c r="D404" t="s">
        <v>127</v>
      </c>
      <c r="E404" t="s">
        <v>201</v>
      </c>
      <c r="F404" t="s">
        <v>704</v>
      </c>
      <c r="G404" t="s">
        <v>1844</v>
      </c>
      <c r="H404" t="s">
        <v>2725</v>
      </c>
      <c r="I404">
        <v>73</v>
      </c>
      <c r="J404" t="s">
        <v>3604</v>
      </c>
      <c r="K404">
        <v>10031</v>
      </c>
      <c r="L404" t="s">
        <v>3611</v>
      </c>
      <c r="M404" t="s">
        <v>3610</v>
      </c>
      <c r="N404" t="s">
        <v>3765</v>
      </c>
      <c r="O404" t="s">
        <v>4209</v>
      </c>
      <c r="P404" t="s">
        <v>4245</v>
      </c>
      <c r="Q404" t="s">
        <v>4249</v>
      </c>
      <c r="R404" t="s">
        <v>4258</v>
      </c>
      <c r="S404" t="s">
        <v>3611</v>
      </c>
      <c r="U404" t="s">
        <v>4268</v>
      </c>
      <c r="X404">
        <v>0</v>
      </c>
      <c r="Y404" t="s">
        <v>4351</v>
      </c>
      <c r="Z404" t="s">
        <v>4354</v>
      </c>
      <c r="AA404" t="s">
        <v>4377</v>
      </c>
      <c r="AB404" t="s">
        <v>4728</v>
      </c>
      <c r="AD404" t="s">
        <v>6128</v>
      </c>
      <c r="AE404">
        <v>30</v>
      </c>
      <c r="AF404" t="s">
        <v>7101</v>
      </c>
      <c r="AG404" t="s">
        <v>3745</v>
      </c>
      <c r="AH404">
        <v>5</v>
      </c>
      <c r="AI404">
        <v>1</v>
      </c>
      <c r="AJ404">
        <v>3</v>
      </c>
      <c r="AK404">
        <v>69.47</v>
      </c>
      <c r="AN404" t="s">
        <v>7138</v>
      </c>
      <c r="AO404">
        <v>17436</v>
      </c>
      <c r="AU404">
        <v>4</v>
      </c>
      <c r="AV404" t="s">
        <v>7305</v>
      </c>
      <c r="AW404" t="s">
        <v>7342</v>
      </c>
      <c r="AX404" t="s">
        <v>7377</v>
      </c>
    </row>
    <row r="405" spans="1:50">
      <c r="A405" s="1">
        <f>HYPERLINK("https://lsnyc.legalserver.org/matter/dynamic-profile/view/1860430","18-1860430")</f>
        <v>0</v>
      </c>
      <c r="B405" t="s">
        <v>53</v>
      </c>
      <c r="C405" t="s">
        <v>105</v>
      </c>
      <c r="D405" t="s">
        <v>366</v>
      </c>
      <c r="F405" t="s">
        <v>713</v>
      </c>
      <c r="G405" t="s">
        <v>1746</v>
      </c>
      <c r="H405" t="s">
        <v>2565</v>
      </c>
      <c r="I405" t="s">
        <v>3282</v>
      </c>
      <c r="J405" t="s">
        <v>3604</v>
      </c>
      <c r="K405">
        <v>10031</v>
      </c>
      <c r="L405" t="s">
        <v>3610</v>
      </c>
      <c r="M405" t="s">
        <v>3610</v>
      </c>
      <c r="O405" t="s">
        <v>4213</v>
      </c>
      <c r="P405" t="s">
        <v>4245</v>
      </c>
      <c r="R405" t="s">
        <v>4258</v>
      </c>
      <c r="S405" t="s">
        <v>3610</v>
      </c>
      <c r="U405" t="s">
        <v>4268</v>
      </c>
      <c r="V405" t="s">
        <v>4274</v>
      </c>
      <c r="W405" t="s">
        <v>633</v>
      </c>
      <c r="X405">
        <v>2697</v>
      </c>
      <c r="Y405" t="s">
        <v>4351</v>
      </c>
      <c r="Z405" t="s">
        <v>4352</v>
      </c>
      <c r="AB405" t="s">
        <v>4729</v>
      </c>
      <c r="AD405" t="s">
        <v>6129</v>
      </c>
      <c r="AE405">
        <v>44</v>
      </c>
      <c r="AF405" t="s">
        <v>7106</v>
      </c>
      <c r="AG405" t="s">
        <v>7116</v>
      </c>
      <c r="AH405">
        <v>15</v>
      </c>
      <c r="AI405">
        <v>2</v>
      </c>
      <c r="AJ405">
        <v>1</v>
      </c>
      <c r="AK405">
        <v>69.54000000000001</v>
      </c>
      <c r="AN405" t="s">
        <v>7139</v>
      </c>
      <c r="AO405">
        <v>14200</v>
      </c>
      <c r="AU405">
        <v>0.75</v>
      </c>
      <c r="AV405" t="s">
        <v>143</v>
      </c>
      <c r="AW405" t="s">
        <v>7341</v>
      </c>
      <c r="AX405" t="s">
        <v>7377</v>
      </c>
    </row>
    <row r="406" spans="1:50">
      <c r="A406" s="1">
        <f>HYPERLINK("https://lsnyc.legalserver.org/matter/dynamic-profile/view/1834813","17-1834813")</f>
        <v>0</v>
      </c>
      <c r="B406" t="s">
        <v>63</v>
      </c>
      <c r="C406" t="s">
        <v>104</v>
      </c>
      <c r="D406" t="s">
        <v>331</v>
      </c>
      <c r="E406" t="s">
        <v>108</v>
      </c>
      <c r="F406" t="s">
        <v>733</v>
      </c>
      <c r="G406" t="s">
        <v>1748</v>
      </c>
      <c r="H406" t="s">
        <v>2487</v>
      </c>
      <c r="I406" t="s">
        <v>3294</v>
      </c>
      <c r="J406" t="s">
        <v>3604</v>
      </c>
      <c r="K406">
        <v>10033</v>
      </c>
      <c r="L406" t="s">
        <v>3610</v>
      </c>
      <c r="M406" t="s">
        <v>3610</v>
      </c>
      <c r="N406" t="s">
        <v>3732</v>
      </c>
      <c r="O406" t="s">
        <v>4213</v>
      </c>
      <c r="P406" t="s">
        <v>4241</v>
      </c>
      <c r="Q406" t="s">
        <v>4248</v>
      </c>
      <c r="R406" t="s">
        <v>4258</v>
      </c>
      <c r="S406" t="s">
        <v>3610</v>
      </c>
      <c r="U406" t="s">
        <v>4268</v>
      </c>
      <c r="W406" t="s">
        <v>431</v>
      </c>
      <c r="X406">
        <v>0</v>
      </c>
      <c r="Y406" t="s">
        <v>4351</v>
      </c>
      <c r="Z406" t="s">
        <v>4352</v>
      </c>
      <c r="AA406" t="s">
        <v>4379</v>
      </c>
      <c r="AB406" t="s">
        <v>4730</v>
      </c>
      <c r="AD406" t="s">
        <v>6130</v>
      </c>
      <c r="AE406">
        <v>24</v>
      </c>
      <c r="AF406" t="s">
        <v>7101</v>
      </c>
      <c r="AG406" t="s">
        <v>3745</v>
      </c>
      <c r="AH406">
        <v>17</v>
      </c>
      <c r="AI406">
        <v>1</v>
      </c>
      <c r="AJ406">
        <v>0</v>
      </c>
      <c r="AK406">
        <v>69.7</v>
      </c>
      <c r="AL406" t="s">
        <v>496</v>
      </c>
      <c r="AN406" t="s">
        <v>7139</v>
      </c>
      <c r="AO406">
        <v>8406.360000000001</v>
      </c>
      <c r="AU406">
        <v>0.1</v>
      </c>
      <c r="AV406" t="s">
        <v>108</v>
      </c>
      <c r="AW406" t="s">
        <v>7341</v>
      </c>
    </row>
    <row r="407" spans="1:50">
      <c r="A407" s="1">
        <f>HYPERLINK("https://lsnyc.legalserver.org/matter/dynamic-profile/view/1834816","17-1834816")</f>
        <v>0</v>
      </c>
      <c r="B407" t="s">
        <v>63</v>
      </c>
      <c r="C407" t="s">
        <v>105</v>
      </c>
      <c r="D407" t="s">
        <v>331</v>
      </c>
      <c r="F407" t="s">
        <v>733</v>
      </c>
      <c r="G407" t="s">
        <v>1748</v>
      </c>
      <c r="H407" t="s">
        <v>2487</v>
      </c>
      <c r="I407" t="s">
        <v>3294</v>
      </c>
      <c r="J407" t="s">
        <v>3604</v>
      </c>
      <c r="K407">
        <v>10033</v>
      </c>
      <c r="L407" t="s">
        <v>3610</v>
      </c>
      <c r="M407" t="s">
        <v>3609</v>
      </c>
      <c r="N407" t="s">
        <v>3732</v>
      </c>
      <c r="O407" t="s">
        <v>4211</v>
      </c>
      <c r="P407" t="s">
        <v>4244</v>
      </c>
      <c r="R407" t="s">
        <v>4258</v>
      </c>
      <c r="S407" t="s">
        <v>3610</v>
      </c>
      <c r="U407" t="s">
        <v>4268</v>
      </c>
      <c r="W407" t="s">
        <v>431</v>
      </c>
      <c r="X407">
        <v>0</v>
      </c>
      <c r="Y407" t="s">
        <v>4351</v>
      </c>
      <c r="Z407" t="s">
        <v>4352</v>
      </c>
      <c r="AB407" t="s">
        <v>4730</v>
      </c>
      <c r="AD407" t="s">
        <v>6130</v>
      </c>
      <c r="AE407">
        <v>24</v>
      </c>
      <c r="AF407" t="s">
        <v>7101</v>
      </c>
      <c r="AG407" t="s">
        <v>3745</v>
      </c>
      <c r="AH407">
        <v>17</v>
      </c>
      <c r="AI407">
        <v>1</v>
      </c>
      <c r="AJ407">
        <v>0</v>
      </c>
      <c r="AK407">
        <v>69.7</v>
      </c>
      <c r="AL407" t="s">
        <v>496</v>
      </c>
      <c r="AN407" t="s">
        <v>7139</v>
      </c>
      <c r="AO407">
        <v>8406.360000000001</v>
      </c>
      <c r="AU407">
        <v>0.5</v>
      </c>
      <c r="AV407" t="s">
        <v>671</v>
      </c>
      <c r="AW407" t="s">
        <v>7341</v>
      </c>
    </row>
    <row r="408" spans="1:50">
      <c r="A408" s="1">
        <f>HYPERLINK("https://lsnyc.legalserver.org/matter/dynamic-profile/view/1838591","17-1838591")</f>
        <v>0</v>
      </c>
      <c r="B408" t="s">
        <v>64</v>
      </c>
      <c r="C408" t="s">
        <v>105</v>
      </c>
      <c r="D408" t="s">
        <v>189</v>
      </c>
      <c r="F408" t="s">
        <v>963</v>
      </c>
      <c r="G408" t="s">
        <v>1845</v>
      </c>
      <c r="H408" t="s">
        <v>2642</v>
      </c>
      <c r="I408" t="s">
        <v>3400</v>
      </c>
      <c r="J408" t="s">
        <v>3604</v>
      </c>
      <c r="K408">
        <v>10034</v>
      </c>
      <c r="L408" t="s">
        <v>3610</v>
      </c>
      <c r="M408" t="s">
        <v>3609</v>
      </c>
      <c r="O408" t="s">
        <v>4213</v>
      </c>
      <c r="P408" t="s">
        <v>4241</v>
      </c>
      <c r="R408" t="s">
        <v>4258</v>
      </c>
      <c r="S408" t="s">
        <v>3610</v>
      </c>
      <c r="U408" t="s">
        <v>4268</v>
      </c>
      <c r="W408" t="s">
        <v>133</v>
      </c>
      <c r="X408">
        <v>811</v>
      </c>
      <c r="Y408" t="s">
        <v>4351</v>
      </c>
      <c r="Z408" t="s">
        <v>4352</v>
      </c>
      <c r="AB408" t="s">
        <v>4731</v>
      </c>
      <c r="AD408" t="s">
        <v>6131</v>
      </c>
      <c r="AE408">
        <v>49</v>
      </c>
      <c r="AF408" t="s">
        <v>7101</v>
      </c>
      <c r="AG408" t="s">
        <v>3745</v>
      </c>
      <c r="AH408">
        <v>8</v>
      </c>
      <c r="AI408">
        <v>1</v>
      </c>
      <c r="AJ408">
        <v>3</v>
      </c>
      <c r="AK408">
        <v>69.76000000000001</v>
      </c>
      <c r="AN408" t="s">
        <v>7139</v>
      </c>
      <c r="AO408">
        <v>17160</v>
      </c>
      <c r="AU408">
        <v>0.6</v>
      </c>
      <c r="AV408" t="s">
        <v>335</v>
      </c>
      <c r="AW408" t="s">
        <v>7341</v>
      </c>
    </row>
    <row r="409" spans="1:50">
      <c r="A409" s="1">
        <f>HYPERLINK("https://lsnyc.legalserver.org/matter/dynamic-profile/view/1860431","18-1860431")</f>
        <v>0</v>
      </c>
      <c r="B409" t="s">
        <v>66</v>
      </c>
      <c r="C409" t="s">
        <v>104</v>
      </c>
      <c r="D409" t="s">
        <v>366</v>
      </c>
      <c r="E409" t="s">
        <v>665</v>
      </c>
      <c r="F409" t="s">
        <v>878</v>
      </c>
      <c r="G409" t="s">
        <v>1579</v>
      </c>
      <c r="H409" t="s">
        <v>2726</v>
      </c>
      <c r="I409" t="s">
        <v>3401</v>
      </c>
      <c r="J409" t="s">
        <v>3604</v>
      </c>
      <c r="K409">
        <v>10014</v>
      </c>
      <c r="L409" t="s">
        <v>3610</v>
      </c>
      <c r="M409" t="s">
        <v>3610</v>
      </c>
      <c r="N409" t="s">
        <v>3766</v>
      </c>
      <c r="O409" t="s">
        <v>4209</v>
      </c>
      <c r="P409" t="s">
        <v>4242</v>
      </c>
      <c r="Q409" t="s">
        <v>4250</v>
      </c>
      <c r="R409" t="s">
        <v>4258</v>
      </c>
      <c r="S409" t="s">
        <v>3611</v>
      </c>
      <c r="U409" t="s">
        <v>4268</v>
      </c>
      <c r="W409" t="s">
        <v>278</v>
      </c>
      <c r="X409">
        <v>968</v>
      </c>
      <c r="Y409" t="s">
        <v>4351</v>
      </c>
      <c r="Z409" t="s">
        <v>4370</v>
      </c>
      <c r="AA409" t="s">
        <v>4373</v>
      </c>
      <c r="AB409" t="s">
        <v>4732</v>
      </c>
      <c r="AD409" t="s">
        <v>6132</v>
      </c>
      <c r="AE409">
        <v>0</v>
      </c>
      <c r="AF409" t="s">
        <v>7101</v>
      </c>
      <c r="AG409" t="s">
        <v>3745</v>
      </c>
      <c r="AH409">
        <v>40</v>
      </c>
      <c r="AI409">
        <v>1</v>
      </c>
      <c r="AJ409">
        <v>0</v>
      </c>
      <c r="AK409">
        <v>70.25</v>
      </c>
      <c r="AN409" t="s">
        <v>7138</v>
      </c>
      <c r="AO409">
        <v>8472</v>
      </c>
      <c r="AU409">
        <v>0.5</v>
      </c>
      <c r="AV409" t="s">
        <v>262</v>
      </c>
      <c r="AW409" t="s">
        <v>7344</v>
      </c>
    </row>
    <row r="410" spans="1:50">
      <c r="A410" s="1">
        <f>HYPERLINK("https://lsnyc.legalserver.org/matter/dynamic-profile/view/1845691","17-1845691")</f>
        <v>0</v>
      </c>
      <c r="B410" t="s">
        <v>69</v>
      </c>
      <c r="C410" t="s">
        <v>105</v>
      </c>
      <c r="D410" t="s">
        <v>367</v>
      </c>
      <c r="F410" t="s">
        <v>964</v>
      </c>
      <c r="G410" t="s">
        <v>1600</v>
      </c>
      <c r="H410" t="s">
        <v>2727</v>
      </c>
      <c r="I410" t="s">
        <v>3288</v>
      </c>
      <c r="J410" t="s">
        <v>3604</v>
      </c>
      <c r="K410">
        <v>10029</v>
      </c>
      <c r="L410" t="s">
        <v>3610</v>
      </c>
      <c r="M410" t="s">
        <v>3609</v>
      </c>
      <c r="O410" t="s">
        <v>4211</v>
      </c>
      <c r="P410" t="s">
        <v>4244</v>
      </c>
      <c r="R410" t="s">
        <v>4258</v>
      </c>
      <c r="S410" t="s">
        <v>3611</v>
      </c>
      <c r="U410" t="s">
        <v>4268</v>
      </c>
      <c r="V410" t="s">
        <v>4274</v>
      </c>
      <c r="W410" t="s">
        <v>419</v>
      </c>
      <c r="X410">
        <v>404.29</v>
      </c>
      <c r="Y410" t="s">
        <v>4351</v>
      </c>
      <c r="Z410" t="s">
        <v>4364</v>
      </c>
      <c r="AA410" t="s">
        <v>4389</v>
      </c>
      <c r="AB410" t="s">
        <v>4733</v>
      </c>
      <c r="AD410" t="s">
        <v>6133</v>
      </c>
      <c r="AE410">
        <v>13</v>
      </c>
      <c r="AF410" t="s">
        <v>7101</v>
      </c>
      <c r="AG410" t="s">
        <v>3745</v>
      </c>
      <c r="AH410">
        <v>14</v>
      </c>
      <c r="AI410">
        <v>1</v>
      </c>
      <c r="AJ410">
        <v>1</v>
      </c>
      <c r="AK410">
        <v>70.44</v>
      </c>
      <c r="AN410" t="s">
        <v>7138</v>
      </c>
      <c r="AO410">
        <v>11440</v>
      </c>
      <c r="AU410">
        <v>94.84999999999999</v>
      </c>
      <c r="AV410" t="s">
        <v>529</v>
      </c>
      <c r="AW410" t="s">
        <v>7361</v>
      </c>
      <c r="AX410" t="s">
        <v>7377</v>
      </c>
    </row>
    <row r="411" spans="1:50">
      <c r="A411" s="1">
        <f>HYPERLINK("https://lsnyc.legalserver.org/matter/dynamic-profile/view/1877190","18-1877190")</f>
        <v>0</v>
      </c>
      <c r="B411" t="s">
        <v>62</v>
      </c>
      <c r="C411" t="s">
        <v>105</v>
      </c>
      <c r="D411" t="s">
        <v>142</v>
      </c>
      <c r="F411" t="s">
        <v>733</v>
      </c>
      <c r="G411" t="s">
        <v>1735</v>
      </c>
      <c r="H411" t="s">
        <v>2488</v>
      </c>
      <c r="I411" t="s">
        <v>3402</v>
      </c>
      <c r="J411" t="s">
        <v>3604</v>
      </c>
      <c r="K411">
        <v>10033</v>
      </c>
      <c r="L411" t="s">
        <v>3610</v>
      </c>
      <c r="M411" t="s">
        <v>3610</v>
      </c>
      <c r="O411" t="s">
        <v>4213</v>
      </c>
      <c r="P411" t="s">
        <v>4241</v>
      </c>
      <c r="R411" t="s">
        <v>4258</v>
      </c>
      <c r="S411" t="s">
        <v>3610</v>
      </c>
      <c r="U411" t="s">
        <v>4268</v>
      </c>
      <c r="W411" t="s">
        <v>142</v>
      </c>
      <c r="X411">
        <v>1300</v>
      </c>
      <c r="Y411" t="s">
        <v>4351</v>
      </c>
      <c r="Z411" t="s">
        <v>4354</v>
      </c>
      <c r="AB411" t="s">
        <v>4734</v>
      </c>
      <c r="AD411" t="s">
        <v>6134</v>
      </c>
      <c r="AE411">
        <v>232</v>
      </c>
      <c r="AF411" t="s">
        <v>7101</v>
      </c>
      <c r="AG411" t="s">
        <v>3745</v>
      </c>
      <c r="AH411">
        <v>16</v>
      </c>
      <c r="AI411">
        <v>2</v>
      </c>
      <c r="AJ411">
        <v>1</v>
      </c>
      <c r="AK411">
        <v>70.56999999999999</v>
      </c>
      <c r="AN411" t="s">
        <v>7138</v>
      </c>
      <c r="AO411">
        <v>14664</v>
      </c>
      <c r="AU411">
        <v>1.6</v>
      </c>
      <c r="AV411" t="s">
        <v>371</v>
      </c>
      <c r="AW411" t="s">
        <v>7342</v>
      </c>
    </row>
    <row r="412" spans="1:50">
      <c r="A412" s="1">
        <f>HYPERLINK("https://lsnyc.legalserver.org/matter/dynamic-profile/view/1881071","18-1881071")</f>
        <v>0</v>
      </c>
      <c r="B412" t="s">
        <v>62</v>
      </c>
      <c r="C412" t="s">
        <v>104</v>
      </c>
      <c r="D412" t="s">
        <v>348</v>
      </c>
      <c r="E412" t="s">
        <v>262</v>
      </c>
      <c r="F412" t="s">
        <v>733</v>
      </c>
      <c r="G412" t="s">
        <v>1735</v>
      </c>
      <c r="H412" t="s">
        <v>2488</v>
      </c>
      <c r="I412" t="s">
        <v>3402</v>
      </c>
      <c r="J412" t="s">
        <v>3604</v>
      </c>
      <c r="K412">
        <v>10033</v>
      </c>
      <c r="L412" t="s">
        <v>3610</v>
      </c>
      <c r="M412" t="s">
        <v>3610</v>
      </c>
      <c r="O412" t="s">
        <v>4209</v>
      </c>
      <c r="P412" t="s">
        <v>4242</v>
      </c>
      <c r="Q412" t="s">
        <v>4250</v>
      </c>
      <c r="R412" t="s">
        <v>4258</v>
      </c>
      <c r="S412" t="s">
        <v>3611</v>
      </c>
      <c r="U412" t="s">
        <v>4268</v>
      </c>
      <c r="W412" t="s">
        <v>348</v>
      </c>
      <c r="X412">
        <v>1300</v>
      </c>
      <c r="Y412" t="s">
        <v>4351</v>
      </c>
      <c r="Z412" t="s">
        <v>4357</v>
      </c>
      <c r="AA412" t="s">
        <v>4373</v>
      </c>
      <c r="AB412" t="s">
        <v>4734</v>
      </c>
      <c r="AD412" t="s">
        <v>6134</v>
      </c>
      <c r="AE412">
        <v>232</v>
      </c>
      <c r="AF412" t="s">
        <v>7101</v>
      </c>
      <c r="AG412" t="s">
        <v>3745</v>
      </c>
      <c r="AH412">
        <v>16</v>
      </c>
      <c r="AI412">
        <v>2</v>
      </c>
      <c r="AJ412">
        <v>1</v>
      </c>
      <c r="AK412">
        <v>70.56999999999999</v>
      </c>
      <c r="AN412" t="s">
        <v>7138</v>
      </c>
      <c r="AO412">
        <v>14664</v>
      </c>
      <c r="AP412" t="s">
        <v>7173</v>
      </c>
      <c r="AU412">
        <v>0.6</v>
      </c>
      <c r="AV412" t="s">
        <v>378</v>
      </c>
      <c r="AW412" t="s">
        <v>7342</v>
      </c>
    </row>
    <row r="413" spans="1:50">
      <c r="A413" s="1">
        <f>HYPERLINK("https://lsnyc.legalserver.org/matter/dynamic-profile/view/1856177","18-1856177")</f>
        <v>0</v>
      </c>
      <c r="B413" t="s">
        <v>56</v>
      </c>
      <c r="C413" t="s">
        <v>104</v>
      </c>
      <c r="D413" t="s">
        <v>368</v>
      </c>
      <c r="E413" t="s">
        <v>665</v>
      </c>
      <c r="F413" t="s">
        <v>965</v>
      </c>
      <c r="G413" t="s">
        <v>1846</v>
      </c>
      <c r="H413" t="s">
        <v>2728</v>
      </c>
      <c r="I413">
        <v>30</v>
      </c>
      <c r="J413" t="s">
        <v>3604</v>
      </c>
      <c r="K413">
        <v>10033</v>
      </c>
      <c r="L413" t="s">
        <v>3609</v>
      </c>
      <c r="M413" t="s">
        <v>3609</v>
      </c>
      <c r="O413" t="s">
        <v>4211</v>
      </c>
      <c r="P413" t="s">
        <v>4242</v>
      </c>
      <c r="Q413" t="s">
        <v>4250</v>
      </c>
      <c r="R413" t="s">
        <v>4258</v>
      </c>
      <c r="S413" t="s">
        <v>3611</v>
      </c>
      <c r="U413" t="s">
        <v>4268</v>
      </c>
      <c r="X413">
        <v>849</v>
      </c>
      <c r="Y413" t="s">
        <v>4351</v>
      </c>
      <c r="Z413" t="s">
        <v>4228</v>
      </c>
      <c r="AA413" t="s">
        <v>4373</v>
      </c>
      <c r="AB413" t="s">
        <v>4735</v>
      </c>
      <c r="AD413" t="s">
        <v>6135</v>
      </c>
      <c r="AE413">
        <v>30</v>
      </c>
      <c r="AF413" t="s">
        <v>7105</v>
      </c>
      <c r="AG413" t="s">
        <v>7116</v>
      </c>
      <c r="AH413">
        <v>39</v>
      </c>
      <c r="AI413">
        <v>1</v>
      </c>
      <c r="AJ413">
        <v>0</v>
      </c>
      <c r="AK413">
        <v>70.65000000000001</v>
      </c>
      <c r="AN413" t="s">
        <v>7138</v>
      </c>
      <c r="AO413">
        <v>8520</v>
      </c>
      <c r="AU413">
        <v>0.86</v>
      </c>
      <c r="AV413" t="s">
        <v>127</v>
      </c>
      <c r="AW413" t="s">
        <v>7365</v>
      </c>
    </row>
    <row r="414" spans="1:50">
      <c r="A414" s="1">
        <f>HYPERLINK("https://lsnyc.legalserver.org/matter/dynamic-profile/view/1881254","18-1881254")</f>
        <v>0</v>
      </c>
      <c r="B414" t="s">
        <v>53</v>
      </c>
      <c r="C414" t="s">
        <v>105</v>
      </c>
      <c r="D414" t="s">
        <v>306</v>
      </c>
      <c r="F414" t="s">
        <v>966</v>
      </c>
      <c r="G414" t="s">
        <v>1847</v>
      </c>
      <c r="H414" t="s">
        <v>2729</v>
      </c>
      <c r="I414">
        <v>61</v>
      </c>
      <c r="J414" t="s">
        <v>3604</v>
      </c>
      <c r="K414">
        <v>10039</v>
      </c>
      <c r="L414" t="s">
        <v>3610</v>
      </c>
      <c r="M414" t="s">
        <v>3610</v>
      </c>
      <c r="N414" t="s">
        <v>3767</v>
      </c>
      <c r="O414" t="s">
        <v>4213</v>
      </c>
      <c r="P414" t="s">
        <v>4241</v>
      </c>
      <c r="R414" t="s">
        <v>4258</v>
      </c>
      <c r="S414" t="s">
        <v>3610</v>
      </c>
      <c r="U414" t="s">
        <v>4268</v>
      </c>
      <c r="V414" t="s">
        <v>4274</v>
      </c>
      <c r="W414" t="s">
        <v>293</v>
      </c>
      <c r="X414">
        <v>837.89</v>
      </c>
      <c r="Y414" t="s">
        <v>4351</v>
      </c>
      <c r="Z414" t="s">
        <v>4354</v>
      </c>
      <c r="AB414" t="s">
        <v>4736</v>
      </c>
      <c r="AD414" t="s">
        <v>6136</v>
      </c>
      <c r="AE414">
        <v>24</v>
      </c>
      <c r="AF414" t="s">
        <v>7101</v>
      </c>
      <c r="AG414" t="s">
        <v>7118</v>
      </c>
      <c r="AH414">
        <v>35</v>
      </c>
      <c r="AI414">
        <v>1</v>
      </c>
      <c r="AJ414">
        <v>0</v>
      </c>
      <c r="AK414">
        <v>70.68000000000001</v>
      </c>
      <c r="AN414" t="s">
        <v>7138</v>
      </c>
      <c r="AO414">
        <v>8580</v>
      </c>
      <c r="AU414">
        <v>0.75</v>
      </c>
      <c r="AV414" t="s">
        <v>437</v>
      </c>
      <c r="AW414" t="s">
        <v>7341</v>
      </c>
      <c r="AX414" t="s">
        <v>7377</v>
      </c>
    </row>
    <row r="415" spans="1:50">
      <c r="A415" s="1">
        <f>HYPERLINK("https://lsnyc.legalserver.org/matter/dynamic-profile/view/0820685","16-0820685")</f>
        <v>0</v>
      </c>
      <c r="B415" t="s">
        <v>64</v>
      </c>
      <c r="C415" t="s">
        <v>104</v>
      </c>
      <c r="D415" t="s">
        <v>369</v>
      </c>
      <c r="E415" t="s">
        <v>198</v>
      </c>
      <c r="F415" t="s">
        <v>719</v>
      </c>
      <c r="G415" t="s">
        <v>1598</v>
      </c>
      <c r="H415" t="s">
        <v>2730</v>
      </c>
      <c r="I415" t="s">
        <v>3342</v>
      </c>
      <c r="J415" t="s">
        <v>3604</v>
      </c>
      <c r="K415">
        <v>10034</v>
      </c>
      <c r="L415" t="s">
        <v>3610</v>
      </c>
      <c r="M415" t="s">
        <v>3609</v>
      </c>
      <c r="O415" t="s">
        <v>4213</v>
      </c>
      <c r="P415" t="s">
        <v>4241</v>
      </c>
      <c r="Q415" t="s">
        <v>4248</v>
      </c>
      <c r="R415" t="s">
        <v>4258</v>
      </c>
      <c r="S415" t="s">
        <v>3610</v>
      </c>
      <c r="U415" t="s">
        <v>4268</v>
      </c>
      <c r="W415" t="s">
        <v>323</v>
      </c>
      <c r="X415">
        <v>0</v>
      </c>
      <c r="Y415" t="s">
        <v>4351</v>
      </c>
      <c r="Z415" t="s">
        <v>4352</v>
      </c>
      <c r="AA415" t="s">
        <v>4379</v>
      </c>
      <c r="AB415" t="s">
        <v>4737</v>
      </c>
      <c r="AD415" t="s">
        <v>6137</v>
      </c>
      <c r="AE415">
        <v>65</v>
      </c>
      <c r="AF415" t="s">
        <v>7101</v>
      </c>
      <c r="AG415" t="s">
        <v>7118</v>
      </c>
      <c r="AH415">
        <v>34</v>
      </c>
      <c r="AI415">
        <v>1</v>
      </c>
      <c r="AJ415">
        <v>0</v>
      </c>
      <c r="AK415">
        <v>70.70999999999999</v>
      </c>
      <c r="AN415" t="s">
        <v>7139</v>
      </c>
      <c r="AO415">
        <v>8400</v>
      </c>
      <c r="AU415">
        <v>11.65</v>
      </c>
      <c r="AV415" t="s">
        <v>128</v>
      </c>
      <c r="AW415" t="s">
        <v>7341</v>
      </c>
    </row>
    <row r="416" spans="1:50">
      <c r="A416" s="1">
        <f>HYPERLINK("https://lsnyc.legalserver.org/matter/dynamic-profile/view/0785179","15-0785179")</f>
        <v>0</v>
      </c>
      <c r="B416" t="s">
        <v>63</v>
      </c>
      <c r="C416" t="s">
        <v>105</v>
      </c>
      <c r="D416" t="s">
        <v>370</v>
      </c>
      <c r="F416" t="s">
        <v>962</v>
      </c>
      <c r="G416" t="s">
        <v>1843</v>
      </c>
      <c r="H416" t="s">
        <v>2724</v>
      </c>
      <c r="I416" t="s">
        <v>3306</v>
      </c>
      <c r="J416" t="s">
        <v>3604</v>
      </c>
      <c r="K416">
        <v>10035</v>
      </c>
      <c r="L416" t="s">
        <v>3609</v>
      </c>
      <c r="M416" t="s">
        <v>3609</v>
      </c>
      <c r="N416" t="s">
        <v>3768</v>
      </c>
      <c r="O416" t="s">
        <v>4230</v>
      </c>
      <c r="P416" t="s">
        <v>4243</v>
      </c>
      <c r="R416" t="s">
        <v>4258</v>
      </c>
      <c r="U416" t="s">
        <v>4268</v>
      </c>
      <c r="W416" t="s">
        <v>4298</v>
      </c>
      <c r="X416">
        <v>331</v>
      </c>
      <c r="Y416" t="s">
        <v>4351</v>
      </c>
      <c r="Z416" t="s">
        <v>4354</v>
      </c>
      <c r="AB416" t="s">
        <v>4727</v>
      </c>
      <c r="AD416" t="s">
        <v>6127</v>
      </c>
      <c r="AE416">
        <v>10</v>
      </c>
      <c r="AF416" t="s">
        <v>7101</v>
      </c>
      <c r="AG416" t="s">
        <v>7116</v>
      </c>
      <c r="AH416">
        <v>0</v>
      </c>
      <c r="AI416">
        <v>2</v>
      </c>
      <c r="AJ416">
        <v>0</v>
      </c>
      <c r="AK416">
        <v>70.73</v>
      </c>
      <c r="AN416" t="s">
        <v>7138</v>
      </c>
      <c r="AO416">
        <v>11268</v>
      </c>
      <c r="AU416">
        <v>102.85</v>
      </c>
      <c r="AV416" t="s">
        <v>659</v>
      </c>
      <c r="AW416" t="s">
        <v>7341</v>
      </c>
    </row>
    <row r="417" spans="1:50">
      <c r="A417" s="1">
        <f>HYPERLINK("https://lsnyc.legalserver.org/matter/dynamic-profile/view/1900716","19-1900716")</f>
        <v>0</v>
      </c>
      <c r="B417" t="s">
        <v>52</v>
      </c>
      <c r="C417" t="s">
        <v>105</v>
      </c>
      <c r="D417" t="s">
        <v>149</v>
      </c>
      <c r="F417" t="s">
        <v>967</v>
      </c>
      <c r="G417" t="s">
        <v>1848</v>
      </c>
      <c r="H417" t="s">
        <v>2731</v>
      </c>
      <c r="I417">
        <v>27</v>
      </c>
      <c r="J417" t="s">
        <v>3604</v>
      </c>
      <c r="K417">
        <v>10033</v>
      </c>
      <c r="L417" t="s">
        <v>3610</v>
      </c>
      <c r="M417" t="s">
        <v>3609</v>
      </c>
      <c r="P417" t="s">
        <v>4242</v>
      </c>
      <c r="R417" t="s">
        <v>4258</v>
      </c>
      <c r="S417" t="s">
        <v>3611</v>
      </c>
      <c r="U417" t="s">
        <v>4268</v>
      </c>
      <c r="W417" t="s">
        <v>149</v>
      </c>
      <c r="X417">
        <v>2176.5</v>
      </c>
      <c r="Y417" t="s">
        <v>4351</v>
      </c>
      <c r="Z417" t="s">
        <v>4354</v>
      </c>
      <c r="AB417" t="s">
        <v>4738</v>
      </c>
      <c r="AD417" t="s">
        <v>6138</v>
      </c>
      <c r="AE417">
        <v>40</v>
      </c>
      <c r="AF417" t="s">
        <v>7101</v>
      </c>
      <c r="AG417" t="s">
        <v>7118</v>
      </c>
      <c r="AH417">
        <v>18</v>
      </c>
      <c r="AI417">
        <v>2</v>
      </c>
      <c r="AJ417">
        <v>0</v>
      </c>
      <c r="AK417">
        <v>70.95999999999999</v>
      </c>
      <c r="AN417" t="s">
        <v>7139</v>
      </c>
      <c r="AO417">
        <v>12000</v>
      </c>
      <c r="AU417">
        <v>1.2</v>
      </c>
      <c r="AV417" t="s">
        <v>149</v>
      </c>
      <c r="AW417" t="s">
        <v>7342</v>
      </c>
      <c r="AX417" t="s">
        <v>7377</v>
      </c>
    </row>
    <row r="418" spans="1:50">
      <c r="A418" s="1">
        <f>HYPERLINK("https://lsnyc.legalserver.org/matter/dynamic-profile/view/1901519","19-1901519")</f>
        <v>0</v>
      </c>
      <c r="B418" t="s">
        <v>60</v>
      </c>
      <c r="C418" t="s">
        <v>105</v>
      </c>
      <c r="D418" t="s">
        <v>371</v>
      </c>
      <c r="F418" t="s">
        <v>968</v>
      </c>
      <c r="G418" t="s">
        <v>1849</v>
      </c>
      <c r="H418" t="s">
        <v>2619</v>
      </c>
      <c r="I418" t="s">
        <v>3304</v>
      </c>
      <c r="J418" t="s">
        <v>3604</v>
      </c>
      <c r="K418">
        <v>10033</v>
      </c>
      <c r="L418" t="s">
        <v>3610</v>
      </c>
      <c r="M418" t="s">
        <v>3609</v>
      </c>
      <c r="N418" t="s">
        <v>3769</v>
      </c>
      <c r="O418" t="s">
        <v>4219</v>
      </c>
      <c r="P418" t="s">
        <v>4242</v>
      </c>
      <c r="R418" t="s">
        <v>4258</v>
      </c>
      <c r="S418" t="s">
        <v>3611</v>
      </c>
      <c r="U418" t="s">
        <v>4268</v>
      </c>
      <c r="W418" t="s">
        <v>371</v>
      </c>
      <c r="X418">
        <v>848.29</v>
      </c>
      <c r="Y418" t="s">
        <v>4351</v>
      </c>
      <c r="Z418" t="s">
        <v>4354</v>
      </c>
      <c r="AB418" t="s">
        <v>4739</v>
      </c>
      <c r="AD418" t="s">
        <v>6139</v>
      </c>
      <c r="AE418">
        <v>29</v>
      </c>
      <c r="AF418" t="s">
        <v>7101</v>
      </c>
      <c r="AG418" t="s">
        <v>3745</v>
      </c>
      <c r="AH418">
        <v>24</v>
      </c>
      <c r="AI418">
        <v>1</v>
      </c>
      <c r="AJ418">
        <v>0</v>
      </c>
      <c r="AK418">
        <v>71.09999999999999</v>
      </c>
      <c r="AN418" t="s">
        <v>7139</v>
      </c>
      <c r="AO418">
        <v>8880</v>
      </c>
      <c r="AU418">
        <v>1.5</v>
      </c>
      <c r="AV418" t="s">
        <v>330</v>
      </c>
      <c r="AW418" t="s">
        <v>7342</v>
      </c>
      <c r="AX418" t="s">
        <v>7377</v>
      </c>
    </row>
    <row r="419" spans="1:50">
      <c r="A419" s="1">
        <f>HYPERLINK("https://lsnyc.legalserver.org/matter/dynamic-profile/view/1875631","18-1875631")</f>
        <v>0</v>
      </c>
      <c r="B419" t="s">
        <v>56</v>
      </c>
      <c r="C419" t="s">
        <v>105</v>
      </c>
      <c r="D419" t="s">
        <v>372</v>
      </c>
      <c r="F419" t="s">
        <v>969</v>
      </c>
      <c r="G419" t="s">
        <v>1656</v>
      </c>
      <c r="H419" t="s">
        <v>2732</v>
      </c>
      <c r="I419">
        <v>49</v>
      </c>
      <c r="J419" t="s">
        <v>3604</v>
      </c>
      <c r="K419">
        <v>10033</v>
      </c>
      <c r="L419" t="s">
        <v>3610</v>
      </c>
      <c r="M419" t="s">
        <v>3610</v>
      </c>
      <c r="O419" t="s">
        <v>4209</v>
      </c>
      <c r="P419" t="s">
        <v>4244</v>
      </c>
      <c r="R419" t="s">
        <v>4258</v>
      </c>
      <c r="S419" t="s">
        <v>3611</v>
      </c>
      <c r="U419" t="s">
        <v>4268</v>
      </c>
      <c r="W419" t="s">
        <v>372</v>
      </c>
      <c r="X419">
        <v>1756.71</v>
      </c>
      <c r="Y419" t="s">
        <v>4351</v>
      </c>
      <c r="Z419" t="s">
        <v>4354</v>
      </c>
      <c r="AB419" t="s">
        <v>4740</v>
      </c>
      <c r="AD419" t="s">
        <v>6140</v>
      </c>
      <c r="AE419">
        <v>50</v>
      </c>
      <c r="AF419" t="s">
        <v>7101</v>
      </c>
      <c r="AG419" t="s">
        <v>7116</v>
      </c>
      <c r="AH419">
        <v>25</v>
      </c>
      <c r="AI419">
        <v>2</v>
      </c>
      <c r="AJ419">
        <v>0</v>
      </c>
      <c r="AK419">
        <v>71.23</v>
      </c>
      <c r="AN419" t="s">
        <v>7138</v>
      </c>
      <c r="AO419">
        <v>11724</v>
      </c>
      <c r="AU419">
        <v>4.25</v>
      </c>
      <c r="AV419" t="s">
        <v>659</v>
      </c>
      <c r="AW419" t="s">
        <v>7342</v>
      </c>
    </row>
    <row r="420" spans="1:50">
      <c r="A420" s="1">
        <f>HYPERLINK("https://lsnyc.legalserver.org/matter/dynamic-profile/view/1880714","18-1880714")</f>
        <v>0</v>
      </c>
      <c r="B420" t="s">
        <v>87</v>
      </c>
      <c r="C420" t="s">
        <v>104</v>
      </c>
      <c r="D420" t="s">
        <v>293</v>
      </c>
      <c r="E420" t="s">
        <v>175</v>
      </c>
      <c r="F420" t="s">
        <v>969</v>
      </c>
      <c r="G420" t="s">
        <v>1656</v>
      </c>
      <c r="H420" t="s">
        <v>2732</v>
      </c>
      <c r="I420">
        <v>49</v>
      </c>
      <c r="J420" t="s">
        <v>3604</v>
      </c>
      <c r="K420">
        <v>10033</v>
      </c>
      <c r="L420" t="s">
        <v>3610</v>
      </c>
      <c r="M420" t="s">
        <v>3610</v>
      </c>
      <c r="O420" t="s">
        <v>4231</v>
      </c>
      <c r="P420" t="s">
        <v>4244</v>
      </c>
      <c r="Q420" t="s">
        <v>4249</v>
      </c>
      <c r="R420" t="s">
        <v>4258</v>
      </c>
      <c r="S420" t="s">
        <v>3611</v>
      </c>
      <c r="U420" t="s">
        <v>4268</v>
      </c>
      <c r="W420" t="s">
        <v>293</v>
      </c>
      <c r="X420">
        <v>1756.71</v>
      </c>
      <c r="Y420" t="s">
        <v>4351</v>
      </c>
      <c r="Z420" t="s">
        <v>4357</v>
      </c>
      <c r="AA420" t="s">
        <v>4377</v>
      </c>
      <c r="AB420" t="s">
        <v>4740</v>
      </c>
      <c r="AD420" t="s">
        <v>6140</v>
      </c>
      <c r="AE420">
        <v>50</v>
      </c>
      <c r="AF420" t="s">
        <v>7101</v>
      </c>
      <c r="AG420" t="s">
        <v>7116</v>
      </c>
      <c r="AH420">
        <v>25</v>
      </c>
      <c r="AI420">
        <v>2</v>
      </c>
      <c r="AJ420">
        <v>0</v>
      </c>
      <c r="AK420">
        <v>71.23</v>
      </c>
      <c r="AN420" t="s">
        <v>7138</v>
      </c>
      <c r="AO420">
        <v>11724</v>
      </c>
      <c r="AU420">
        <v>2</v>
      </c>
      <c r="AV420" t="s">
        <v>175</v>
      </c>
      <c r="AW420" t="s">
        <v>7342</v>
      </c>
      <c r="AX420" t="s">
        <v>7377</v>
      </c>
    </row>
    <row r="421" spans="1:50">
      <c r="A421" s="1">
        <f>HYPERLINK("https://lsnyc.legalserver.org/matter/dynamic-profile/view/0805131","16-0805131")</f>
        <v>0</v>
      </c>
      <c r="B421" t="s">
        <v>67</v>
      </c>
      <c r="C421" t="s">
        <v>105</v>
      </c>
      <c r="D421" t="s">
        <v>373</v>
      </c>
      <c r="F421" t="s">
        <v>961</v>
      </c>
      <c r="G421" t="s">
        <v>1841</v>
      </c>
      <c r="H421" t="s">
        <v>2723</v>
      </c>
      <c r="I421" t="s">
        <v>3282</v>
      </c>
      <c r="J421" t="s">
        <v>3604</v>
      </c>
      <c r="K421">
        <v>10029</v>
      </c>
      <c r="L421" t="s">
        <v>3609</v>
      </c>
      <c r="M421" t="s">
        <v>3609</v>
      </c>
      <c r="N421" t="s">
        <v>3770</v>
      </c>
      <c r="O421" t="s">
        <v>4210</v>
      </c>
      <c r="P421" t="s">
        <v>4241</v>
      </c>
      <c r="R421" t="s">
        <v>4258</v>
      </c>
      <c r="S421" t="s">
        <v>3611</v>
      </c>
      <c r="U421" t="s">
        <v>4268</v>
      </c>
      <c r="W421" t="s">
        <v>527</v>
      </c>
      <c r="X421">
        <v>218</v>
      </c>
      <c r="Y421" t="s">
        <v>4351</v>
      </c>
      <c r="AB421" t="s">
        <v>4725</v>
      </c>
      <c r="AD421" t="s">
        <v>6125</v>
      </c>
      <c r="AE421">
        <v>17</v>
      </c>
      <c r="AF421" t="s">
        <v>7105</v>
      </c>
      <c r="AG421" t="s">
        <v>3745</v>
      </c>
      <c r="AH421">
        <v>5</v>
      </c>
      <c r="AI421">
        <v>2</v>
      </c>
      <c r="AJ421">
        <v>0</v>
      </c>
      <c r="AK421">
        <v>71.59999999999999</v>
      </c>
      <c r="AN421" t="s">
        <v>7138</v>
      </c>
      <c r="AO421">
        <v>11469.6</v>
      </c>
      <c r="AU421">
        <v>193.9</v>
      </c>
      <c r="AV421" t="s">
        <v>285</v>
      </c>
      <c r="AW421" t="s">
        <v>7360</v>
      </c>
    </row>
    <row r="422" spans="1:50">
      <c r="A422" s="1">
        <f>HYPERLINK("https://lsnyc.legalserver.org/matter/dynamic-profile/view/0832845","17-0832845")</f>
        <v>0</v>
      </c>
      <c r="B422" t="s">
        <v>53</v>
      </c>
      <c r="C422" t="s">
        <v>105</v>
      </c>
      <c r="D422" t="s">
        <v>374</v>
      </c>
      <c r="F422" t="s">
        <v>970</v>
      </c>
      <c r="G422" t="s">
        <v>1850</v>
      </c>
      <c r="H422" t="s">
        <v>2733</v>
      </c>
      <c r="I422" t="s">
        <v>3403</v>
      </c>
      <c r="J422" t="s">
        <v>3604</v>
      </c>
      <c r="K422">
        <v>10065</v>
      </c>
      <c r="L422" t="s">
        <v>3610</v>
      </c>
      <c r="M422" t="s">
        <v>3609</v>
      </c>
      <c r="O422" t="s">
        <v>4219</v>
      </c>
      <c r="P422" t="s">
        <v>4247</v>
      </c>
      <c r="R422" t="s">
        <v>4258</v>
      </c>
      <c r="S422" t="s">
        <v>3611</v>
      </c>
      <c r="U422" t="s">
        <v>4268</v>
      </c>
      <c r="W422" t="s">
        <v>374</v>
      </c>
      <c r="X422">
        <v>1071.34</v>
      </c>
      <c r="Y422" t="s">
        <v>4351</v>
      </c>
      <c r="Z422" t="s">
        <v>4357</v>
      </c>
      <c r="AB422" t="s">
        <v>4741</v>
      </c>
      <c r="AD422" t="s">
        <v>6141</v>
      </c>
      <c r="AE422">
        <v>45</v>
      </c>
      <c r="AF422" t="s">
        <v>7101</v>
      </c>
      <c r="AG422" t="s">
        <v>3745</v>
      </c>
      <c r="AH422">
        <v>2</v>
      </c>
      <c r="AI422">
        <v>1</v>
      </c>
      <c r="AJ422">
        <v>0</v>
      </c>
      <c r="AK422">
        <v>71.64</v>
      </c>
      <c r="AN422" t="s">
        <v>7138</v>
      </c>
      <c r="AO422">
        <v>8640</v>
      </c>
      <c r="AU422">
        <v>240.68</v>
      </c>
      <c r="AV422" t="s">
        <v>7293</v>
      </c>
      <c r="AW422" t="s">
        <v>102</v>
      </c>
    </row>
    <row r="423" spans="1:50">
      <c r="A423" s="1">
        <f>HYPERLINK("https://lsnyc.legalserver.org/matter/dynamic-profile/view/1842712","17-1842712")</f>
        <v>0</v>
      </c>
      <c r="B423" t="s">
        <v>53</v>
      </c>
      <c r="C423" t="s">
        <v>105</v>
      </c>
      <c r="D423" t="s">
        <v>375</v>
      </c>
      <c r="F423" t="s">
        <v>971</v>
      </c>
      <c r="G423" t="s">
        <v>1851</v>
      </c>
      <c r="H423" t="s">
        <v>2734</v>
      </c>
      <c r="I423" t="s">
        <v>3396</v>
      </c>
      <c r="J423" t="s">
        <v>3604</v>
      </c>
      <c r="K423">
        <v>10040</v>
      </c>
      <c r="L423" t="s">
        <v>3610</v>
      </c>
      <c r="M423" t="s">
        <v>3609</v>
      </c>
      <c r="O423" t="s">
        <v>4211</v>
      </c>
      <c r="P423" t="s">
        <v>4242</v>
      </c>
      <c r="R423" t="s">
        <v>4258</v>
      </c>
      <c r="S423" t="s">
        <v>3611</v>
      </c>
      <c r="U423" t="s">
        <v>4268</v>
      </c>
      <c r="W423" t="s">
        <v>375</v>
      </c>
      <c r="X423">
        <v>900</v>
      </c>
      <c r="Y423" t="s">
        <v>4351</v>
      </c>
      <c r="Z423" t="s">
        <v>4354</v>
      </c>
      <c r="AB423" t="s">
        <v>4742</v>
      </c>
      <c r="AD423" t="s">
        <v>6142</v>
      </c>
      <c r="AE423">
        <v>43</v>
      </c>
      <c r="AF423" t="s">
        <v>7101</v>
      </c>
      <c r="AG423" t="s">
        <v>3745</v>
      </c>
      <c r="AH423">
        <v>4</v>
      </c>
      <c r="AI423">
        <v>1</v>
      </c>
      <c r="AJ423">
        <v>0</v>
      </c>
      <c r="AK423">
        <v>71.64</v>
      </c>
      <c r="AL423" t="s">
        <v>7125</v>
      </c>
      <c r="AN423" t="s">
        <v>7138</v>
      </c>
      <c r="AO423">
        <v>8640</v>
      </c>
      <c r="AU423">
        <v>0.2</v>
      </c>
      <c r="AV423" t="s">
        <v>377</v>
      </c>
      <c r="AW423" t="s">
        <v>7342</v>
      </c>
    </row>
    <row r="424" spans="1:50">
      <c r="A424" s="1">
        <f>HYPERLINK("https://lsnyc.legalserver.org/matter/dynamic-profile/view/1855839","18-1855839")</f>
        <v>0</v>
      </c>
      <c r="B424" t="s">
        <v>51</v>
      </c>
      <c r="C424" t="s">
        <v>104</v>
      </c>
      <c r="D424" t="s">
        <v>376</v>
      </c>
      <c r="E424" t="s">
        <v>385</v>
      </c>
      <c r="F424" t="s">
        <v>947</v>
      </c>
      <c r="G424" t="s">
        <v>1852</v>
      </c>
      <c r="H424" t="s">
        <v>2565</v>
      </c>
      <c r="I424" t="s">
        <v>3295</v>
      </c>
      <c r="J424" t="s">
        <v>3604</v>
      </c>
      <c r="K424">
        <v>10031</v>
      </c>
      <c r="L424" t="s">
        <v>3610</v>
      </c>
      <c r="M424" t="s">
        <v>3610</v>
      </c>
      <c r="N424" t="s">
        <v>3771</v>
      </c>
      <c r="O424" t="s">
        <v>4209</v>
      </c>
      <c r="P424" t="s">
        <v>4241</v>
      </c>
      <c r="Q424" t="s">
        <v>4248</v>
      </c>
      <c r="R424" t="s">
        <v>4258</v>
      </c>
      <c r="S424" t="s">
        <v>3611</v>
      </c>
      <c r="T424" t="s">
        <v>4262</v>
      </c>
      <c r="U424" t="s">
        <v>4268</v>
      </c>
      <c r="V424" t="s">
        <v>4274</v>
      </c>
      <c r="W424" t="s">
        <v>4299</v>
      </c>
      <c r="X424">
        <v>2068</v>
      </c>
      <c r="Y424" t="s">
        <v>4351</v>
      </c>
      <c r="Z424" t="s">
        <v>4354</v>
      </c>
      <c r="AA424" t="s">
        <v>4374</v>
      </c>
      <c r="AB424" t="s">
        <v>4706</v>
      </c>
      <c r="AD424" t="s">
        <v>6143</v>
      </c>
      <c r="AE424">
        <v>44</v>
      </c>
      <c r="AF424" t="s">
        <v>7101</v>
      </c>
      <c r="AG424" t="s">
        <v>7116</v>
      </c>
      <c r="AH424">
        <v>22</v>
      </c>
      <c r="AI424">
        <v>2</v>
      </c>
      <c r="AJ424">
        <v>0</v>
      </c>
      <c r="AK424">
        <v>71.69</v>
      </c>
      <c r="AM424" t="s">
        <v>7135</v>
      </c>
      <c r="AN424" t="s">
        <v>7139</v>
      </c>
      <c r="AO424">
        <v>11643</v>
      </c>
      <c r="AU424">
        <v>20.6</v>
      </c>
      <c r="AV424" t="s">
        <v>4293</v>
      </c>
      <c r="AW424" t="s">
        <v>7359</v>
      </c>
    </row>
    <row r="425" spans="1:50">
      <c r="A425" s="1">
        <f>HYPERLINK("https://lsnyc.legalserver.org/matter/dynamic-profile/view/1862236","18-1862236")</f>
        <v>0</v>
      </c>
      <c r="B425" t="s">
        <v>53</v>
      </c>
      <c r="C425" t="s">
        <v>105</v>
      </c>
      <c r="D425" t="s">
        <v>250</v>
      </c>
      <c r="F425" t="s">
        <v>972</v>
      </c>
      <c r="G425" t="s">
        <v>931</v>
      </c>
      <c r="H425" t="s">
        <v>2471</v>
      </c>
      <c r="I425" t="s">
        <v>3379</v>
      </c>
      <c r="J425" t="s">
        <v>3604</v>
      </c>
      <c r="K425">
        <v>10034</v>
      </c>
      <c r="L425" t="s">
        <v>3610</v>
      </c>
      <c r="M425" t="s">
        <v>3609</v>
      </c>
      <c r="N425" t="s">
        <v>3772</v>
      </c>
      <c r="O425" t="s">
        <v>4213</v>
      </c>
      <c r="P425" t="s">
        <v>4241</v>
      </c>
      <c r="R425" t="s">
        <v>4258</v>
      </c>
      <c r="S425" t="s">
        <v>3610</v>
      </c>
      <c r="U425" t="s">
        <v>4268</v>
      </c>
      <c r="W425" t="s">
        <v>250</v>
      </c>
      <c r="X425">
        <v>820</v>
      </c>
      <c r="Y425" t="s">
        <v>4351</v>
      </c>
      <c r="Z425" t="s">
        <v>4354</v>
      </c>
      <c r="AB425" t="s">
        <v>4743</v>
      </c>
      <c r="AE425">
        <v>60</v>
      </c>
      <c r="AF425" t="s">
        <v>7101</v>
      </c>
      <c r="AG425" t="s">
        <v>3745</v>
      </c>
      <c r="AH425">
        <v>36</v>
      </c>
      <c r="AI425">
        <v>2</v>
      </c>
      <c r="AJ425">
        <v>2</v>
      </c>
      <c r="AK425">
        <v>71.70999999999999</v>
      </c>
      <c r="AN425" t="s">
        <v>7138</v>
      </c>
      <c r="AO425">
        <v>18000</v>
      </c>
      <c r="AP425" t="s">
        <v>7169</v>
      </c>
      <c r="AU425">
        <v>62.65</v>
      </c>
      <c r="AV425" t="s">
        <v>663</v>
      </c>
      <c r="AW425" t="s">
        <v>7342</v>
      </c>
    </row>
    <row r="426" spans="1:50">
      <c r="A426" s="1">
        <f>HYPERLINK("https://lsnyc.legalserver.org/matter/dynamic-profile/view/1864353","18-1864353")</f>
        <v>0</v>
      </c>
      <c r="B426" t="s">
        <v>53</v>
      </c>
      <c r="C426" t="s">
        <v>105</v>
      </c>
      <c r="D426" t="s">
        <v>162</v>
      </c>
      <c r="F426" t="s">
        <v>973</v>
      </c>
      <c r="G426" t="s">
        <v>1853</v>
      </c>
      <c r="H426" t="s">
        <v>2508</v>
      </c>
      <c r="I426">
        <v>101</v>
      </c>
      <c r="J426" t="s">
        <v>3604</v>
      </c>
      <c r="K426">
        <v>10029</v>
      </c>
      <c r="L426" t="s">
        <v>3610</v>
      </c>
      <c r="M426" t="s">
        <v>3610</v>
      </c>
      <c r="N426" t="s">
        <v>3773</v>
      </c>
      <c r="O426" t="s">
        <v>4213</v>
      </c>
      <c r="P426" t="s">
        <v>4241</v>
      </c>
      <c r="R426" t="s">
        <v>4258</v>
      </c>
      <c r="S426" t="s">
        <v>3610</v>
      </c>
      <c r="U426" t="s">
        <v>4268</v>
      </c>
      <c r="V426" t="s">
        <v>4274</v>
      </c>
      <c r="W426" t="s">
        <v>162</v>
      </c>
      <c r="X426">
        <v>0</v>
      </c>
      <c r="Y426" t="s">
        <v>4351</v>
      </c>
      <c r="Z426" t="s">
        <v>4352</v>
      </c>
      <c r="AB426" t="s">
        <v>4744</v>
      </c>
      <c r="AE426">
        <v>108</v>
      </c>
      <c r="AF426" t="s">
        <v>7106</v>
      </c>
      <c r="AG426" t="s">
        <v>7116</v>
      </c>
      <c r="AH426">
        <v>35</v>
      </c>
      <c r="AI426">
        <v>1</v>
      </c>
      <c r="AJ426">
        <v>3</v>
      </c>
      <c r="AK426">
        <v>71.70999999999999</v>
      </c>
      <c r="AN426" t="s">
        <v>7139</v>
      </c>
      <c r="AO426">
        <v>18000</v>
      </c>
      <c r="AU426">
        <v>0</v>
      </c>
      <c r="AW426" t="s">
        <v>7341</v>
      </c>
      <c r="AX426" t="s">
        <v>7377</v>
      </c>
    </row>
    <row r="427" spans="1:50">
      <c r="A427" s="1">
        <f>HYPERLINK("https://lsnyc.legalserver.org/matter/dynamic-profile/view/1897247","19-1897247")</f>
        <v>0</v>
      </c>
      <c r="B427" t="s">
        <v>64</v>
      </c>
      <c r="C427" t="s">
        <v>105</v>
      </c>
      <c r="D427" t="s">
        <v>319</v>
      </c>
      <c r="F427" t="s">
        <v>974</v>
      </c>
      <c r="G427" t="s">
        <v>1642</v>
      </c>
      <c r="H427" t="s">
        <v>2671</v>
      </c>
      <c r="I427">
        <v>23</v>
      </c>
      <c r="J427" t="s">
        <v>3604</v>
      </c>
      <c r="K427">
        <v>10034</v>
      </c>
      <c r="L427" t="s">
        <v>3610</v>
      </c>
      <c r="M427" t="s">
        <v>3610</v>
      </c>
      <c r="O427" t="s">
        <v>4213</v>
      </c>
      <c r="P427" t="s">
        <v>4242</v>
      </c>
      <c r="R427" t="s">
        <v>4258</v>
      </c>
      <c r="S427" t="s">
        <v>3610</v>
      </c>
      <c r="U427" t="s">
        <v>4268</v>
      </c>
      <c r="W427" t="s">
        <v>319</v>
      </c>
      <c r="X427">
        <v>929.89</v>
      </c>
      <c r="Y427" t="s">
        <v>4351</v>
      </c>
      <c r="Z427" t="s">
        <v>4354</v>
      </c>
      <c r="AB427" t="s">
        <v>4745</v>
      </c>
      <c r="AD427" t="s">
        <v>6144</v>
      </c>
      <c r="AE427">
        <v>20</v>
      </c>
      <c r="AF427" t="s">
        <v>7101</v>
      </c>
      <c r="AG427" t="s">
        <v>7118</v>
      </c>
      <c r="AH427">
        <v>48</v>
      </c>
      <c r="AI427">
        <v>3</v>
      </c>
      <c r="AJ427">
        <v>0</v>
      </c>
      <c r="AK427">
        <v>71.79000000000001</v>
      </c>
      <c r="AN427" t="s">
        <v>7139</v>
      </c>
      <c r="AO427">
        <v>15312</v>
      </c>
      <c r="AU427">
        <v>0</v>
      </c>
      <c r="AW427" t="s">
        <v>7342</v>
      </c>
    </row>
    <row r="428" spans="1:50">
      <c r="A428" s="1">
        <f>HYPERLINK("https://lsnyc.legalserver.org/matter/dynamic-profile/view/1897546","19-1897546")</f>
        <v>0</v>
      </c>
      <c r="B428" t="s">
        <v>53</v>
      </c>
      <c r="C428" t="s">
        <v>105</v>
      </c>
      <c r="D428" t="s">
        <v>261</v>
      </c>
      <c r="F428" t="s">
        <v>932</v>
      </c>
      <c r="G428" t="s">
        <v>1815</v>
      </c>
      <c r="H428" t="s">
        <v>2735</v>
      </c>
      <c r="I428" t="s">
        <v>3404</v>
      </c>
      <c r="J428" t="s">
        <v>3604</v>
      </c>
      <c r="K428">
        <v>10039</v>
      </c>
      <c r="L428" t="s">
        <v>3610</v>
      </c>
      <c r="M428" t="s">
        <v>3610</v>
      </c>
      <c r="N428" t="s">
        <v>3774</v>
      </c>
      <c r="O428" t="s">
        <v>4209</v>
      </c>
      <c r="P428" t="s">
        <v>4241</v>
      </c>
      <c r="R428" t="s">
        <v>4257</v>
      </c>
      <c r="S428" t="s">
        <v>3611</v>
      </c>
      <c r="U428" t="s">
        <v>4273</v>
      </c>
      <c r="V428" t="s">
        <v>4274</v>
      </c>
      <c r="W428" t="s">
        <v>390</v>
      </c>
      <c r="X428">
        <v>844</v>
      </c>
      <c r="Y428" t="s">
        <v>4351</v>
      </c>
      <c r="Z428" t="s">
        <v>4355</v>
      </c>
      <c r="AB428" t="s">
        <v>4688</v>
      </c>
      <c r="AD428" t="s">
        <v>6093</v>
      </c>
      <c r="AE428">
        <v>360</v>
      </c>
      <c r="AF428" t="s">
        <v>7108</v>
      </c>
      <c r="AG428" t="s">
        <v>3745</v>
      </c>
      <c r="AH428">
        <v>12</v>
      </c>
      <c r="AI428">
        <v>1</v>
      </c>
      <c r="AJ428">
        <v>3</v>
      </c>
      <c r="AK428">
        <v>71.86</v>
      </c>
      <c r="AL428" t="s">
        <v>369</v>
      </c>
      <c r="AM428" t="s">
        <v>7133</v>
      </c>
      <c r="AN428" t="s">
        <v>7138</v>
      </c>
      <c r="AO428">
        <v>18504</v>
      </c>
      <c r="AU428">
        <v>11</v>
      </c>
      <c r="AV428" t="s">
        <v>689</v>
      </c>
      <c r="AW428" t="s">
        <v>7341</v>
      </c>
    </row>
    <row r="429" spans="1:50">
      <c r="A429" s="1">
        <f>HYPERLINK("https://lsnyc.legalserver.org/matter/dynamic-profile/view/1871392","18-1871392")</f>
        <v>0</v>
      </c>
      <c r="B429" t="s">
        <v>93</v>
      </c>
      <c r="C429" t="s">
        <v>104</v>
      </c>
      <c r="D429" t="s">
        <v>377</v>
      </c>
      <c r="E429" t="s">
        <v>655</v>
      </c>
      <c r="F429" t="s">
        <v>975</v>
      </c>
      <c r="G429" t="s">
        <v>1854</v>
      </c>
      <c r="H429" t="s">
        <v>2736</v>
      </c>
      <c r="I429">
        <v>2710</v>
      </c>
      <c r="J429" t="s">
        <v>3604</v>
      </c>
      <c r="K429">
        <v>10029</v>
      </c>
      <c r="L429" t="s">
        <v>3610</v>
      </c>
      <c r="M429" t="s">
        <v>3610</v>
      </c>
      <c r="O429" t="s">
        <v>4211</v>
      </c>
      <c r="P429" t="s">
        <v>4242</v>
      </c>
      <c r="Q429" t="s">
        <v>4250</v>
      </c>
      <c r="R429" t="s">
        <v>4258</v>
      </c>
      <c r="S429" t="s">
        <v>3611</v>
      </c>
      <c r="U429" t="s">
        <v>4268</v>
      </c>
      <c r="V429" t="s">
        <v>4274</v>
      </c>
      <c r="W429" t="s">
        <v>212</v>
      </c>
      <c r="X429">
        <v>800</v>
      </c>
      <c r="Y429" t="s">
        <v>4351</v>
      </c>
      <c r="Z429" t="s">
        <v>4354</v>
      </c>
      <c r="AA429" t="s">
        <v>4373</v>
      </c>
      <c r="AB429" t="s">
        <v>4746</v>
      </c>
      <c r="AD429" t="s">
        <v>6145</v>
      </c>
      <c r="AE429">
        <v>396</v>
      </c>
      <c r="AF429" t="s">
        <v>7102</v>
      </c>
      <c r="AG429" t="s">
        <v>7116</v>
      </c>
      <c r="AH429">
        <v>30</v>
      </c>
      <c r="AI429">
        <v>1</v>
      </c>
      <c r="AJ429">
        <v>0</v>
      </c>
      <c r="AK429">
        <v>71.86</v>
      </c>
      <c r="AN429" t="s">
        <v>7138</v>
      </c>
      <c r="AO429">
        <v>8724</v>
      </c>
      <c r="AU429">
        <v>3.8</v>
      </c>
      <c r="AV429" t="s">
        <v>362</v>
      </c>
      <c r="AW429" t="s">
        <v>7360</v>
      </c>
    </row>
    <row r="430" spans="1:50">
      <c r="A430" s="1">
        <f>HYPERLINK("https://lsnyc.legalserver.org/matter/dynamic-profile/view/1886177","18-1886177")</f>
        <v>0</v>
      </c>
      <c r="B430" t="s">
        <v>67</v>
      </c>
      <c r="C430" t="s">
        <v>104</v>
      </c>
      <c r="D430" t="s">
        <v>271</v>
      </c>
      <c r="E430" t="s">
        <v>442</v>
      </c>
      <c r="F430" t="s">
        <v>930</v>
      </c>
      <c r="G430" t="s">
        <v>1855</v>
      </c>
      <c r="H430" t="s">
        <v>2737</v>
      </c>
      <c r="J430" t="s">
        <v>3604</v>
      </c>
      <c r="K430">
        <v>10029</v>
      </c>
      <c r="L430" t="s">
        <v>3610</v>
      </c>
      <c r="M430" t="s">
        <v>3610</v>
      </c>
      <c r="O430" t="s">
        <v>4211</v>
      </c>
      <c r="P430" t="s">
        <v>4242</v>
      </c>
      <c r="Q430" t="s">
        <v>4250</v>
      </c>
      <c r="R430" t="s">
        <v>4258</v>
      </c>
      <c r="S430" t="s">
        <v>3611</v>
      </c>
      <c r="U430" t="s">
        <v>4268</v>
      </c>
      <c r="V430" t="s">
        <v>4274</v>
      </c>
      <c r="W430" t="s">
        <v>271</v>
      </c>
      <c r="X430">
        <v>1396</v>
      </c>
      <c r="Y430" t="s">
        <v>4351</v>
      </c>
      <c r="Z430" t="s">
        <v>4354</v>
      </c>
      <c r="AA430" t="s">
        <v>4373</v>
      </c>
      <c r="AB430" t="s">
        <v>4747</v>
      </c>
      <c r="AE430">
        <v>90</v>
      </c>
      <c r="AF430" t="s">
        <v>7101</v>
      </c>
      <c r="AG430" t="s">
        <v>7116</v>
      </c>
      <c r="AH430">
        <v>38</v>
      </c>
      <c r="AI430">
        <v>1</v>
      </c>
      <c r="AJ430">
        <v>0</v>
      </c>
      <c r="AK430">
        <v>71.95999999999999</v>
      </c>
      <c r="AN430" t="s">
        <v>7138</v>
      </c>
      <c r="AO430">
        <v>8736</v>
      </c>
      <c r="AP430" t="s">
        <v>7158</v>
      </c>
      <c r="AU430">
        <v>0.1</v>
      </c>
      <c r="AV430" t="s">
        <v>671</v>
      </c>
      <c r="AW430" t="s">
        <v>7341</v>
      </c>
    </row>
    <row r="431" spans="1:50">
      <c r="A431" s="1">
        <f>HYPERLINK("https://lsnyc.legalserver.org/matter/dynamic-profile/view/1893534","19-1893534")</f>
        <v>0</v>
      </c>
      <c r="B431" t="s">
        <v>61</v>
      </c>
      <c r="C431" t="s">
        <v>105</v>
      </c>
      <c r="D431" t="s">
        <v>352</v>
      </c>
      <c r="F431" t="s">
        <v>715</v>
      </c>
      <c r="G431" t="s">
        <v>1586</v>
      </c>
      <c r="H431" t="s">
        <v>2535</v>
      </c>
      <c r="I431">
        <v>2</v>
      </c>
      <c r="J431" t="s">
        <v>3604</v>
      </c>
      <c r="K431">
        <v>10034</v>
      </c>
      <c r="L431" t="s">
        <v>3610</v>
      </c>
      <c r="M431" t="s">
        <v>3610</v>
      </c>
      <c r="O431" t="s">
        <v>4209</v>
      </c>
      <c r="P431" t="s">
        <v>4245</v>
      </c>
      <c r="R431" t="s">
        <v>4258</v>
      </c>
      <c r="S431" t="s">
        <v>3611</v>
      </c>
      <c r="U431" t="s">
        <v>4268</v>
      </c>
      <c r="W431" t="s">
        <v>352</v>
      </c>
      <c r="X431">
        <v>553</v>
      </c>
      <c r="Y431" t="s">
        <v>4351</v>
      </c>
      <c r="Z431" t="s">
        <v>4354</v>
      </c>
      <c r="AB431" t="s">
        <v>4426</v>
      </c>
      <c r="AD431" t="s">
        <v>5870</v>
      </c>
      <c r="AE431">
        <v>25</v>
      </c>
      <c r="AF431" t="s">
        <v>7101</v>
      </c>
      <c r="AG431" t="s">
        <v>7118</v>
      </c>
      <c r="AH431">
        <v>42</v>
      </c>
      <c r="AI431">
        <v>1</v>
      </c>
      <c r="AJ431">
        <v>0</v>
      </c>
      <c r="AK431">
        <v>72.06</v>
      </c>
      <c r="AN431" t="s">
        <v>7139</v>
      </c>
      <c r="AO431">
        <v>9000</v>
      </c>
      <c r="AU431">
        <v>1.2</v>
      </c>
      <c r="AV431" t="s">
        <v>606</v>
      </c>
      <c r="AW431" t="s">
        <v>7342</v>
      </c>
      <c r="AX431" t="s">
        <v>7377</v>
      </c>
    </row>
    <row r="432" spans="1:50">
      <c r="A432" s="1">
        <f>HYPERLINK("https://lsnyc.legalserver.org/matter/dynamic-profile/view/1894173","19-1894173")</f>
        <v>0</v>
      </c>
      <c r="B432" t="s">
        <v>63</v>
      </c>
      <c r="C432" t="s">
        <v>104</v>
      </c>
      <c r="D432" t="s">
        <v>140</v>
      </c>
      <c r="E432" t="s">
        <v>140</v>
      </c>
      <c r="F432" t="s">
        <v>706</v>
      </c>
      <c r="G432" t="s">
        <v>1856</v>
      </c>
      <c r="H432" t="s">
        <v>2738</v>
      </c>
      <c r="J432" t="s">
        <v>3604</v>
      </c>
      <c r="K432">
        <v>10034</v>
      </c>
      <c r="L432" t="s">
        <v>3610</v>
      </c>
      <c r="M432" t="s">
        <v>3609</v>
      </c>
      <c r="O432" t="s">
        <v>4219</v>
      </c>
      <c r="P432" t="s">
        <v>4242</v>
      </c>
      <c r="Q432" t="s">
        <v>4250</v>
      </c>
      <c r="R432" t="s">
        <v>4258</v>
      </c>
      <c r="S432" t="s">
        <v>3611</v>
      </c>
      <c r="U432" t="s">
        <v>4268</v>
      </c>
      <c r="W432" t="s">
        <v>140</v>
      </c>
      <c r="X432">
        <v>0</v>
      </c>
      <c r="Y432" t="s">
        <v>4351</v>
      </c>
      <c r="Z432" t="s">
        <v>4354</v>
      </c>
      <c r="AA432" t="s">
        <v>4373</v>
      </c>
      <c r="AB432" t="s">
        <v>4748</v>
      </c>
      <c r="AD432" t="s">
        <v>6146</v>
      </c>
      <c r="AE432">
        <v>22</v>
      </c>
      <c r="AF432" t="s">
        <v>7101</v>
      </c>
      <c r="AG432" t="s">
        <v>7116</v>
      </c>
      <c r="AH432">
        <v>42</v>
      </c>
      <c r="AI432">
        <v>1</v>
      </c>
      <c r="AJ432">
        <v>0</v>
      </c>
      <c r="AK432">
        <v>72.06</v>
      </c>
      <c r="AN432" t="s">
        <v>7139</v>
      </c>
      <c r="AO432">
        <v>9000</v>
      </c>
      <c r="AU432">
        <v>1.5</v>
      </c>
      <c r="AV432" t="s">
        <v>140</v>
      </c>
      <c r="AW432" t="s">
        <v>7348</v>
      </c>
      <c r="AX432" t="s">
        <v>7377</v>
      </c>
    </row>
    <row r="433" spans="1:50">
      <c r="A433" s="1">
        <f>HYPERLINK("https://lsnyc.legalserver.org/matter/dynamic-profile/view/1901429","19-1901429")</f>
        <v>0</v>
      </c>
      <c r="B433" t="s">
        <v>60</v>
      </c>
      <c r="C433" t="s">
        <v>105</v>
      </c>
      <c r="D433" t="s">
        <v>371</v>
      </c>
      <c r="F433" t="s">
        <v>704</v>
      </c>
      <c r="G433" t="s">
        <v>1445</v>
      </c>
      <c r="H433" t="s">
        <v>2628</v>
      </c>
      <c r="I433">
        <v>35</v>
      </c>
      <c r="J433" t="s">
        <v>3604</v>
      </c>
      <c r="K433">
        <v>10034</v>
      </c>
      <c r="L433" t="s">
        <v>3610</v>
      </c>
      <c r="M433" t="s">
        <v>3609</v>
      </c>
      <c r="O433" t="s">
        <v>4219</v>
      </c>
      <c r="P433" t="s">
        <v>4242</v>
      </c>
      <c r="R433" t="s">
        <v>4258</v>
      </c>
      <c r="S433" t="s">
        <v>3611</v>
      </c>
      <c r="U433" t="s">
        <v>4268</v>
      </c>
      <c r="W433" t="s">
        <v>371</v>
      </c>
      <c r="X433">
        <v>0</v>
      </c>
      <c r="Y433" t="s">
        <v>4351</v>
      </c>
      <c r="Z433" t="s">
        <v>4354</v>
      </c>
      <c r="AB433" t="s">
        <v>4749</v>
      </c>
      <c r="AD433" t="s">
        <v>6147</v>
      </c>
      <c r="AE433">
        <v>29</v>
      </c>
      <c r="AG433" t="s">
        <v>7116</v>
      </c>
      <c r="AH433">
        <v>38</v>
      </c>
      <c r="AI433">
        <v>1</v>
      </c>
      <c r="AJ433">
        <v>0</v>
      </c>
      <c r="AK433">
        <v>72.06</v>
      </c>
      <c r="AN433" t="s">
        <v>7139</v>
      </c>
      <c r="AO433">
        <v>9000</v>
      </c>
      <c r="AU433">
        <v>1.5</v>
      </c>
      <c r="AV433" t="s">
        <v>330</v>
      </c>
      <c r="AW433" t="s">
        <v>7342</v>
      </c>
      <c r="AX433" t="s">
        <v>7377</v>
      </c>
    </row>
    <row r="434" spans="1:50">
      <c r="A434" s="1">
        <f>HYPERLINK("https://lsnyc.legalserver.org/matter/dynamic-profile/view/1881793","18-1881793")</f>
        <v>0</v>
      </c>
      <c r="B434" t="s">
        <v>85</v>
      </c>
      <c r="C434" t="s">
        <v>105</v>
      </c>
      <c r="D434" t="s">
        <v>378</v>
      </c>
      <c r="F434" t="s">
        <v>966</v>
      </c>
      <c r="G434" t="s">
        <v>1768</v>
      </c>
      <c r="H434" t="s">
        <v>2739</v>
      </c>
      <c r="I434" t="s">
        <v>3387</v>
      </c>
      <c r="J434" t="s">
        <v>3604</v>
      </c>
      <c r="K434">
        <v>10032</v>
      </c>
      <c r="L434" t="s">
        <v>3610</v>
      </c>
      <c r="M434" t="s">
        <v>3610</v>
      </c>
      <c r="N434" t="s">
        <v>3775</v>
      </c>
      <c r="O434" t="s">
        <v>4209</v>
      </c>
      <c r="P434" t="s">
        <v>4245</v>
      </c>
      <c r="R434" t="s">
        <v>4258</v>
      </c>
      <c r="U434" t="s">
        <v>4268</v>
      </c>
      <c r="W434" t="s">
        <v>378</v>
      </c>
      <c r="X434">
        <v>802</v>
      </c>
      <c r="Y434" t="s">
        <v>4351</v>
      </c>
      <c r="Z434" t="s">
        <v>4371</v>
      </c>
      <c r="AB434" t="s">
        <v>4750</v>
      </c>
      <c r="AD434" t="s">
        <v>6148</v>
      </c>
      <c r="AE434">
        <v>0</v>
      </c>
      <c r="AF434" t="s">
        <v>7101</v>
      </c>
      <c r="AG434" t="s">
        <v>3745</v>
      </c>
      <c r="AH434">
        <v>6</v>
      </c>
      <c r="AI434">
        <v>2</v>
      </c>
      <c r="AJ434">
        <v>1</v>
      </c>
      <c r="AK434">
        <v>72.18000000000001</v>
      </c>
      <c r="AN434" t="s">
        <v>7139</v>
      </c>
      <c r="AO434">
        <v>15000</v>
      </c>
      <c r="AU434">
        <v>1.3</v>
      </c>
      <c r="AV434" t="s">
        <v>321</v>
      </c>
      <c r="AW434" t="s">
        <v>7344</v>
      </c>
    </row>
    <row r="435" spans="1:50">
      <c r="A435" s="1">
        <f>HYPERLINK("https://lsnyc.legalserver.org/matter/dynamic-profile/view/1846317","17-1846317")</f>
        <v>0</v>
      </c>
      <c r="B435" t="s">
        <v>56</v>
      </c>
      <c r="C435" t="s">
        <v>104</v>
      </c>
      <c r="D435" t="s">
        <v>183</v>
      </c>
      <c r="E435" t="s">
        <v>665</v>
      </c>
      <c r="F435" t="s">
        <v>717</v>
      </c>
      <c r="G435" t="s">
        <v>1737</v>
      </c>
      <c r="H435" t="s">
        <v>2549</v>
      </c>
      <c r="I435" t="s">
        <v>3286</v>
      </c>
      <c r="J435" t="s">
        <v>3604</v>
      </c>
      <c r="K435">
        <v>10034</v>
      </c>
      <c r="L435" t="s">
        <v>3610</v>
      </c>
      <c r="M435" t="s">
        <v>3610</v>
      </c>
      <c r="N435" t="s">
        <v>3776</v>
      </c>
      <c r="O435" t="s">
        <v>4210</v>
      </c>
      <c r="P435" t="s">
        <v>4241</v>
      </c>
      <c r="Q435" t="s">
        <v>4248</v>
      </c>
      <c r="R435" t="s">
        <v>4258</v>
      </c>
      <c r="S435" t="s">
        <v>3611</v>
      </c>
      <c r="U435" t="s">
        <v>4268</v>
      </c>
      <c r="W435" t="s">
        <v>183</v>
      </c>
      <c r="X435">
        <v>818.66</v>
      </c>
      <c r="Y435" t="s">
        <v>4351</v>
      </c>
      <c r="Z435" t="s">
        <v>4354</v>
      </c>
      <c r="AA435" t="s">
        <v>4386</v>
      </c>
      <c r="AB435" t="s">
        <v>4751</v>
      </c>
      <c r="AD435" t="s">
        <v>6149</v>
      </c>
      <c r="AE435">
        <v>36</v>
      </c>
      <c r="AF435" t="s">
        <v>7101</v>
      </c>
      <c r="AG435" t="s">
        <v>7116</v>
      </c>
      <c r="AH435">
        <v>40</v>
      </c>
      <c r="AI435">
        <v>1</v>
      </c>
      <c r="AJ435">
        <v>0</v>
      </c>
      <c r="AK435">
        <v>72.34</v>
      </c>
      <c r="AN435" t="s">
        <v>7139</v>
      </c>
      <c r="AO435">
        <v>8724</v>
      </c>
      <c r="AU435">
        <v>68.59999999999999</v>
      </c>
      <c r="AV435" t="s">
        <v>665</v>
      </c>
      <c r="AW435" t="s">
        <v>7342</v>
      </c>
    </row>
    <row r="436" spans="1:50">
      <c r="A436" s="1">
        <f>HYPERLINK("https://lsnyc.legalserver.org/matter/dynamic-profile/view/1868384","18-1868384")</f>
        <v>0</v>
      </c>
      <c r="B436" t="s">
        <v>73</v>
      </c>
      <c r="C436" t="s">
        <v>104</v>
      </c>
      <c r="D436" t="s">
        <v>279</v>
      </c>
      <c r="E436" t="s">
        <v>138</v>
      </c>
      <c r="F436" t="s">
        <v>976</v>
      </c>
      <c r="G436" t="s">
        <v>1656</v>
      </c>
      <c r="H436" t="s">
        <v>2476</v>
      </c>
      <c r="I436">
        <v>1</v>
      </c>
      <c r="J436" t="s">
        <v>3604</v>
      </c>
      <c r="K436">
        <v>10034</v>
      </c>
      <c r="L436" t="s">
        <v>3610</v>
      </c>
      <c r="M436" t="s">
        <v>3609</v>
      </c>
      <c r="O436" t="s">
        <v>4219</v>
      </c>
      <c r="P436" t="s">
        <v>4241</v>
      </c>
      <c r="Q436" t="s">
        <v>4249</v>
      </c>
      <c r="R436" t="s">
        <v>4258</v>
      </c>
      <c r="S436" t="s">
        <v>3611</v>
      </c>
      <c r="U436" t="s">
        <v>4268</v>
      </c>
      <c r="W436" t="s">
        <v>279</v>
      </c>
      <c r="X436">
        <v>1276.64</v>
      </c>
      <c r="Y436" t="s">
        <v>4351</v>
      </c>
      <c r="Z436" t="s">
        <v>4357</v>
      </c>
      <c r="AA436" t="s">
        <v>4377</v>
      </c>
      <c r="AB436" t="s">
        <v>4752</v>
      </c>
      <c r="AD436" t="s">
        <v>6150</v>
      </c>
      <c r="AE436">
        <v>22</v>
      </c>
      <c r="AF436" t="s">
        <v>7101</v>
      </c>
      <c r="AG436" t="s">
        <v>3745</v>
      </c>
      <c r="AH436">
        <v>19</v>
      </c>
      <c r="AI436">
        <v>1</v>
      </c>
      <c r="AJ436">
        <v>0</v>
      </c>
      <c r="AK436">
        <v>72.45</v>
      </c>
      <c r="AN436" t="s">
        <v>7139</v>
      </c>
      <c r="AO436">
        <v>8796</v>
      </c>
      <c r="AU436">
        <v>2.7</v>
      </c>
      <c r="AV436" t="s">
        <v>343</v>
      </c>
      <c r="AW436" t="s">
        <v>7342</v>
      </c>
    </row>
    <row r="437" spans="1:50">
      <c r="A437" s="1">
        <f>HYPERLINK("https://lsnyc.legalserver.org/matter/dynamic-profile/view/1841822","17-1841822")</f>
        <v>0</v>
      </c>
      <c r="B437" t="s">
        <v>63</v>
      </c>
      <c r="C437" t="s">
        <v>105</v>
      </c>
      <c r="D437" t="s">
        <v>210</v>
      </c>
      <c r="F437" t="s">
        <v>977</v>
      </c>
      <c r="G437" t="s">
        <v>1846</v>
      </c>
      <c r="H437" t="s">
        <v>2660</v>
      </c>
      <c r="I437" t="s">
        <v>3295</v>
      </c>
      <c r="J437" t="s">
        <v>3604</v>
      </c>
      <c r="K437">
        <v>10034</v>
      </c>
      <c r="L437" t="s">
        <v>3610</v>
      </c>
      <c r="M437" t="s">
        <v>3609</v>
      </c>
      <c r="N437" t="s">
        <v>3777</v>
      </c>
      <c r="O437" t="s">
        <v>4210</v>
      </c>
      <c r="P437" t="s">
        <v>4241</v>
      </c>
      <c r="R437" t="s">
        <v>4258</v>
      </c>
      <c r="S437" t="s">
        <v>3611</v>
      </c>
      <c r="U437" t="s">
        <v>4268</v>
      </c>
      <c r="W437" t="s">
        <v>133</v>
      </c>
      <c r="X437">
        <v>1067.2</v>
      </c>
      <c r="Y437" t="s">
        <v>4351</v>
      </c>
      <c r="Z437" t="s">
        <v>4354</v>
      </c>
      <c r="AB437" t="s">
        <v>4753</v>
      </c>
      <c r="AD437" t="s">
        <v>6151</v>
      </c>
      <c r="AE437">
        <v>49</v>
      </c>
      <c r="AF437" t="s">
        <v>7101</v>
      </c>
      <c r="AG437" t="s">
        <v>3745</v>
      </c>
      <c r="AH437">
        <v>14</v>
      </c>
      <c r="AI437">
        <v>1</v>
      </c>
      <c r="AJ437">
        <v>0</v>
      </c>
      <c r="AK437">
        <v>72.64</v>
      </c>
      <c r="AN437" t="s">
        <v>7139</v>
      </c>
      <c r="AO437">
        <v>8760</v>
      </c>
      <c r="AU437">
        <v>0</v>
      </c>
      <c r="AW437" t="s">
        <v>7342</v>
      </c>
    </row>
    <row r="438" spans="1:50">
      <c r="A438" s="1">
        <f>HYPERLINK("https://lsnyc.legalserver.org/matter/dynamic-profile/view/1880117","18-1880117")</f>
        <v>0</v>
      </c>
      <c r="B438" t="s">
        <v>64</v>
      </c>
      <c r="C438" t="s">
        <v>105</v>
      </c>
      <c r="D438" t="s">
        <v>269</v>
      </c>
      <c r="F438" t="s">
        <v>978</v>
      </c>
      <c r="G438" t="s">
        <v>1857</v>
      </c>
      <c r="H438" t="s">
        <v>2576</v>
      </c>
      <c r="I438" t="s">
        <v>3287</v>
      </c>
      <c r="J438" t="s">
        <v>3604</v>
      </c>
      <c r="K438">
        <v>10040</v>
      </c>
      <c r="L438" t="s">
        <v>3610</v>
      </c>
      <c r="M438" t="s">
        <v>3610</v>
      </c>
      <c r="O438" t="s">
        <v>4218</v>
      </c>
      <c r="P438" t="s">
        <v>4241</v>
      </c>
      <c r="R438" t="s">
        <v>4258</v>
      </c>
      <c r="S438" t="s">
        <v>3610</v>
      </c>
      <c r="U438" t="s">
        <v>4268</v>
      </c>
      <c r="W438" t="s">
        <v>269</v>
      </c>
      <c r="X438">
        <v>991.98</v>
      </c>
      <c r="Y438" t="s">
        <v>4351</v>
      </c>
      <c r="Z438" t="s">
        <v>4357</v>
      </c>
      <c r="AB438" t="s">
        <v>4754</v>
      </c>
      <c r="AD438" t="s">
        <v>6152</v>
      </c>
      <c r="AE438">
        <v>88</v>
      </c>
      <c r="AF438" t="s">
        <v>7101</v>
      </c>
      <c r="AG438" t="s">
        <v>3745</v>
      </c>
      <c r="AH438">
        <v>40</v>
      </c>
      <c r="AI438">
        <v>1</v>
      </c>
      <c r="AJ438">
        <v>0</v>
      </c>
      <c r="AK438">
        <v>72.65000000000001</v>
      </c>
      <c r="AN438" t="s">
        <v>7139</v>
      </c>
      <c r="AO438">
        <v>8820</v>
      </c>
      <c r="AU438">
        <v>0</v>
      </c>
      <c r="AW438" t="s">
        <v>7342</v>
      </c>
    </row>
    <row r="439" spans="1:50">
      <c r="A439" s="1">
        <f>HYPERLINK("https://lsnyc.legalserver.org/matter/dynamic-profile/view/1857890","18-1857890")</f>
        <v>0</v>
      </c>
      <c r="B439" t="s">
        <v>53</v>
      </c>
      <c r="C439" t="s">
        <v>105</v>
      </c>
      <c r="D439" t="s">
        <v>379</v>
      </c>
      <c r="F439" t="s">
        <v>833</v>
      </c>
      <c r="G439" t="s">
        <v>1577</v>
      </c>
      <c r="H439" t="s">
        <v>2740</v>
      </c>
      <c r="I439" t="s">
        <v>3282</v>
      </c>
      <c r="J439" t="s">
        <v>3604</v>
      </c>
      <c r="K439">
        <v>10034</v>
      </c>
      <c r="L439" t="s">
        <v>3610</v>
      </c>
      <c r="M439" t="s">
        <v>3609</v>
      </c>
      <c r="N439" t="s">
        <v>3778</v>
      </c>
      <c r="O439" t="s">
        <v>4221</v>
      </c>
      <c r="P439" t="s">
        <v>4244</v>
      </c>
      <c r="R439" t="s">
        <v>4258</v>
      </c>
      <c r="S439" t="s">
        <v>3611</v>
      </c>
      <c r="U439" t="s">
        <v>4268</v>
      </c>
      <c r="W439" t="s">
        <v>379</v>
      </c>
      <c r="X439">
        <v>810.92</v>
      </c>
      <c r="Y439" t="s">
        <v>4351</v>
      </c>
      <c r="Z439" t="s">
        <v>4357</v>
      </c>
      <c r="AB439" t="s">
        <v>4755</v>
      </c>
      <c r="AD439" t="s">
        <v>6153</v>
      </c>
      <c r="AE439">
        <v>40</v>
      </c>
      <c r="AF439" t="s">
        <v>7101</v>
      </c>
      <c r="AG439" t="s">
        <v>7116</v>
      </c>
      <c r="AH439">
        <v>37</v>
      </c>
      <c r="AI439">
        <v>1</v>
      </c>
      <c r="AJ439">
        <v>0</v>
      </c>
      <c r="AK439">
        <v>72.65000000000001</v>
      </c>
      <c r="AN439" t="s">
        <v>7139</v>
      </c>
      <c r="AO439">
        <v>8820</v>
      </c>
      <c r="AU439">
        <v>0.3</v>
      </c>
      <c r="AV439" t="s">
        <v>335</v>
      </c>
      <c r="AW439" t="s">
        <v>7342</v>
      </c>
    </row>
    <row r="440" spans="1:50">
      <c r="A440" s="1">
        <f>HYPERLINK("https://lsnyc.legalserver.org/matter/dynamic-profile/view/1864125","18-1864125")</f>
        <v>0</v>
      </c>
      <c r="B440" t="s">
        <v>53</v>
      </c>
      <c r="C440" t="s">
        <v>105</v>
      </c>
      <c r="D440" t="s">
        <v>161</v>
      </c>
      <c r="F440" t="s">
        <v>979</v>
      </c>
      <c r="G440" t="s">
        <v>1642</v>
      </c>
      <c r="H440" t="s">
        <v>2508</v>
      </c>
      <c r="I440">
        <v>603</v>
      </c>
      <c r="J440" t="s">
        <v>3604</v>
      </c>
      <c r="K440">
        <v>10029</v>
      </c>
      <c r="L440" t="s">
        <v>3610</v>
      </c>
      <c r="M440" t="s">
        <v>3610</v>
      </c>
      <c r="N440" t="s">
        <v>3642</v>
      </c>
      <c r="O440" t="s">
        <v>4213</v>
      </c>
      <c r="P440" t="s">
        <v>4241</v>
      </c>
      <c r="R440" t="s">
        <v>4258</v>
      </c>
      <c r="S440" t="s">
        <v>3610</v>
      </c>
      <c r="U440" t="s">
        <v>4268</v>
      </c>
      <c r="V440" t="s">
        <v>4274</v>
      </c>
      <c r="W440" t="s">
        <v>161</v>
      </c>
      <c r="X440">
        <v>0</v>
      </c>
      <c r="Y440" t="s">
        <v>4351</v>
      </c>
      <c r="Z440" t="s">
        <v>4352</v>
      </c>
      <c r="AB440" t="s">
        <v>4756</v>
      </c>
      <c r="AE440">
        <v>108</v>
      </c>
      <c r="AF440" t="s">
        <v>7106</v>
      </c>
      <c r="AG440" t="s">
        <v>7116</v>
      </c>
      <c r="AH440">
        <v>24</v>
      </c>
      <c r="AI440">
        <v>1</v>
      </c>
      <c r="AJ440">
        <v>0</v>
      </c>
      <c r="AK440">
        <v>72.65000000000001</v>
      </c>
      <c r="AN440" t="s">
        <v>7139</v>
      </c>
      <c r="AO440">
        <v>8820</v>
      </c>
      <c r="AU440">
        <v>0.35</v>
      </c>
      <c r="AV440" t="s">
        <v>688</v>
      </c>
      <c r="AW440" t="s">
        <v>7341</v>
      </c>
    </row>
    <row r="441" spans="1:50">
      <c r="A441" s="1">
        <f>HYPERLINK("https://lsnyc.legalserver.org/matter/dynamic-profile/view/1841424","17-1841424")</f>
        <v>0</v>
      </c>
      <c r="B441" t="s">
        <v>61</v>
      </c>
      <c r="C441" t="s">
        <v>105</v>
      </c>
      <c r="D441" t="s">
        <v>380</v>
      </c>
      <c r="F441" t="s">
        <v>980</v>
      </c>
      <c r="G441" t="s">
        <v>1858</v>
      </c>
      <c r="H441" t="s">
        <v>2472</v>
      </c>
      <c r="I441" t="s">
        <v>3350</v>
      </c>
      <c r="J441" t="s">
        <v>3604</v>
      </c>
      <c r="K441">
        <v>10034</v>
      </c>
      <c r="L441" t="s">
        <v>3610</v>
      </c>
      <c r="M441" t="s">
        <v>3609</v>
      </c>
      <c r="N441" t="s">
        <v>3779</v>
      </c>
      <c r="O441" t="s">
        <v>4210</v>
      </c>
      <c r="P441" t="s">
        <v>4241</v>
      </c>
      <c r="R441" t="s">
        <v>4258</v>
      </c>
      <c r="S441" t="s">
        <v>3611</v>
      </c>
      <c r="U441" t="s">
        <v>4268</v>
      </c>
      <c r="W441" t="s">
        <v>133</v>
      </c>
      <c r="X441">
        <v>774.26</v>
      </c>
      <c r="Y441" t="s">
        <v>4351</v>
      </c>
      <c r="Z441" t="s">
        <v>4354</v>
      </c>
      <c r="AB441" t="s">
        <v>4757</v>
      </c>
      <c r="AD441" t="s">
        <v>6154</v>
      </c>
      <c r="AE441">
        <v>65</v>
      </c>
      <c r="AF441" t="s">
        <v>7101</v>
      </c>
      <c r="AG441" t="s">
        <v>3745</v>
      </c>
      <c r="AH441">
        <v>39</v>
      </c>
      <c r="AI441">
        <v>3</v>
      </c>
      <c r="AJ441">
        <v>1</v>
      </c>
      <c r="AK441">
        <v>72.73</v>
      </c>
      <c r="AN441" t="s">
        <v>7139</v>
      </c>
      <c r="AO441">
        <v>17892</v>
      </c>
      <c r="AU441">
        <v>45.3</v>
      </c>
      <c r="AV441" t="s">
        <v>213</v>
      </c>
      <c r="AW441" t="s">
        <v>7342</v>
      </c>
    </row>
    <row r="442" spans="1:50">
      <c r="A442" s="1">
        <f>HYPERLINK("https://lsnyc.legalserver.org/matter/dynamic-profile/view/1856867","18-1856867")</f>
        <v>0</v>
      </c>
      <c r="B442" t="s">
        <v>61</v>
      </c>
      <c r="C442" t="s">
        <v>105</v>
      </c>
      <c r="D442" t="s">
        <v>381</v>
      </c>
      <c r="F442" t="s">
        <v>980</v>
      </c>
      <c r="G442" t="s">
        <v>1858</v>
      </c>
      <c r="H442" t="s">
        <v>2472</v>
      </c>
      <c r="I442" t="s">
        <v>3350</v>
      </c>
      <c r="J442" t="s">
        <v>3604</v>
      </c>
      <c r="K442">
        <v>10034</v>
      </c>
      <c r="L442" t="s">
        <v>3610</v>
      </c>
      <c r="M442" t="s">
        <v>3609</v>
      </c>
      <c r="O442" t="s">
        <v>4213</v>
      </c>
      <c r="P442" t="s">
        <v>4244</v>
      </c>
      <c r="R442" t="s">
        <v>4258</v>
      </c>
      <c r="S442" t="s">
        <v>3610</v>
      </c>
      <c r="U442" t="s">
        <v>4268</v>
      </c>
      <c r="W442" t="s">
        <v>381</v>
      </c>
      <c r="X442">
        <v>774.26</v>
      </c>
      <c r="Y442" t="s">
        <v>4351</v>
      </c>
      <c r="Z442" t="s">
        <v>4357</v>
      </c>
      <c r="AB442" t="s">
        <v>4757</v>
      </c>
      <c r="AD442" t="s">
        <v>6154</v>
      </c>
      <c r="AE442">
        <v>65</v>
      </c>
      <c r="AF442" t="s">
        <v>7101</v>
      </c>
      <c r="AG442" t="s">
        <v>3745</v>
      </c>
      <c r="AH442">
        <v>39</v>
      </c>
      <c r="AI442">
        <v>3</v>
      </c>
      <c r="AJ442">
        <v>1</v>
      </c>
      <c r="AK442">
        <v>72.73</v>
      </c>
      <c r="AN442" t="s">
        <v>7139</v>
      </c>
      <c r="AO442">
        <v>26892</v>
      </c>
      <c r="AU442">
        <v>64.59999999999999</v>
      </c>
      <c r="AV442" t="s">
        <v>213</v>
      </c>
      <c r="AW442" t="s">
        <v>7342</v>
      </c>
    </row>
    <row r="443" spans="1:50">
      <c r="A443" s="1">
        <f>HYPERLINK("https://lsnyc.legalserver.org/matter/dynamic-profile/view/0826973","17-0826973")</f>
        <v>0</v>
      </c>
      <c r="B443" t="s">
        <v>64</v>
      </c>
      <c r="C443" t="s">
        <v>105</v>
      </c>
      <c r="D443" t="s">
        <v>382</v>
      </c>
      <c r="F443" t="s">
        <v>704</v>
      </c>
      <c r="G443" t="s">
        <v>1859</v>
      </c>
      <c r="H443" t="s">
        <v>2576</v>
      </c>
      <c r="I443" t="s">
        <v>3333</v>
      </c>
      <c r="J443" t="s">
        <v>3604</v>
      </c>
      <c r="K443">
        <v>10040</v>
      </c>
      <c r="L443" t="s">
        <v>3610</v>
      </c>
      <c r="M443" t="s">
        <v>3609</v>
      </c>
      <c r="N443" t="s">
        <v>3780</v>
      </c>
      <c r="O443" t="s">
        <v>4213</v>
      </c>
      <c r="P443" t="s">
        <v>4241</v>
      </c>
      <c r="R443" t="s">
        <v>4258</v>
      </c>
      <c r="S443" t="s">
        <v>3610</v>
      </c>
      <c r="U443" t="s">
        <v>4268</v>
      </c>
      <c r="W443" t="s">
        <v>4300</v>
      </c>
      <c r="X443">
        <v>631.42</v>
      </c>
      <c r="Y443" t="s">
        <v>4351</v>
      </c>
      <c r="Z443" t="s">
        <v>4352</v>
      </c>
      <c r="AB443" t="s">
        <v>4758</v>
      </c>
      <c r="AD443" t="s">
        <v>6155</v>
      </c>
      <c r="AE443">
        <v>83</v>
      </c>
      <c r="AF443" t="s">
        <v>7101</v>
      </c>
      <c r="AG443" t="s">
        <v>3745</v>
      </c>
      <c r="AH443">
        <v>15</v>
      </c>
      <c r="AI443">
        <v>1</v>
      </c>
      <c r="AJ443">
        <v>0</v>
      </c>
      <c r="AK443">
        <v>72.73999999999999</v>
      </c>
      <c r="AL443" t="s">
        <v>518</v>
      </c>
      <c r="AN443" t="s">
        <v>7139</v>
      </c>
      <c r="AO443">
        <v>8772</v>
      </c>
      <c r="AU443">
        <v>0</v>
      </c>
      <c r="AV443" t="s">
        <v>191</v>
      </c>
      <c r="AW443" t="s">
        <v>7341</v>
      </c>
    </row>
    <row r="444" spans="1:50">
      <c r="A444" s="1">
        <f>HYPERLINK("https://lsnyc.legalserver.org/matter/dynamic-profile/view/1864522","18-1864522")</f>
        <v>0</v>
      </c>
      <c r="B444" t="s">
        <v>67</v>
      </c>
      <c r="C444" t="s">
        <v>105</v>
      </c>
      <c r="D444" t="s">
        <v>157</v>
      </c>
      <c r="F444" t="s">
        <v>927</v>
      </c>
      <c r="G444" t="s">
        <v>1587</v>
      </c>
      <c r="H444" t="s">
        <v>2508</v>
      </c>
      <c r="I444">
        <v>202</v>
      </c>
      <c r="J444" t="s">
        <v>3604</v>
      </c>
      <c r="K444">
        <v>10029</v>
      </c>
      <c r="L444" t="s">
        <v>3610</v>
      </c>
      <c r="M444" t="s">
        <v>3610</v>
      </c>
      <c r="N444" t="s">
        <v>3642</v>
      </c>
      <c r="O444" t="s">
        <v>4213</v>
      </c>
      <c r="P444" t="s">
        <v>4241</v>
      </c>
      <c r="R444" t="s">
        <v>4258</v>
      </c>
      <c r="S444" t="s">
        <v>3610</v>
      </c>
      <c r="U444" t="s">
        <v>4268</v>
      </c>
      <c r="V444" t="s">
        <v>4274</v>
      </c>
      <c r="W444" t="s">
        <v>157</v>
      </c>
      <c r="X444">
        <v>0</v>
      </c>
      <c r="Y444" t="s">
        <v>4351</v>
      </c>
      <c r="Z444" t="s">
        <v>4352</v>
      </c>
      <c r="AB444" t="s">
        <v>4759</v>
      </c>
      <c r="AE444">
        <v>108</v>
      </c>
      <c r="AF444" t="s">
        <v>7106</v>
      </c>
      <c r="AG444" t="s">
        <v>7116</v>
      </c>
      <c r="AH444">
        <v>10</v>
      </c>
      <c r="AI444">
        <v>1</v>
      </c>
      <c r="AJ444">
        <v>1</v>
      </c>
      <c r="AK444">
        <v>72.90000000000001</v>
      </c>
      <c r="AN444" t="s">
        <v>7139</v>
      </c>
      <c r="AO444">
        <v>12000</v>
      </c>
      <c r="AU444">
        <v>0.25</v>
      </c>
      <c r="AV444" t="s">
        <v>688</v>
      </c>
      <c r="AW444" t="s">
        <v>7341</v>
      </c>
    </row>
    <row r="445" spans="1:50">
      <c r="A445" s="1">
        <f>HYPERLINK("https://lsnyc.legalserver.org/matter/dynamic-profile/view/1843916","17-1843916")</f>
        <v>0</v>
      </c>
      <c r="B445" t="s">
        <v>53</v>
      </c>
      <c r="C445" t="s">
        <v>104</v>
      </c>
      <c r="D445" t="s">
        <v>383</v>
      </c>
      <c r="E445" t="s">
        <v>335</v>
      </c>
      <c r="F445" t="s">
        <v>981</v>
      </c>
      <c r="G445" t="s">
        <v>1860</v>
      </c>
      <c r="H445" t="s">
        <v>2712</v>
      </c>
      <c r="I445" t="s">
        <v>3273</v>
      </c>
      <c r="J445" t="s">
        <v>3604</v>
      </c>
      <c r="K445">
        <v>10040</v>
      </c>
      <c r="L445" t="s">
        <v>3610</v>
      </c>
      <c r="M445" t="s">
        <v>3610</v>
      </c>
      <c r="N445" t="s">
        <v>3781</v>
      </c>
      <c r="O445" t="s">
        <v>4209</v>
      </c>
      <c r="P445" t="s">
        <v>4241</v>
      </c>
      <c r="Q445" t="s">
        <v>4248</v>
      </c>
      <c r="R445" t="s">
        <v>4258</v>
      </c>
      <c r="S445" t="s">
        <v>3610</v>
      </c>
      <c r="U445" t="s">
        <v>4268</v>
      </c>
      <c r="V445" t="s">
        <v>4274</v>
      </c>
      <c r="W445" t="s">
        <v>379</v>
      </c>
      <c r="X445">
        <v>843.6</v>
      </c>
      <c r="Y445" t="s">
        <v>4351</v>
      </c>
      <c r="Z445" t="s">
        <v>4354</v>
      </c>
      <c r="AA445" t="s">
        <v>4374</v>
      </c>
      <c r="AB445" t="s">
        <v>4760</v>
      </c>
      <c r="AD445" t="s">
        <v>6156</v>
      </c>
      <c r="AE445">
        <v>42</v>
      </c>
      <c r="AF445" t="s">
        <v>7101</v>
      </c>
      <c r="AG445" t="s">
        <v>7118</v>
      </c>
      <c r="AH445">
        <v>23</v>
      </c>
      <c r="AI445">
        <v>1</v>
      </c>
      <c r="AJ445">
        <v>0</v>
      </c>
      <c r="AK445">
        <v>72.94</v>
      </c>
      <c r="AL445" t="s">
        <v>183</v>
      </c>
      <c r="AN445" t="s">
        <v>7139</v>
      </c>
      <c r="AO445">
        <v>8796</v>
      </c>
      <c r="AU445">
        <v>18</v>
      </c>
      <c r="AV445" t="s">
        <v>461</v>
      </c>
      <c r="AW445" t="s">
        <v>7342</v>
      </c>
    </row>
    <row r="446" spans="1:50">
      <c r="A446" s="1">
        <f>HYPERLINK("https://lsnyc.legalserver.org/matter/dynamic-profile/view/1840271","17-1840271")</f>
        <v>0</v>
      </c>
      <c r="B446" t="s">
        <v>61</v>
      </c>
      <c r="C446" t="s">
        <v>105</v>
      </c>
      <c r="D446" t="s">
        <v>258</v>
      </c>
      <c r="F446" t="s">
        <v>733</v>
      </c>
      <c r="G446" t="s">
        <v>1768</v>
      </c>
      <c r="H446" t="s">
        <v>2741</v>
      </c>
      <c r="I446">
        <v>22</v>
      </c>
      <c r="J446" t="s">
        <v>3604</v>
      </c>
      <c r="K446">
        <v>10034</v>
      </c>
      <c r="L446" t="s">
        <v>3610</v>
      </c>
      <c r="M446" t="s">
        <v>3609</v>
      </c>
      <c r="O446" t="s">
        <v>4213</v>
      </c>
      <c r="P446" t="s">
        <v>4245</v>
      </c>
      <c r="R446" t="s">
        <v>4258</v>
      </c>
      <c r="S446" t="s">
        <v>3611</v>
      </c>
      <c r="U446" t="s">
        <v>4268</v>
      </c>
      <c r="W446" t="s">
        <v>133</v>
      </c>
      <c r="X446">
        <v>828.99</v>
      </c>
      <c r="Y446" t="s">
        <v>4351</v>
      </c>
      <c r="Z446" t="s">
        <v>4354</v>
      </c>
      <c r="AB446" t="s">
        <v>4761</v>
      </c>
      <c r="AD446" t="s">
        <v>6157</v>
      </c>
      <c r="AE446">
        <v>25</v>
      </c>
      <c r="AF446" t="s">
        <v>7101</v>
      </c>
      <c r="AG446" t="s">
        <v>7118</v>
      </c>
      <c r="AH446">
        <v>35</v>
      </c>
      <c r="AI446">
        <v>1</v>
      </c>
      <c r="AJ446">
        <v>0</v>
      </c>
      <c r="AK446">
        <v>73.03</v>
      </c>
      <c r="AN446" t="s">
        <v>7138</v>
      </c>
      <c r="AO446">
        <v>8808</v>
      </c>
      <c r="AU446">
        <v>1.5</v>
      </c>
      <c r="AV446" t="s">
        <v>410</v>
      </c>
      <c r="AW446" t="s">
        <v>7342</v>
      </c>
    </row>
    <row r="447" spans="1:50">
      <c r="A447" s="1">
        <f>HYPERLINK("https://lsnyc.legalserver.org/matter/dynamic-profile/view/1881281","18-1881281")</f>
        <v>0</v>
      </c>
      <c r="B447" t="s">
        <v>53</v>
      </c>
      <c r="C447" t="s">
        <v>105</v>
      </c>
      <c r="D447" t="s">
        <v>306</v>
      </c>
      <c r="F447" t="s">
        <v>982</v>
      </c>
      <c r="G447" t="s">
        <v>1861</v>
      </c>
      <c r="H447" t="s">
        <v>2729</v>
      </c>
      <c r="I447">
        <v>2</v>
      </c>
      <c r="J447" t="s">
        <v>3604</v>
      </c>
      <c r="K447">
        <v>10039</v>
      </c>
      <c r="L447" t="s">
        <v>3610</v>
      </c>
      <c r="M447" t="s">
        <v>3610</v>
      </c>
      <c r="N447" t="s">
        <v>3767</v>
      </c>
      <c r="O447" t="s">
        <v>4213</v>
      </c>
      <c r="P447" t="s">
        <v>4241</v>
      </c>
      <c r="R447" t="s">
        <v>4258</v>
      </c>
      <c r="S447" t="s">
        <v>3610</v>
      </c>
      <c r="U447" t="s">
        <v>4268</v>
      </c>
      <c r="V447" t="s">
        <v>4274</v>
      </c>
      <c r="W447" t="s">
        <v>348</v>
      </c>
      <c r="X447">
        <v>1222.79</v>
      </c>
      <c r="Y447" t="s">
        <v>4351</v>
      </c>
      <c r="Z447" t="s">
        <v>4354</v>
      </c>
      <c r="AB447" t="s">
        <v>4762</v>
      </c>
      <c r="AD447" t="s">
        <v>6158</v>
      </c>
      <c r="AE447">
        <v>24</v>
      </c>
      <c r="AF447" t="s">
        <v>7101</v>
      </c>
      <c r="AG447" t="s">
        <v>3745</v>
      </c>
      <c r="AH447">
        <v>15</v>
      </c>
      <c r="AI447">
        <v>1</v>
      </c>
      <c r="AJ447">
        <v>0</v>
      </c>
      <c r="AK447">
        <v>73.05</v>
      </c>
      <c r="AN447" t="s">
        <v>7138</v>
      </c>
      <c r="AO447">
        <v>8868</v>
      </c>
      <c r="AU447">
        <v>0</v>
      </c>
      <c r="AW447" t="s">
        <v>7341</v>
      </c>
    </row>
    <row r="448" spans="1:50">
      <c r="A448" s="1">
        <f>HYPERLINK("https://lsnyc.legalserver.org/matter/dynamic-profile/view/0831514","17-0831514")</f>
        <v>0</v>
      </c>
      <c r="B448" t="s">
        <v>64</v>
      </c>
      <c r="C448" t="s">
        <v>105</v>
      </c>
      <c r="D448" t="s">
        <v>327</v>
      </c>
      <c r="F448" t="s">
        <v>965</v>
      </c>
      <c r="G448" t="s">
        <v>1862</v>
      </c>
      <c r="H448" t="s">
        <v>2576</v>
      </c>
      <c r="I448" t="s">
        <v>3293</v>
      </c>
      <c r="J448" t="s">
        <v>3604</v>
      </c>
      <c r="K448">
        <v>10040</v>
      </c>
      <c r="L448" t="s">
        <v>3610</v>
      </c>
      <c r="M448" t="s">
        <v>3609</v>
      </c>
      <c r="O448" t="s">
        <v>4211</v>
      </c>
      <c r="P448" t="s">
        <v>4244</v>
      </c>
      <c r="R448" t="s">
        <v>4258</v>
      </c>
      <c r="S448" t="s">
        <v>3610</v>
      </c>
      <c r="U448" t="s">
        <v>4268</v>
      </c>
      <c r="W448" t="s">
        <v>4301</v>
      </c>
      <c r="X448">
        <v>1166.71</v>
      </c>
      <c r="Y448" t="s">
        <v>4351</v>
      </c>
      <c r="Z448" t="s">
        <v>4361</v>
      </c>
      <c r="AB448" t="s">
        <v>4763</v>
      </c>
      <c r="AD448" t="s">
        <v>6159</v>
      </c>
      <c r="AE448">
        <v>83</v>
      </c>
      <c r="AF448" t="s">
        <v>7101</v>
      </c>
      <c r="AG448" t="s">
        <v>7116</v>
      </c>
      <c r="AH448">
        <v>22</v>
      </c>
      <c r="AI448">
        <v>1</v>
      </c>
      <c r="AJ448">
        <v>0</v>
      </c>
      <c r="AK448">
        <v>73.13</v>
      </c>
      <c r="AL448" t="s">
        <v>518</v>
      </c>
      <c r="AN448" t="s">
        <v>7139</v>
      </c>
      <c r="AO448">
        <v>8820</v>
      </c>
      <c r="AU448">
        <v>0</v>
      </c>
      <c r="AW448" t="s">
        <v>7341</v>
      </c>
    </row>
    <row r="449" spans="1:50">
      <c r="A449" s="1">
        <f>HYPERLINK("https://lsnyc.legalserver.org/matter/dynamic-profile/view/1849320","17-1849320")</f>
        <v>0</v>
      </c>
      <c r="B449" t="s">
        <v>61</v>
      </c>
      <c r="C449" t="s">
        <v>105</v>
      </c>
      <c r="D449" t="s">
        <v>384</v>
      </c>
      <c r="F449" t="s">
        <v>983</v>
      </c>
      <c r="G449" t="s">
        <v>1863</v>
      </c>
      <c r="H449" t="s">
        <v>2742</v>
      </c>
      <c r="I449" t="s">
        <v>3285</v>
      </c>
      <c r="J449" t="s">
        <v>3604</v>
      </c>
      <c r="K449">
        <v>10035</v>
      </c>
      <c r="L449" t="s">
        <v>3610</v>
      </c>
      <c r="M449" t="s">
        <v>3610</v>
      </c>
      <c r="N449" t="s">
        <v>3782</v>
      </c>
      <c r="O449" t="s">
        <v>4214</v>
      </c>
      <c r="P449" t="s">
        <v>4241</v>
      </c>
      <c r="R449" t="s">
        <v>4258</v>
      </c>
      <c r="S449" t="s">
        <v>3611</v>
      </c>
      <c r="U449" t="s">
        <v>4268</v>
      </c>
      <c r="W449" t="s">
        <v>384</v>
      </c>
      <c r="X449">
        <v>1000</v>
      </c>
      <c r="Y449" t="s">
        <v>4351</v>
      </c>
      <c r="Z449" t="s">
        <v>4357</v>
      </c>
      <c r="AB449" t="s">
        <v>4764</v>
      </c>
      <c r="AD449" t="s">
        <v>6160</v>
      </c>
      <c r="AE449">
        <v>7</v>
      </c>
      <c r="AF449" t="s">
        <v>7101</v>
      </c>
      <c r="AG449" t="s">
        <v>3745</v>
      </c>
      <c r="AH449">
        <v>8</v>
      </c>
      <c r="AI449">
        <v>1</v>
      </c>
      <c r="AJ449">
        <v>0</v>
      </c>
      <c r="AK449">
        <v>73.13</v>
      </c>
      <c r="AN449" t="s">
        <v>7138</v>
      </c>
      <c r="AO449">
        <v>8820</v>
      </c>
      <c r="AU449">
        <v>24.1</v>
      </c>
      <c r="AV449" t="s">
        <v>7284</v>
      </c>
      <c r="AW449" t="s">
        <v>7360</v>
      </c>
    </row>
    <row r="450" spans="1:50">
      <c r="A450" s="1">
        <f>HYPERLINK("https://lsnyc.legalserver.org/matter/dynamic-profile/view/1853782","17-1853782")</f>
        <v>0</v>
      </c>
      <c r="B450" t="s">
        <v>63</v>
      </c>
      <c r="C450" t="s">
        <v>104</v>
      </c>
      <c r="D450" t="s">
        <v>269</v>
      </c>
      <c r="E450" t="s">
        <v>269</v>
      </c>
      <c r="F450" t="s">
        <v>984</v>
      </c>
      <c r="G450" t="s">
        <v>1864</v>
      </c>
      <c r="H450" t="s">
        <v>2695</v>
      </c>
      <c r="I450" t="s">
        <v>3405</v>
      </c>
      <c r="J450" t="s">
        <v>3604</v>
      </c>
      <c r="K450">
        <v>10034</v>
      </c>
      <c r="L450" t="s">
        <v>3610</v>
      </c>
      <c r="M450" t="s">
        <v>3609</v>
      </c>
      <c r="O450" t="s">
        <v>4213</v>
      </c>
      <c r="P450" t="s">
        <v>4245</v>
      </c>
      <c r="Q450" t="s">
        <v>4249</v>
      </c>
      <c r="R450" t="s">
        <v>4258</v>
      </c>
      <c r="S450" t="s">
        <v>3611</v>
      </c>
      <c r="U450" t="s">
        <v>4268</v>
      </c>
      <c r="W450" t="s">
        <v>269</v>
      </c>
      <c r="X450">
        <v>0</v>
      </c>
      <c r="Y450" t="s">
        <v>4351</v>
      </c>
      <c r="Z450" t="s">
        <v>4354</v>
      </c>
      <c r="AA450" t="s">
        <v>4373</v>
      </c>
      <c r="AB450" t="s">
        <v>4765</v>
      </c>
      <c r="AD450" t="s">
        <v>6161</v>
      </c>
      <c r="AE450">
        <v>0</v>
      </c>
      <c r="AF450" t="s">
        <v>7101</v>
      </c>
      <c r="AG450" t="s">
        <v>3745</v>
      </c>
      <c r="AH450">
        <v>0</v>
      </c>
      <c r="AI450">
        <v>1</v>
      </c>
      <c r="AJ450">
        <v>0</v>
      </c>
      <c r="AK450">
        <v>73.13</v>
      </c>
      <c r="AN450" t="s">
        <v>7139</v>
      </c>
      <c r="AO450">
        <v>8820</v>
      </c>
      <c r="AU450">
        <v>1.1</v>
      </c>
      <c r="AV450" t="s">
        <v>269</v>
      </c>
      <c r="AW450" t="s">
        <v>63</v>
      </c>
    </row>
    <row r="451" spans="1:50">
      <c r="A451" s="1">
        <f>HYPERLINK("https://lsnyc.legalserver.org/matter/dynamic-profile/view/1880546","18-1880546")</f>
        <v>0</v>
      </c>
      <c r="B451" t="s">
        <v>61</v>
      </c>
      <c r="C451" t="s">
        <v>105</v>
      </c>
      <c r="D451" t="s">
        <v>385</v>
      </c>
      <c r="F451" t="s">
        <v>985</v>
      </c>
      <c r="G451" t="s">
        <v>1594</v>
      </c>
      <c r="H451" t="s">
        <v>2743</v>
      </c>
      <c r="I451">
        <v>33</v>
      </c>
      <c r="J451" t="s">
        <v>3604</v>
      </c>
      <c r="K451">
        <v>10034</v>
      </c>
      <c r="L451" t="s">
        <v>3610</v>
      </c>
      <c r="M451" t="s">
        <v>3610</v>
      </c>
      <c r="O451" t="s">
        <v>4221</v>
      </c>
      <c r="P451" t="s">
        <v>4244</v>
      </c>
      <c r="R451" t="s">
        <v>4258</v>
      </c>
      <c r="S451" t="s">
        <v>3611</v>
      </c>
      <c r="U451" t="s">
        <v>4268</v>
      </c>
      <c r="W451" t="s">
        <v>385</v>
      </c>
      <c r="X451">
        <v>1287</v>
      </c>
      <c r="Y451" t="s">
        <v>4351</v>
      </c>
      <c r="Z451" t="s">
        <v>4354</v>
      </c>
      <c r="AB451" t="s">
        <v>4766</v>
      </c>
      <c r="AC451" t="s">
        <v>5815</v>
      </c>
      <c r="AD451" t="s">
        <v>6162</v>
      </c>
      <c r="AE451">
        <v>57</v>
      </c>
      <c r="AF451" t="s">
        <v>7101</v>
      </c>
      <c r="AG451" t="s">
        <v>3745</v>
      </c>
      <c r="AH451">
        <v>4</v>
      </c>
      <c r="AI451">
        <v>2</v>
      </c>
      <c r="AJ451">
        <v>2</v>
      </c>
      <c r="AK451">
        <v>73.13</v>
      </c>
      <c r="AN451" t="s">
        <v>7139</v>
      </c>
      <c r="AO451">
        <v>18356</v>
      </c>
      <c r="AU451">
        <v>4.5</v>
      </c>
      <c r="AV451" t="s">
        <v>385</v>
      </c>
      <c r="AW451" t="s">
        <v>7342</v>
      </c>
      <c r="AX451" t="s">
        <v>7377</v>
      </c>
    </row>
    <row r="452" spans="1:50">
      <c r="A452" s="1">
        <f>HYPERLINK("https://lsnyc.legalserver.org/matter/dynamic-profile/view/1850896","17-1850896")</f>
        <v>0</v>
      </c>
      <c r="B452" t="s">
        <v>53</v>
      </c>
      <c r="C452" t="s">
        <v>104</v>
      </c>
      <c r="D452" t="s">
        <v>222</v>
      </c>
      <c r="E452" t="s">
        <v>260</v>
      </c>
      <c r="F452" t="s">
        <v>833</v>
      </c>
      <c r="G452" t="s">
        <v>1577</v>
      </c>
      <c r="H452" t="s">
        <v>2740</v>
      </c>
      <c r="I452" t="s">
        <v>3282</v>
      </c>
      <c r="J452" t="s">
        <v>3604</v>
      </c>
      <c r="K452">
        <v>10034</v>
      </c>
      <c r="L452" t="s">
        <v>3610</v>
      </c>
      <c r="M452" t="s">
        <v>3609</v>
      </c>
      <c r="N452" t="s">
        <v>3783</v>
      </c>
      <c r="O452" t="s">
        <v>4209</v>
      </c>
      <c r="P452" t="s">
        <v>4241</v>
      </c>
      <c r="Q452" t="s">
        <v>4248</v>
      </c>
      <c r="R452" t="s">
        <v>4258</v>
      </c>
      <c r="S452" t="s">
        <v>3611</v>
      </c>
      <c r="U452" t="s">
        <v>4268</v>
      </c>
      <c r="W452" t="s">
        <v>222</v>
      </c>
      <c r="X452">
        <v>810.92</v>
      </c>
      <c r="Y452" t="s">
        <v>4351</v>
      </c>
      <c r="Z452" t="s">
        <v>4354</v>
      </c>
      <c r="AA452" t="s">
        <v>4374</v>
      </c>
      <c r="AB452" t="s">
        <v>4755</v>
      </c>
      <c r="AD452" t="s">
        <v>6153</v>
      </c>
      <c r="AE452">
        <v>40</v>
      </c>
      <c r="AF452" t="s">
        <v>7101</v>
      </c>
      <c r="AG452" t="s">
        <v>7116</v>
      </c>
      <c r="AH452">
        <v>37</v>
      </c>
      <c r="AI452">
        <v>1</v>
      </c>
      <c r="AJ452">
        <v>0</v>
      </c>
      <c r="AK452">
        <v>73.13</v>
      </c>
      <c r="AN452" t="s">
        <v>7139</v>
      </c>
      <c r="AO452">
        <v>8820</v>
      </c>
      <c r="AU452">
        <v>11.68</v>
      </c>
      <c r="AV452" t="s">
        <v>528</v>
      </c>
      <c r="AW452" t="s">
        <v>7342</v>
      </c>
    </row>
    <row r="453" spans="1:50">
      <c r="A453" s="1">
        <f>HYPERLINK("https://lsnyc.legalserver.org/matter/dynamic-profile/view/1844116","17-1844116")</f>
        <v>0</v>
      </c>
      <c r="B453" t="s">
        <v>64</v>
      </c>
      <c r="C453" t="s">
        <v>105</v>
      </c>
      <c r="D453" t="s">
        <v>200</v>
      </c>
      <c r="F453" t="s">
        <v>986</v>
      </c>
      <c r="G453" t="s">
        <v>1656</v>
      </c>
      <c r="H453" t="s">
        <v>2744</v>
      </c>
      <c r="J453" t="s">
        <v>3604</v>
      </c>
      <c r="K453">
        <v>10032</v>
      </c>
      <c r="L453" t="s">
        <v>3610</v>
      </c>
      <c r="M453" t="s">
        <v>3609</v>
      </c>
      <c r="N453" t="s">
        <v>3784</v>
      </c>
      <c r="O453" t="s">
        <v>4211</v>
      </c>
      <c r="P453" t="s">
        <v>4244</v>
      </c>
      <c r="R453" t="s">
        <v>4258</v>
      </c>
      <c r="S453" t="s">
        <v>3611</v>
      </c>
      <c r="U453" t="s">
        <v>4268</v>
      </c>
      <c r="W453" t="s">
        <v>200</v>
      </c>
      <c r="X453">
        <v>531</v>
      </c>
      <c r="Y453" t="s">
        <v>4351</v>
      </c>
      <c r="Z453" t="s">
        <v>4357</v>
      </c>
      <c r="AB453" t="s">
        <v>4767</v>
      </c>
      <c r="AD453" t="s">
        <v>6163</v>
      </c>
      <c r="AE453">
        <v>32</v>
      </c>
      <c r="AF453" t="s">
        <v>7101</v>
      </c>
      <c r="AG453" t="s">
        <v>3745</v>
      </c>
      <c r="AH453">
        <v>0</v>
      </c>
      <c r="AI453">
        <v>1</v>
      </c>
      <c r="AJ453">
        <v>0</v>
      </c>
      <c r="AK453">
        <v>73.13</v>
      </c>
      <c r="AL453" t="s">
        <v>383</v>
      </c>
      <c r="AN453" t="s">
        <v>7138</v>
      </c>
      <c r="AO453">
        <v>8820</v>
      </c>
      <c r="AU453">
        <v>68.34999999999999</v>
      </c>
      <c r="AV453" t="s">
        <v>477</v>
      </c>
      <c r="AW453" t="s">
        <v>7342</v>
      </c>
    </row>
    <row r="454" spans="1:50">
      <c r="A454" s="1">
        <f>HYPERLINK("https://lsnyc.legalserver.org/matter/dynamic-profile/view/1893493","19-1893493")</f>
        <v>0</v>
      </c>
      <c r="B454" t="s">
        <v>52</v>
      </c>
      <c r="C454" t="s">
        <v>104</v>
      </c>
      <c r="D454" t="s">
        <v>352</v>
      </c>
      <c r="E454" t="s">
        <v>196</v>
      </c>
      <c r="F454" t="s">
        <v>987</v>
      </c>
      <c r="G454" t="s">
        <v>1865</v>
      </c>
      <c r="H454" t="s">
        <v>2745</v>
      </c>
      <c r="I454">
        <v>33</v>
      </c>
      <c r="J454" t="s">
        <v>3604</v>
      </c>
      <c r="K454">
        <v>10033</v>
      </c>
      <c r="L454" t="s">
        <v>3610</v>
      </c>
      <c r="M454" t="s">
        <v>3610</v>
      </c>
      <c r="N454" t="s">
        <v>3785</v>
      </c>
      <c r="O454" t="s">
        <v>4210</v>
      </c>
      <c r="P454" t="s">
        <v>4242</v>
      </c>
      <c r="Q454" t="s">
        <v>4250</v>
      </c>
      <c r="R454" t="s">
        <v>4258</v>
      </c>
      <c r="S454" t="s">
        <v>3611</v>
      </c>
      <c r="U454" t="s">
        <v>4268</v>
      </c>
      <c r="V454" t="s">
        <v>4274</v>
      </c>
      <c r="W454" t="s">
        <v>352</v>
      </c>
      <c r="X454">
        <v>1500</v>
      </c>
      <c r="Y454" t="s">
        <v>4351</v>
      </c>
      <c r="Z454" t="s">
        <v>4354</v>
      </c>
      <c r="AA454" t="s">
        <v>4373</v>
      </c>
      <c r="AB454" t="s">
        <v>4768</v>
      </c>
      <c r="AD454" t="s">
        <v>6164</v>
      </c>
      <c r="AE454">
        <v>20</v>
      </c>
      <c r="AF454" t="s">
        <v>7101</v>
      </c>
      <c r="AG454" t="s">
        <v>7116</v>
      </c>
      <c r="AH454">
        <v>14</v>
      </c>
      <c r="AI454">
        <v>1</v>
      </c>
      <c r="AJ454">
        <v>0</v>
      </c>
      <c r="AK454">
        <v>73.31</v>
      </c>
      <c r="AN454" t="s">
        <v>7139</v>
      </c>
      <c r="AO454">
        <v>9156</v>
      </c>
      <c r="AU454">
        <v>5.6</v>
      </c>
      <c r="AV454" t="s">
        <v>540</v>
      </c>
      <c r="AW454" t="s">
        <v>7342</v>
      </c>
      <c r="AX454" t="s">
        <v>7377</v>
      </c>
    </row>
    <row r="455" spans="1:50">
      <c r="A455" s="1">
        <f>HYPERLINK("https://lsnyc.legalserver.org/matter/dynamic-profile/view/1853494","17-1853494")</f>
        <v>0</v>
      </c>
      <c r="B455" t="s">
        <v>62</v>
      </c>
      <c r="C455" t="s">
        <v>105</v>
      </c>
      <c r="D455" t="s">
        <v>386</v>
      </c>
      <c r="F455" t="s">
        <v>988</v>
      </c>
      <c r="G455" t="s">
        <v>1866</v>
      </c>
      <c r="H455" t="s">
        <v>2746</v>
      </c>
      <c r="I455">
        <v>21</v>
      </c>
      <c r="J455" t="s">
        <v>3604</v>
      </c>
      <c r="K455">
        <v>10034</v>
      </c>
      <c r="L455" t="s">
        <v>3610</v>
      </c>
      <c r="M455" t="s">
        <v>3609</v>
      </c>
      <c r="N455" t="s">
        <v>3786</v>
      </c>
      <c r="O455" t="s">
        <v>4210</v>
      </c>
      <c r="P455" t="s">
        <v>4241</v>
      </c>
      <c r="R455" t="s">
        <v>4258</v>
      </c>
      <c r="S455" t="s">
        <v>3611</v>
      </c>
      <c r="U455" t="s">
        <v>4268</v>
      </c>
      <c r="W455" t="s">
        <v>386</v>
      </c>
      <c r="X455">
        <v>940</v>
      </c>
      <c r="Y455" t="s">
        <v>4351</v>
      </c>
      <c r="Z455" t="s">
        <v>4354</v>
      </c>
      <c r="AB455" t="s">
        <v>4769</v>
      </c>
      <c r="AE455">
        <v>25</v>
      </c>
      <c r="AF455" t="s">
        <v>7101</v>
      </c>
      <c r="AG455" t="s">
        <v>3745</v>
      </c>
      <c r="AH455">
        <v>45</v>
      </c>
      <c r="AI455">
        <v>3</v>
      </c>
      <c r="AJ455">
        <v>0</v>
      </c>
      <c r="AK455">
        <v>73.45999999999999</v>
      </c>
      <c r="AN455" t="s">
        <v>7138</v>
      </c>
      <c r="AO455">
        <v>15000</v>
      </c>
      <c r="AP455" t="s">
        <v>7156</v>
      </c>
      <c r="AU455">
        <v>184.65</v>
      </c>
      <c r="AV455" t="s">
        <v>676</v>
      </c>
      <c r="AW455" t="s">
        <v>7342</v>
      </c>
    </row>
    <row r="456" spans="1:50">
      <c r="A456" s="1">
        <f>HYPERLINK("https://lsnyc.legalserver.org/matter/dynamic-profile/view/1868030","18-1868030")</f>
        <v>0</v>
      </c>
      <c r="B456" t="s">
        <v>52</v>
      </c>
      <c r="C456" t="s">
        <v>104</v>
      </c>
      <c r="D456" t="s">
        <v>224</v>
      </c>
      <c r="E456" t="s">
        <v>214</v>
      </c>
      <c r="F456" t="s">
        <v>960</v>
      </c>
      <c r="G456" t="s">
        <v>1840</v>
      </c>
      <c r="H456" t="s">
        <v>2721</v>
      </c>
      <c r="I456">
        <v>20</v>
      </c>
      <c r="J456" t="s">
        <v>3604</v>
      </c>
      <c r="K456">
        <v>10029</v>
      </c>
      <c r="L456" t="s">
        <v>3610</v>
      </c>
      <c r="M456" t="s">
        <v>3610</v>
      </c>
      <c r="N456" t="s">
        <v>3787</v>
      </c>
      <c r="O456" t="s">
        <v>4209</v>
      </c>
      <c r="P456" t="s">
        <v>4241</v>
      </c>
      <c r="Q456" t="s">
        <v>4248</v>
      </c>
      <c r="R456" t="s">
        <v>4258</v>
      </c>
      <c r="S456" t="s">
        <v>3611</v>
      </c>
      <c r="U456" t="s">
        <v>4268</v>
      </c>
      <c r="W456" t="s">
        <v>224</v>
      </c>
      <c r="X456">
        <v>812.49</v>
      </c>
      <c r="Y456" t="s">
        <v>4351</v>
      </c>
      <c r="Z456" t="s">
        <v>4357</v>
      </c>
      <c r="AA456" t="s">
        <v>4374</v>
      </c>
      <c r="AB456" t="s">
        <v>4723</v>
      </c>
      <c r="AD456" t="s">
        <v>6124</v>
      </c>
      <c r="AE456">
        <v>0</v>
      </c>
      <c r="AF456" t="s">
        <v>7104</v>
      </c>
      <c r="AG456" t="s">
        <v>7118</v>
      </c>
      <c r="AH456">
        <v>37</v>
      </c>
      <c r="AI456">
        <v>3</v>
      </c>
      <c r="AJ456">
        <v>2</v>
      </c>
      <c r="AK456">
        <v>73.58</v>
      </c>
      <c r="AN456" t="s">
        <v>7139</v>
      </c>
      <c r="AO456">
        <v>21648</v>
      </c>
      <c r="AU456">
        <v>35.8</v>
      </c>
      <c r="AV456" t="s">
        <v>7298</v>
      </c>
      <c r="AW456" t="s">
        <v>7341</v>
      </c>
    </row>
    <row r="457" spans="1:50">
      <c r="A457" s="1">
        <f>HYPERLINK("https://lsnyc.legalserver.org/matter/dynamic-profile/view/1888339","19-1888339")</f>
        <v>0</v>
      </c>
      <c r="B457" t="s">
        <v>53</v>
      </c>
      <c r="C457" t="s">
        <v>104</v>
      </c>
      <c r="D457" t="s">
        <v>387</v>
      </c>
      <c r="E457" t="s">
        <v>667</v>
      </c>
      <c r="F457" t="s">
        <v>977</v>
      </c>
      <c r="G457" t="s">
        <v>1867</v>
      </c>
      <c r="H457" t="s">
        <v>2611</v>
      </c>
      <c r="I457" t="s">
        <v>3315</v>
      </c>
      <c r="J457" t="s">
        <v>3604</v>
      </c>
      <c r="K457">
        <v>10035</v>
      </c>
      <c r="L457" t="s">
        <v>3610</v>
      </c>
      <c r="M457" t="s">
        <v>3610</v>
      </c>
      <c r="O457" t="s">
        <v>4211</v>
      </c>
      <c r="P457" t="s">
        <v>4242</v>
      </c>
      <c r="Q457" t="s">
        <v>4250</v>
      </c>
      <c r="R457" t="s">
        <v>4258</v>
      </c>
      <c r="S457" t="s">
        <v>3610</v>
      </c>
      <c r="U457" t="s">
        <v>4268</v>
      </c>
      <c r="V457" t="s">
        <v>4274</v>
      </c>
      <c r="W457" t="s">
        <v>387</v>
      </c>
      <c r="X457">
        <v>1552</v>
      </c>
      <c r="Y457" t="s">
        <v>4351</v>
      </c>
      <c r="Z457" t="s">
        <v>4358</v>
      </c>
      <c r="AA457" t="s">
        <v>4373</v>
      </c>
      <c r="AB457" t="s">
        <v>4770</v>
      </c>
      <c r="AD457" t="s">
        <v>6165</v>
      </c>
      <c r="AE457">
        <v>9</v>
      </c>
      <c r="AF457" t="s">
        <v>7101</v>
      </c>
      <c r="AG457" t="s">
        <v>7116</v>
      </c>
      <c r="AH457">
        <v>20</v>
      </c>
      <c r="AI457">
        <v>2</v>
      </c>
      <c r="AJ457">
        <v>0</v>
      </c>
      <c r="AK457">
        <v>73.69</v>
      </c>
      <c r="AN457" t="s">
        <v>7138</v>
      </c>
      <c r="AO457">
        <v>12129</v>
      </c>
      <c r="AU457">
        <v>1</v>
      </c>
      <c r="AV457" t="s">
        <v>387</v>
      </c>
      <c r="AW457" t="s">
        <v>7341</v>
      </c>
    </row>
    <row r="458" spans="1:50">
      <c r="A458" s="1">
        <f>HYPERLINK("https://lsnyc.legalserver.org/matter/dynamic-profile/view/1850821","17-1850821")</f>
        <v>0</v>
      </c>
      <c r="B458" t="s">
        <v>67</v>
      </c>
      <c r="C458" t="s">
        <v>104</v>
      </c>
      <c r="D458" t="s">
        <v>388</v>
      </c>
      <c r="E458" t="s">
        <v>209</v>
      </c>
      <c r="F458" t="s">
        <v>989</v>
      </c>
      <c r="G458" t="s">
        <v>1868</v>
      </c>
      <c r="H458" t="s">
        <v>2747</v>
      </c>
      <c r="I458" t="s">
        <v>3348</v>
      </c>
      <c r="J458" t="s">
        <v>3604</v>
      </c>
      <c r="K458">
        <v>10035</v>
      </c>
      <c r="L458" t="s">
        <v>3610</v>
      </c>
      <c r="M458" t="s">
        <v>3610</v>
      </c>
      <c r="N458" t="s">
        <v>3788</v>
      </c>
      <c r="O458" t="s">
        <v>4209</v>
      </c>
      <c r="P458" t="s">
        <v>4241</v>
      </c>
      <c r="Q458" t="s">
        <v>4248</v>
      </c>
      <c r="R458" t="s">
        <v>4258</v>
      </c>
      <c r="S458" t="s">
        <v>3611</v>
      </c>
      <c r="U458" t="s">
        <v>4268</v>
      </c>
      <c r="V458" t="s">
        <v>4274</v>
      </c>
      <c r="W458" t="s">
        <v>388</v>
      </c>
      <c r="X458">
        <v>533.53</v>
      </c>
      <c r="Y458" t="s">
        <v>4351</v>
      </c>
      <c r="Z458" t="s">
        <v>4354</v>
      </c>
      <c r="AA458" t="s">
        <v>4374</v>
      </c>
      <c r="AB458" t="s">
        <v>4771</v>
      </c>
      <c r="AD458" t="s">
        <v>6166</v>
      </c>
      <c r="AE458">
        <v>20</v>
      </c>
      <c r="AF458" t="s">
        <v>7101</v>
      </c>
      <c r="AG458" t="s">
        <v>3745</v>
      </c>
      <c r="AH458">
        <v>40</v>
      </c>
      <c r="AI458">
        <v>1</v>
      </c>
      <c r="AJ458">
        <v>0</v>
      </c>
      <c r="AK458">
        <v>73.83</v>
      </c>
      <c r="AL458" t="s">
        <v>610</v>
      </c>
      <c r="AN458" t="s">
        <v>7138</v>
      </c>
      <c r="AO458">
        <v>8904</v>
      </c>
      <c r="AU458">
        <v>51.5</v>
      </c>
      <c r="AV458" t="s">
        <v>413</v>
      </c>
      <c r="AW458" t="s">
        <v>7341</v>
      </c>
    </row>
    <row r="459" spans="1:50">
      <c r="A459" s="1">
        <f>HYPERLINK("https://lsnyc.legalserver.org/matter/dynamic-profile/view/1840379","17-1840379")</f>
        <v>0</v>
      </c>
      <c r="B459" t="s">
        <v>63</v>
      </c>
      <c r="C459" t="s">
        <v>104</v>
      </c>
      <c r="D459" t="s">
        <v>297</v>
      </c>
      <c r="E459" t="s">
        <v>561</v>
      </c>
      <c r="F459" t="s">
        <v>990</v>
      </c>
      <c r="G459" t="s">
        <v>1869</v>
      </c>
      <c r="H459" t="s">
        <v>2647</v>
      </c>
      <c r="I459">
        <v>31</v>
      </c>
      <c r="J459" t="s">
        <v>3604</v>
      </c>
      <c r="K459">
        <v>10033</v>
      </c>
      <c r="L459" t="s">
        <v>3610</v>
      </c>
      <c r="M459" t="s">
        <v>3609</v>
      </c>
      <c r="N459" t="s">
        <v>3736</v>
      </c>
      <c r="O459" t="s">
        <v>4225</v>
      </c>
      <c r="P459" t="s">
        <v>4241</v>
      </c>
      <c r="Q459" t="s">
        <v>4248</v>
      </c>
      <c r="R459" t="s">
        <v>4258</v>
      </c>
      <c r="S459" t="s">
        <v>3610</v>
      </c>
      <c r="U459" t="s">
        <v>4268</v>
      </c>
      <c r="W459" t="s">
        <v>133</v>
      </c>
      <c r="X459">
        <v>935.55</v>
      </c>
      <c r="Y459" t="s">
        <v>4351</v>
      </c>
      <c r="Z459" t="s">
        <v>4354</v>
      </c>
      <c r="AA459" t="s">
        <v>4378</v>
      </c>
      <c r="AB459" t="s">
        <v>4772</v>
      </c>
      <c r="AD459" t="s">
        <v>6167</v>
      </c>
      <c r="AE459">
        <v>33</v>
      </c>
      <c r="AF459" t="s">
        <v>7101</v>
      </c>
      <c r="AG459" t="s">
        <v>7118</v>
      </c>
      <c r="AH459">
        <v>42</v>
      </c>
      <c r="AI459">
        <v>1</v>
      </c>
      <c r="AJ459">
        <v>0</v>
      </c>
      <c r="AK459">
        <v>73.83</v>
      </c>
      <c r="AL459" t="s">
        <v>7124</v>
      </c>
      <c r="AN459" t="s">
        <v>7139</v>
      </c>
      <c r="AO459">
        <v>8904</v>
      </c>
      <c r="AU459">
        <v>0.53</v>
      </c>
      <c r="AV459" t="s">
        <v>152</v>
      </c>
      <c r="AW459" t="s">
        <v>7342</v>
      </c>
    </row>
    <row r="460" spans="1:50">
      <c r="A460" s="1">
        <f>HYPERLINK("https://lsnyc.legalserver.org/matter/dynamic-profile/view/0830058","17-0830058")</f>
        <v>0</v>
      </c>
      <c r="B460" t="s">
        <v>55</v>
      </c>
      <c r="C460" t="s">
        <v>104</v>
      </c>
      <c r="D460" t="s">
        <v>389</v>
      </c>
      <c r="E460" t="s">
        <v>129</v>
      </c>
      <c r="F460" t="s">
        <v>991</v>
      </c>
      <c r="G460" t="s">
        <v>1737</v>
      </c>
      <c r="H460" t="s">
        <v>2570</v>
      </c>
      <c r="I460" t="s">
        <v>3406</v>
      </c>
      <c r="J460" t="s">
        <v>3604</v>
      </c>
      <c r="K460">
        <v>10029</v>
      </c>
      <c r="L460" t="s">
        <v>3611</v>
      </c>
      <c r="M460" t="s">
        <v>3610</v>
      </c>
      <c r="N460" t="s">
        <v>3789</v>
      </c>
      <c r="O460" t="s">
        <v>4210</v>
      </c>
      <c r="P460" t="s">
        <v>4241</v>
      </c>
      <c r="Q460" t="s">
        <v>4248</v>
      </c>
      <c r="R460" t="s">
        <v>4258</v>
      </c>
      <c r="S460" t="s">
        <v>3611</v>
      </c>
      <c r="U460" t="s">
        <v>4268</v>
      </c>
      <c r="V460" t="s">
        <v>4274</v>
      </c>
      <c r="W460" t="s">
        <v>389</v>
      </c>
      <c r="X460">
        <v>890</v>
      </c>
      <c r="Y460" t="s">
        <v>4351</v>
      </c>
      <c r="Z460" t="s">
        <v>4353</v>
      </c>
      <c r="AA460" t="s">
        <v>4374</v>
      </c>
      <c r="AB460" t="s">
        <v>4773</v>
      </c>
      <c r="AD460" t="s">
        <v>6168</v>
      </c>
      <c r="AE460">
        <v>34</v>
      </c>
      <c r="AF460" t="s">
        <v>7101</v>
      </c>
      <c r="AG460" t="s">
        <v>7117</v>
      </c>
      <c r="AH460">
        <v>8</v>
      </c>
      <c r="AI460">
        <v>3</v>
      </c>
      <c r="AJ460">
        <v>1</v>
      </c>
      <c r="AK460">
        <v>73.84999999999999</v>
      </c>
      <c r="AN460" t="s">
        <v>7138</v>
      </c>
      <c r="AO460">
        <v>18168</v>
      </c>
      <c r="AQ460" t="s">
        <v>7198</v>
      </c>
      <c r="AR460" t="s">
        <v>7215</v>
      </c>
      <c r="AS460" t="s">
        <v>7232</v>
      </c>
      <c r="AT460" t="s">
        <v>7253</v>
      </c>
      <c r="AU460">
        <v>68.2</v>
      </c>
      <c r="AV460" t="s">
        <v>476</v>
      </c>
      <c r="AW460" t="s">
        <v>7364</v>
      </c>
    </row>
    <row r="461" spans="1:50">
      <c r="A461" s="1">
        <f>HYPERLINK("https://lsnyc.legalserver.org/matter/dynamic-profile/view/1888887","19-1888887")</f>
        <v>0</v>
      </c>
      <c r="B461" t="s">
        <v>68</v>
      </c>
      <c r="C461" t="s">
        <v>105</v>
      </c>
      <c r="D461" t="s">
        <v>341</v>
      </c>
      <c r="F461" t="s">
        <v>859</v>
      </c>
      <c r="G461" t="s">
        <v>1736</v>
      </c>
      <c r="H461" t="s">
        <v>2532</v>
      </c>
      <c r="I461">
        <v>602</v>
      </c>
      <c r="J461" t="s">
        <v>3604</v>
      </c>
      <c r="K461">
        <v>10029</v>
      </c>
      <c r="L461" t="s">
        <v>3610</v>
      </c>
      <c r="M461" t="s">
        <v>3610</v>
      </c>
      <c r="O461" t="s">
        <v>4211</v>
      </c>
      <c r="P461" t="s">
        <v>4244</v>
      </c>
      <c r="R461" t="s">
        <v>4258</v>
      </c>
      <c r="S461" t="s">
        <v>3611</v>
      </c>
      <c r="U461" t="s">
        <v>4268</v>
      </c>
      <c r="V461" t="s">
        <v>4274</v>
      </c>
      <c r="W461" t="s">
        <v>517</v>
      </c>
      <c r="X461">
        <v>505</v>
      </c>
      <c r="Y461" t="s">
        <v>4351</v>
      </c>
      <c r="Z461" t="s">
        <v>4357</v>
      </c>
      <c r="AB461" t="s">
        <v>4585</v>
      </c>
      <c r="AD461" t="s">
        <v>6007</v>
      </c>
      <c r="AE461">
        <v>40</v>
      </c>
      <c r="AF461" t="s">
        <v>7104</v>
      </c>
      <c r="AG461" t="s">
        <v>3745</v>
      </c>
      <c r="AH461">
        <v>8</v>
      </c>
      <c r="AI461">
        <v>1</v>
      </c>
      <c r="AJ461">
        <v>0</v>
      </c>
      <c r="AK461">
        <v>73.98</v>
      </c>
      <c r="AN461" t="s">
        <v>7139</v>
      </c>
      <c r="AO461">
        <v>9240</v>
      </c>
      <c r="AU461">
        <v>25.6</v>
      </c>
      <c r="AV461" t="s">
        <v>688</v>
      </c>
      <c r="AW461" t="s">
        <v>7357</v>
      </c>
    </row>
    <row r="462" spans="1:50">
      <c r="A462" s="1">
        <f>HYPERLINK("https://lsnyc.legalserver.org/matter/dynamic-profile/view/1900987","19-1900987")</f>
        <v>0</v>
      </c>
      <c r="B462" t="s">
        <v>64</v>
      </c>
      <c r="C462" t="s">
        <v>105</v>
      </c>
      <c r="D462" t="s">
        <v>150</v>
      </c>
      <c r="F462" t="s">
        <v>992</v>
      </c>
      <c r="G462" t="s">
        <v>1870</v>
      </c>
      <c r="H462" t="s">
        <v>2748</v>
      </c>
      <c r="I462" t="s">
        <v>3407</v>
      </c>
      <c r="J462" t="s">
        <v>3604</v>
      </c>
      <c r="K462">
        <v>10040</v>
      </c>
      <c r="L462" t="s">
        <v>3610</v>
      </c>
      <c r="M462" t="s">
        <v>3609</v>
      </c>
      <c r="N462" t="s">
        <v>3790</v>
      </c>
      <c r="O462" t="s">
        <v>4232</v>
      </c>
      <c r="P462" t="s">
        <v>4242</v>
      </c>
      <c r="R462" t="s">
        <v>4258</v>
      </c>
      <c r="S462" t="s">
        <v>3611</v>
      </c>
      <c r="U462" t="s">
        <v>4268</v>
      </c>
      <c r="W462" t="s">
        <v>150</v>
      </c>
      <c r="X462">
        <v>771</v>
      </c>
      <c r="Y462" t="s">
        <v>4351</v>
      </c>
      <c r="Z462" t="s">
        <v>4354</v>
      </c>
      <c r="AB462" t="s">
        <v>4774</v>
      </c>
      <c r="AD462" t="s">
        <v>6169</v>
      </c>
      <c r="AE462">
        <v>169</v>
      </c>
      <c r="AF462" t="s">
        <v>7102</v>
      </c>
      <c r="AG462" t="s">
        <v>3745</v>
      </c>
      <c r="AH462">
        <v>15</v>
      </c>
      <c r="AI462">
        <v>1</v>
      </c>
      <c r="AJ462">
        <v>0</v>
      </c>
      <c r="AK462">
        <v>74.08</v>
      </c>
      <c r="AN462" t="s">
        <v>7138</v>
      </c>
      <c r="AO462">
        <v>9252</v>
      </c>
      <c r="AU462">
        <v>1.8</v>
      </c>
      <c r="AV462" t="s">
        <v>661</v>
      </c>
      <c r="AW462" t="s">
        <v>7342</v>
      </c>
      <c r="AX462" t="s">
        <v>7377</v>
      </c>
    </row>
    <row r="463" spans="1:50">
      <c r="A463" s="1">
        <f>HYPERLINK("https://lsnyc.legalserver.org/matter/dynamic-profile/view/1896915","19-1896915")</f>
        <v>0</v>
      </c>
      <c r="B463" t="s">
        <v>68</v>
      </c>
      <c r="C463" t="s">
        <v>105</v>
      </c>
      <c r="D463" t="s">
        <v>390</v>
      </c>
      <c r="F463" t="s">
        <v>762</v>
      </c>
      <c r="G463" t="s">
        <v>1871</v>
      </c>
      <c r="H463" t="s">
        <v>2749</v>
      </c>
      <c r="I463" t="s">
        <v>3319</v>
      </c>
      <c r="J463" t="s">
        <v>3604</v>
      </c>
      <c r="K463">
        <v>10035</v>
      </c>
      <c r="L463" t="s">
        <v>3610</v>
      </c>
      <c r="M463" t="s">
        <v>3610</v>
      </c>
      <c r="N463" t="s">
        <v>3791</v>
      </c>
      <c r="O463" t="s">
        <v>4209</v>
      </c>
      <c r="P463" t="s">
        <v>4246</v>
      </c>
      <c r="R463" t="s">
        <v>4258</v>
      </c>
      <c r="S463" t="s">
        <v>3611</v>
      </c>
      <c r="U463" t="s">
        <v>4268</v>
      </c>
      <c r="V463" t="s">
        <v>4274</v>
      </c>
      <c r="W463" t="s">
        <v>4302</v>
      </c>
      <c r="X463">
        <v>1978</v>
      </c>
      <c r="Y463" t="s">
        <v>4351</v>
      </c>
      <c r="Z463" t="s">
        <v>4354</v>
      </c>
      <c r="AB463" t="s">
        <v>4775</v>
      </c>
      <c r="AD463" t="s">
        <v>6170</v>
      </c>
      <c r="AE463">
        <v>72</v>
      </c>
      <c r="AF463" t="s">
        <v>7101</v>
      </c>
      <c r="AG463" t="s">
        <v>7116</v>
      </c>
      <c r="AH463">
        <v>36</v>
      </c>
      <c r="AI463">
        <v>1</v>
      </c>
      <c r="AJ463">
        <v>0</v>
      </c>
      <c r="AK463">
        <v>74.08</v>
      </c>
      <c r="AN463" t="s">
        <v>7138</v>
      </c>
      <c r="AO463">
        <v>9252</v>
      </c>
      <c r="AU463">
        <v>4.1</v>
      </c>
      <c r="AV463" t="s">
        <v>477</v>
      </c>
      <c r="AW463" t="s">
        <v>7343</v>
      </c>
      <c r="AX463" t="s">
        <v>7377</v>
      </c>
    </row>
    <row r="464" spans="1:50">
      <c r="A464" s="1">
        <f>HYPERLINK("https://lsnyc.legalserver.org/matter/dynamic-profile/view/1892880","19-1892880")</f>
        <v>0</v>
      </c>
      <c r="B464" t="s">
        <v>87</v>
      </c>
      <c r="C464" t="s">
        <v>105</v>
      </c>
      <c r="D464" t="s">
        <v>245</v>
      </c>
      <c r="F464" t="s">
        <v>733</v>
      </c>
      <c r="G464" t="s">
        <v>1642</v>
      </c>
      <c r="H464" t="s">
        <v>2750</v>
      </c>
      <c r="I464" t="s">
        <v>3316</v>
      </c>
      <c r="J464" t="s">
        <v>3604</v>
      </c>
      <c r="K464">
        <v>10034</v>
      </c>
      <c r="L464" t="s">
        <v>3610</v>
      </c>
      <c r="M464" t="s">
        <v>3610</v>
      </c>
      <c r="O464" t="s">
        <v>4217</v>
      </c>
      <c r="P464" t="s">
        <v>4245</v>
      </c>
      <c r="R464" t="s">
        <v>4258</v>
      </c>
      <c r="S464" t="s">
        <v>3611</v>
      </c>
      <c r="U464" t="s">
        <v>4268</v>
      </c>
      <c r="W464" t="s">
        <v>245</v>
      </c>
      <c r="X464">
        <v>880.9</v>
      </c>
      <c r="Y464" t="s">
        <v>4351</v>
      </c>
      <c r="Z464" t="s">
        <v>4354</v>
      </c>
      <c r="AB464" t="s">
        <v>4776</v>
      </c>
      <c r="AD464" t="s">
        <v>6171</v>
      </c>
      <c r="AE464">
        <v>40</v>
      </c>
      <c r="AF464" t="s">
        <v>7101</v>
      </c>
      <c r="AG464" t="s">
        <v>7118</v>
      </c>
      <c r="AH464">
        <v>19</v>
      </c>
      <c r="AI464">
        <v>1</v>
      </c>
      <c r="AJ464">
        <v>0</v>
      </c>
      <c r="AK464">
        <v>74.08</v>
      </c>
      <c r="AN464" t="s">
        <v>7139</v>
      </c>
      <c r="AO464">
        <v>9252</v>
      </c>
      <c r="AU464">
        <v>9.800000000000001</v>
      </c>
      <c r="AV464" t="s">
        <v>7304</v>
      </c>
      <c r="AW464" t="s">
        <v>7342</v>
      </c>
      <c r="AX464" t="s">
        <v>7377</v>
      </c>
    </row>
    <row r="465" spans="1:50">
      <c r="A465" s="1">
        <f>HYPERLINK("https://lsnyc.legalserver.org/matter/dynamic-profile/view/1902419","19-1902419")</f>
        <v>0</v>
      </c>
      <c r="B465" t="s">
        <v>88</v>
      </c>
      <c r="C465" t="s">
        <v>105</v>
      </c>
      <c r="D465" t="s">
        <v>330</v>
      </c>
      <c r="F465" t="s">
        <v>993</v>
      </c>
      <c r="G465" t="s">
        <v>1594</v>
      </c>
      <c r="H465" t="s">
        <v>2751</v>
      </c>
      <c r="I465" t="s">
        <v>3315</v>
      </c>
      <c r="J465" t="s">
        <v>3604</v>
      </c>
      <c r="K465">
        <v>10029</v>
      </c>
      <c r="L465" t="s">
        <v>3610</v>
      </c>
      <c r="M465" t="s">
        <v>3609</v>
      </c>
      <c r="N465" t="s">
        <v>3792</v>
      </c>
      <c r="O465" t="s">
        <v>4209</v>
      </c>
      <c r="P465" t="s">
        <v>4246</v>
      </c>
      <c r="R465" t="s">
        <v>4258</v>
      </c>
      <c r="S465" t="s">
        <v>3611</v>
      </c>
      <c r="U465" t="s">
        <v>4268</v>
      </c>
      <c r="X465">
        <v>369.12</v>
      </c>
      <c r="Y465" t="s">
        <v>4351</v>
      </c>
      <c r="Z465" t="s">
        <v>4353</v>
      </c>
      <c r="AB465" t="s">
        <v>4777</v>
      </c>
      <c r="AD465" t="s">
        <v>6172</v>
      </c>
      <c r="AE465">
        <v>0</v>
      </c>
      <c r="AF465" t="s">
        <v>7105</v>
      </c>
      <c r="AG465" t="s">
        <v>3745</v>
      </c>
      <c r="AH465">
        <v>7</v>
      </c>
      <c r="AI465">
        <v>1</v>
      </c>
      <c r="AJ465">
        <v>0</v>
      </c>
      <c r="AK465">
        <v>74.08</v>
      </c>
      <c r="AN465" t="s">
        <v>7139</v>
      </c>
      <c r="AO465">
        <v>9252</v>
      </c>
      <c r="AU465">
        <v>3.3</v>
      </c>
      <c r="AV465" t="s">
        <v>529</v>
      </c>
      <c r="AW465" t="s">
        <v>7344</v>
      </c>
      <c r="AX465" t="s">
        <v>7377</v>
      </c>
    </row>
    <row r="466" spans="1:50">
      <c r="A466" s="1">
        <f>HYPERLINK("https://lsnyc.legalserver.org/matter/dynamic-profile/view/1851358","17-1851358")</f>
        <v>0</v>
      </c>
      <c r="B466" t="s">
        <v>55</v>
      </c>
      <c r="C466" t="s">
        <v>104</v>
      </c>
      <c r="D466" t="s">
        <v>391</v>
      </c>
      <c r="E466" t="s">
        <v>329</v>
      </c>
      <c r="F466" t="s">
        <v>823</v>
      </c>
      <c r="G466" t="s">
        <v>1872</v>
      </c>
      <c r="H466" t="s">
        <v>2752</v>
      </c>
      <c r="I466" t="s">
        <v>3408</v>
      </c>
      <c r="J466" t="s">
        <v>3604</v>
      </c>
      <c r="K466">
        <v>10035</v>
      </c>
      <c r="L466" t="s">
        <v>3610</v>
      </c>
      <c r="M466" t="s">
        <v>3610</v>
      </c>
      <c r="N466" t="s">
        <v>3793</v>
      </c>
      <c r="O466" t="s">
        <v>4210</v>
      </c>
      <c r="P466" t="s">
        <v>4241</v>
      </c>
      <c r="Q466" t="s">
        <v>4248</v>
      </c>
      <c r="R466" t="s">
        <v>4258</v>
      </c>
      <c r="S466" t="s">
        <v>3611</v>
      </c>
      <c r="U466" t="s">
        <v>4268</v>
      </c>
      <c r="V466" t="s">
        <v>4274</v>
      </c>
      <c r="W466" t="s">
        <v>391</v>
      </c>
      <c r="X466">
        <v>0</v>
      </c>
      <c r="Y466" t="s">
        <v>4351</v>
      </c>
      <c r="Z466" t="s">
        <v>4354</v>
      </c>
      <c r="AA466" t="s">
        <v>4374</v>
      </c>
      <c r="AB466" t="s">
        <v>4778</v>
      </c>
      <c r="AD466" t="s">
        <v>6173</v>
      </c>
      <c r="AE466">
        <v>48</v>
      </c>
      <c r="AF466" t="s">
        <v>7105</v>
      </c>
      <c r="AG466" t="s">
        <v>7120</v>
      </c>
      <c r="AH466">
        <v>15</v>
      </c>
      <c r="AI466">
        <v>1</v>
      </c>
      <c r="AJ466">
        <v>0</v>
      </c>
      <c r="AK466">
        <v>74.13</v>
      </c>
      <c r="AN466" t="s">
        <v>7138</v>
      </c>
      <c r="AO466">
        <v>8940</v>
      </c>
      <c r="AU466">
        <v>10.5</v>
      </c>
      <c r="AV466" t="s">
        <v>487</v>
      </c>
      <c r="AW466" t="s">
        <v>7341</v>
      </c>
    </row>
    <row r="467" spans="1:50">
      <c r="A467" s="1">
        <f>HYPERLINK("https://lsnyc.legalserver.org/matter/dynamic-profile/view/1865822","18-1865822")</f>
        <v>0</v>
      </c>
      <c r="B467" t="s">
        <v>79</v>
      </c>
      <c r="C467" t="s">
        <v>104</v>
      </c>
      <c r="D467" t="s">
        <v>392</v>
      </c>
      <c r="E467" t="s">
        <v>669</v>
      </c>
      <c r="F467" t="s">
        <v>994</v>
      </c>
      <c r="G467" t="s">
        <v>1873</v>
      </c>
      <c r="H467" t="s">
        <v>2753</v>
      </c>
      <c r="I467" t="s">
        <v>3342</v>
      </c>
      <c r="J467" t="s">
        <v>3604</v>
      </c>
      <c r="K467">
        <v>10128</v>
      </c>
      <c r="L467" t="s">
        <v>3610</v>
      </c>
      <c r="M467" t="s">
        <v>3609</v>
      </c>
      <c r="N467" t="s">
        <v>3794</v>
      </c>
      <c r="O467" t="s">
        <v>4209</v>
      </c>
      <c r="P467" t="s">
        <v>4242</v>
      </c>
      <c r="Q467" t="s">
        <v>4250</v>
      </c>
      <c r="R467" t="s">
        <v>4258</v>
      </c>
      <c r="U467" t="s">
        <v>4268</v>
      </c>
      <c r="W467" t="s">
        <v>278</v>
      </c>
      <c r="X467">
        <v>816.4400000000001</v>
      </c>
      <c r="Y467" t="s">
        <v>4351</v>
      </c>
      <c r="AA467" t="s">
        <v>4373</v>
      </c>
      <c r="AB467" t="s">
        <v>4779</v>
      </c>
      <c r="AD467" t="s">
        <v>6174</v>
      </c>
      <c r="AE467">
        <v>0</v>
      </c>
      <c r="AG467" t="s">
        <v>3745</v>
      </c>
      <c r="AH467">
        <v>39</v>
      </c>
      <c r="AI467">
        <v>1</v>
      </c>
      <c r="AJ467">
        <v>0</v>
      </c>
      <c r="AK467">
        <v>74.14</v>
      </c>
      <c r="AN467" t="s">
        <v>7138</v>
      </c>
      <c r="AO467">
        <v>9000</v>
      </c>
      <c r="AU467">
        <v>1.2</v>
      </c>
      <c r="AV467" t="s">
        <v>669</v>
      </c>
      <c r="AW467" t="s">
        <v>7350</v>
      </c>
    </row>
    <row r="468" spans="1:50">
      <c r="A468" s="1">
        <f>HYPERLINK("https://lsnyc.legalserver.org/matter/dynamic-profile/view/1874465","18-1874465")</f>
        <v>0</v>
      </c>
      <c r="B468" t="s">
        <v>73</v>
      </c>
      <c r="C468" t="s">
        <v>104</v>
      </c>
      <c r="D468" t="s">
        <v>393</v>
      </c>
      <c r="E468" t="s">
        <v>204</v>
      </c>
      <c r="F468" t="s">
        <v>733</v>
      </c>
      <c r="G468" t="s">
        <v>1577</v>
      </c>
      <c r="H468" t="s">
        <v>2754</v>
      </c>
      <c r="I468" t="s">
        <v>3409</v>
      </c>
      <c r="J468" t="s">
        <v>3604</v>
      </c>
      <c r="K468">
        <v>10040</v>
      </c>
      <c r="L468" t="s">
        <v>3610</v>
      </c>
      <c r="M468" t="s">
        <v>3610</v>
      </c>
      <c r="N468" t="s">
        <v>3795</v>
      </c>
      <c r="O468" t="s">
        <v>4209</v>
      </c>
      <c r="P468" t="s">
        <v>4245</v>
      </c>
      <c r="Q468" t="s">
        <v>4250</v>
      </c>
      <c r="R468" t="s">
        <v>4258</v>
      </c>
      <c r="S468" t="s">
        <v>3611</v>
      </c>
      <c r="U468" t="s">
        <v>4268</v>
      </c>
      <c r="W468" t="s">
        <v>393</v>
      </c>
      <c r="X468">
        <v>1270.06</v>
      </c>
      <c r="Y468" t="s">
        <v>4351</v>
      </c>
      <c r="Z468" t="s">
        <v>4354</v>
      </c>
      <c r="AA468" t="s">
        <v>4373</v>
      </c>
      <c r="AB468" t="s">
        <v>4780</v>
      </c>
      <c r="AD468" t="s">
        <v>6175</v>
      </c>
      <c r="AE468">
        <v>48</v>
      </c>
      <c r="AF468" t="s">
        <v>7101</v>
      </c>
      <c r="AG468" t="s">
        <v>7116</v>
      </c>
      <c r="AH468">
        <v>30</v>
      </c>
      <c r="AI468">
        <v>1</v>
      </c>
      <c r="AJ468">
        <v>0</v>
      </c>
      <c r="AK468">
        <v>74.14</v>
      </c>
      <c r="AN468" t="s">
        <v>7138</v>
      </c>
      <c r="AO468">
        <v>9000</v>
      </c>
      <c r="AU468">
        <v>4.4</v>
      </c>
      <c r="AV468" t="s">
        <v>440</v>
      </c>
      <c r="AW468" t="s">
        <v>7342</v>
      </c>
    </row>
    <row r="469" spans="1:50">
      <c r="A469" s="1">
        <f>HYPERLINK("https://lsnyc.legalserver.org/matter/dynamic-profile/view/1863062","18-1863062")</f>
        <v>0</v>
      </c>
      <c r="B469" t="s">
        <v>56</v>
      </c>
      <c r="C469" t="s">
        <v>105</v>
      </c>
      <c r="D469" t="s">
        <v>314</v>
      </c>
      <c r="F469" t="s">
        <v>995</v>
      </c>
      <c r="G469" t="s">
        <v>1874</v>
      </c>
      <c r="H469" t="s">
        <v>2471</v>
      </c>
      <c r="I469" t="s">
        <v>3359</v>
      </c>
      <c r="J469" t="s">
        <v>3604</v>
      </c>
      <c r="K469">
        <v>10034</v>
      </c>
      <c r="L469" t="s">
        <v>3610</v>
      </c>
      <c r="M469" t="s">
        <v>3609</v>
      </c>
      <c r="O469" t="s">
        <v>4213</v>
      </c>
      <c r="P469" t="s">
        <v>4241</v>
      </c>
      <c r="R469" t="s">
        <v>4258</v>
      </c>
      <c r="S469" t="s">
        <v>3610</v>
      </c>
      <c r="U469" t="s">
        <v>4268</v>
      </c>
      <c r="W469" t="s">
        <v>314</v>
      </c>
      <c r="X469">
        <v>246</v>
      </c>
      <c r="Y469" t="s">
        <v>4351</v>
      </c>
      <c r="Z469" t="s">
        <v>4354</v>
      </c>
      <c r="AB469" t="s">
        <v>4781</v>
      </c>
      <c r="AD469" t="s">
        <v>6176</v>
      </c>
      <c r="AE469">
        <v>60</v>
      </c>
      <c r="AF469" t="s">
        <v>7101</v>
      </c>
      <c r="AG469" t="s">
        <v>3745</v>
      </c>
      <c r="AH469">
        <v>3</v>
      </c>
      <c r="AI469">
        <v>1</v>
      </c>
      <c r="AJ469">
        <v>0</v>
      </c>
      <c r="AK469">
        <v>74.14</v>
      </c>
      <c r="AN469" t="s">
        <v>7138</v>
      </c>
      <c r="AO469">
        <v>9000</v>
      </c>
      <c r="AU469">
        <v>0.25</v>
      </c>
      <c r="AV469" t="s">
        <v>371</v>
      </c>
      <c r="AW469" t="s">
        <v>7342</v>
      </c>
    </row>
    <row r="470" spans="1:50">
      <c r="A470" s="1">
        <f>HYPERLINK("https://lsnyc.legalserver.org/matter/dynamic-profile/view/1887893","19-1887893")</f>
        <v>0</v>
      </c>
      <c r="B470" t="s">
        <v>52</v>
      </c>
      <c r="C470" t="s">
        <v>104</v>
      </c>
      <c r="D470" t="s">
        <v>194</v>
      </c>
      <c r="E470" t="s">
        <v>113</v>
      </c>
      <c r="F470" t="s">
        <v>996</v>
      </c>
      <c r="G470" t="s">
        <v>1875</v>
      </c>
      <c r="H470" t="s">
        <v>2755</v>
      </c>
      <c r="I470" t="s">
        <v>3279</v>
      </c>
      <c r="J470" t="s">
        <v>3604</v>
      </c>
      <c r="K470">
        <v>10034</v>
      </c>
      <c r="L470" t="s">
        <v>3610</v>
      </c>
      <c r="M470" t="s">
        <v>3610</v>
      </c>
      <c r="O470" t="s">
        <v>4211</v>
      </c>
      <c r="P470" t="s">
        <v>4242</v>
      </c>
      <c r="Q470" t="s">
        <v>4250</v>
      </c>
      <c r="R470" t="s">
        <v>4258</v>
      </c>
      <c r="S470" t="s">
        <v>3611</v>
      </c>
      <c r="U470" t="s">
        <v>4268</v>
      </c>
      <c r="W470" t="s">
        <v>194</v>
      </c>
      <c r="X470">
        <v>1161.29</v>
      </c>
      <c r="Y470" t="s">
        <v>4351</v>
      </c>
      <c r="Z470" t="s">
        <v>4354</v>
      </c>
      <c r="AA470" t="s">
        <v>4373</v>
      </c>
      <c r="AE470">
        <v>0</v>
      </c>
      <c r="AF470" t="s">
        <v>7101</v>
      </c>
      <c r="AG470" t="s">
        <v>3745</v>
      </c>
      <c r="AH470">
        <v>23</v>
      </c>
      <c r="AI470">
        <v>1</v>
      </c>
      <c r="AJ470">
        <v>0</v>
      </c>
      <c r="AK470">
        <v>74.14</v>
      </c>
      <c r="AN470" t="s">
        <v>7139</v>
      </c>
      <c r="AO470">
        <v>9000</v>
      </c>
      <c r="AU470">
        <v>0.1</v>
      </c>
      <c r="AV470" t="s">
        <v>194</v>
      </c>
      <c r="AW470" t="s">
        <v>7342</v>
      </c>
    </row>
    <row r="471" spans="1:50">
      <c r="A471" s="1">
        <f>HYPERLINK("https://lsnyc.legalserver.org/matter/dynamic-profile/view/1874696","18-1874696")</f>
        <v>0</v>
      </c>
      <c r="B471" t="s">
        <v>67</v>
      </c>
      <c r="C471" t="s">
        <v>104</v>
      </c>
      <c r="D471" t="s">
        <v>144</v>
      </c>
      <c r="E471" t="s">
        <v>642</v>
      </c>
      <c r="F471" t="s">
        <v>983</v>
      </c>
      <c r="G471" t="s">
        <v>1838</v>
      </c>
      <c r="H471" t="s">
        <v>2756</v>
      </c>
      <c r="I471" t="s">
        <v>3293</v>
      </c>
      <c r="J471" t="s">
        <v>3604</v>
      </c>
      <c r="K471">
        <v>10029</v>
      </c>
      <c r="L471" t="s">
        <v>3610</v>
      </c>
      <c r="M471" t="s">
        <v>3610</v>
      </c>
      <c r="N471" t="s">
        <v>3796</v>
      </c>
      <c r="O471" t="s">
        <v>4209</v>
      </c>
      <c r="P471" t="s">
        <v>4241</v>
      </c>
      <c r="Q471" t="s">
        <v>4248</v>
      </c>
      <c r="R471" t="s">
        <v>4258</v>
      </c>
      <c r="S471" t="s">
        <v>3611</v>
      </c>
      <c r="U471" t="s">
        <v>4268</v>
      </c>
      <c r="V471" t="s">
        <v>4274</v>
      </c>
      <c r="W471" t="s">
        <v>144</v>
      </c>
      <c r="X471">
        <v>968</v>
      </c>
      <c r="Y471" t="s">
        <v>4351</v>
      </c>
      <c r="Z471" t="s">
        <v>4370</v>
      </c>
      <c r="AA471" t="s">
        <v>4374</v>
      </c>
      <c r="AB471" t="s">
        <v>4782</v>
      </c>
      <c r="AD471" t="s">
        <v>6177</v>
      </c>
      <c r="AE471">
        <v>20</v>
      </c>
      <c r="AF471" t="s">
        <v>7101</v>
      </c>
      <c r="AG471" t="s">
        <v>3745</v>
      </c>
      <c r="AH471">
        <v>18</v>
      </c>
      <c r="AI471">
        <v>1</v>
      </c>
      <c r="AJ471">
        <v>0</v>
      </c>
      <c r="AK471">
        <v>74.14</v>
      </c>
      <c r="AN471" t="s">
        <v>7138</v>
      </c>
      <c r="AO471">
        <v>9000</v>
      </c>
      <c r="AU471">
        <v>4.5</v>
      </c>
      <c r="AV471" t="s">
        <v>493</v>
      </c>
      <c r="AW471" t="s">
        <v>7341</v>
      </c>
    </row>
    <row r="472" spans="1:50">
      <c r="A472" s="1">
        <f>HYPERLINK("https://lsnyc.legalserver.org/matter/dynamic-profile/view/0826241","17-0826241")</f>
        <v>0</v>
      </c>
      <c r="B472" t="s">
        <v>64</v>
      </c>
      <c r="C472" t="s">
        <v>105</v>
      </c>
      <c r="D472" t="s">
        <v>394</v>
      </c>
      <c r="F472" t="s">
        <v>978</v>
      </c>
      <c r="G472" t="s">
        <v>1857</v>
      </c>
      <c r="H472" t="s">
        <v>2576</v>
      </c>
      <c r="I472" t="s">
        <v>3287</v>
      </c>
      <c r="J472" t="s">
        <v>3604</v>
      </c>
      <c r="K472">
        <v>10040</v>
      </c>
      <c r="L472" t="s">
        <v>3610</v>
      </c>
      <c r="M472" t="s">
        <v>3609</v>
      </c>
      <c r="N472" t="s">
        <v>3780</v>
      </c>
      <c r="O472" t="s">
        <v>4213</v>
      </c>
      <c r="P472" t="s">
        <v>4241</v>
      </c>
      <c r="R472" t="s">
        <v>4258</v>
      </c>
      <c r="S472" t="s">
        <v>3610</v>
      </c>
      <c r="U472" t="s">
        <v>4268</v>
      </c>
      <c r="W472" t="s">
        <v>4301</v>
      </c>
      <c r="X472">
        <v>991.98</v>
      </c>
      <c r="Y472" t="s">
        <v>4351</v>
      </c>
      <c r="Z472" t="s">
        <v>4352</v>
      </c>
      <c r="AB472" t="s">
        <v>4754</v>
      </c>
      <c r="AD472" t="s">
        <v>6152</v>
      </c>
      <c r="AE472">
        <v>83</v>
      </c>
      <c r="AF472" t="s">
        <v>7101</v>
      </c>
      <c r="AG472" t="s">
        <v>3745</v>
      </c>
      <c r="AH472">
        <v>40</v>
      </c>
      <c r="AI472">
        <v>1</v>
      </c>
      <c r="AJ472">
        <v>0</v>
      </c>
      <c r="AK472">
        <v>74.23999999999999</v>
      </c>
      <c r="AL472" t="s">
        <v>518</v>
      </c>
      <c r="AN472" t="s">
        <v>7139</v>
      </c>
      <c r="AO472">
        <v>8820</v>
      </c>
      <c r="AU472">
        <v>0</v>
      </c>
      <c r="AV472" t="s">
        <v>191</v>
      </c>
      <c r="AW472" t="s">
        <v>7341</v>
      </c>
    </row>
    <row r="473" spans="1:50">
      <c r="A473" s="1">
        <f>HYPERLINK("https://lsnyc.legalserver.org/matter/dynamic-profile/view/0821909","16-0821909")</f>
        <v>0</v>
      </c>
      <c r="B473" t="s">
        <v>58</v>
      </c>
      <c r="C473" t="s">
        <v>105</v>
      </c>
      <c r="D473" t="s">
        <v>395</v>
      </c>
      <c r="F473" t="s">
        <v>747</v>
      </c>
      <c r="G473" t="s">
        <v>1876</v>
      </c>
      <c r="H473" t="s">
        <v>2592</v>
      </c>
      <c r="I473">
        <v>303</v>
      </c>
      <c r="J473" t="s">
        <v>3604</v>
      </c>
      <c r="K473">
        <v>10029</v>
      </c>
      <c r="L473" t="s">
        <v>3609</v>
      </c>
      <c r="M473" t="s">
        <v>3609</v>
      </c>
      <c r="O473" t="s">
        <v>4211</v>
      </c>
      <c r="P473" t="s">
        <v>4245</v>
      </c>
      <c r="R473" t="s">
        <v>4258</v>
      </c>
      <c r="U473" t="s">
        <v>4268</v>
      </c>
      <c r="V473" t="s">
        <v>4274</v>
      </c>
      <c r="W473" t="s">
        <v>395</v>
      </c>
      <c r="X473">
        <v>680</v>
      </c>
      <c r="Y473" t="s">
        <v>4351</v>
      </c>
      <c r="Z473" t="s">
        <v>4371</v>
      </c>
      <c r="AB473" t="s">
        <v>4783</v>
      </c>
      <c r="AD473" t="s">
        <v>6178</v>
      </c>
      <c r="AE473">
        <v>288</v>
      </c>
      <c r="AF473" t="s">
        <v>7101</v>
      </c>
      <c r="AG473" t="s">
        <v>3745</v>
      </c>
      <c r="AH473">
        <v>10</v>
      </c>
      <c r="AI473">
        <v>1</v>
      </c>
      <c r="AJ473">
        <v>0</v>
      </c>
      <c r="AK473">
        <v>74.23999999999999</v>
      </c>
      <c r="AN473" t="s">
        <v>7138</v>
      </c>
      <c r="AO473">
        <v>8820</v>
      </c>
      <c r="AU473">
        <v>1</v>
      </c>
      <c r="AV473" t="s">
        <v>395</v>
      </c>
      <c r="AW473" t="s">
        <v>7357</v>
      </c>
    </row>
    <row r="474" spans="1:50">
      <c r="A474" s="1">
        <f>HYPERLINK("https://lsnyc.legalserver.org/matter/dynamic-profile/view/1903229","19-1903229")</f>
        <v>0</v>
      </c>
      <c r="B474" t="s">
        <v>53</v>
      </c>
      <c r="C474" t="s">
        <v>105</v>
      </c>
      <c r="D474" t="s">
        <v>396</v>
      </c>
      <c r="F474" t="s">
        <v>997</v>
      </c>
      <c r="G474" t="s">
        <v>1877</v>
      </c>
      <c r="H474" t="s">
        <v>2757</v>
      </c>
      <c r="I474" t="s">
        <v>3410</v>
      </c>
      <c r="J474" t="s">
        <v>3604</v>
      </c>
      <c r="K474">
        <v>10034</v>
      </c>
      <c r="L474" t="s">
        <v>3610</v>
      </c>
      <c r="M474" t="s">
        <v>3609</v>
      </c>
      <c r="O474" t="s">
        <v>4211</v>
      </c>
      <c r="P474" t="s">
        <v>4245</v>
      </c>
      <c r="R474" t="s">
        <v>4258</v>
      </c>
      <c r="S474" t="s">
        <v>3611</v>
      </c>
      <c r="U474" t="s">
        <v>4268</v>
      </c>
      <c r="V474" t="s">
        <v>4274</v>
      </c>
      <c r="W474" t="s">
        <v>396</v>
      </c>
      <c r="X474">
        <v>544.6799999999999</v>
      </c>
      <c r="Y474" t="s">
        <v>4351</v>
      </c>
      <c r="Z474" t="s">
        <v>4357</v>
      </c>
      <c r="AB474" t="s">
        <v>4784</v>
      </c>
      <c r="AD474" t="s">
        <v>6179</v>
      </c>
      <c r="AE474">
        <v>200</v>
      </c>
      <c r="AF474" t="s">
        <v>7104</v>
      </c>
      <c r="AG474" t="s">
        <v>3745</v>
      </c>
      <c r="AH474">
        <v>24</v>
      </c>
      <c r="AI474">
        <v>1</v>
      </c>
      <c r="AJ474">
        <v>0</v>
      </c>
      <c r="AK474">
        <v>74.47</v>
      </c>
      <c r="AN474" t="s">
        <v>7138</v>
      </c>
      <c r="AO474">
        <v>9301.32</v>
      </c>
      <c r="AU474">
        <v>0</v>
      </c>
      <c r="AW474" t="s">
        <v>7341</v>
      </c>
      <c r="AX474" t="s">
        <v>7377</v>
      </c>
    </row>
    <row r="475" spans="1:50">
      <c r="A475" s="1">
        <f>HYPERLINK("https://lsnyc.legalserver.org/matter/dynamic-profile/view/1861579","18-1861579")</f>
        <v>0</v>
      </c>
      <c r="B475" t="s">
        <v>62</v>
      </c>
      <c r="C475" t="s">
        <v>105</v>
      </c>
      <c r="D475" t="s">
        <v>397</v>
      </c>
      <c r="F475" t="s">
        <v>727</v>
      </c>
      <c r="G475" t="s">
        <v>1878</v>
      </c>
      <c r="H475" t="s">
        <v>2712</v>
      </c>
      <c r="I475" t="s">
        <v>3396</v>
      </c>
      <c r="J475" t="s">
        <v>3604</v>
      </c>
      <c r="K475">
        <v>10040</v>
      </c>
      <c r="L475" t="s">
        <v>3610</v>
      </c>
      <c r="M475" t="s">
        <v>3609</v>
      </c>
      <c r="O475" t="s">
        <v>4213</v>
      </c>
      <c r="P475" t="s">
        <v>4241</v>
      </c>
      <c r="R475" t="s">
        <v>4258</v>
      </c>
      <c r="S475" t="s">
        <v>3610</v>
      </c>
      <c r="U475" t="s">
        <v>4268</v>
      </c>
      <c r="W475" t="s">
        <v>397</v>
      </c>
      <c r="X475">
        <v>400</v>
      </c>
      <c r="Y475" t="s">
        <v>4351</v>
      </c>
      <c r="Z475" t="s">
        <v>4354</v>
      </c>
      <c r="AB475" t="s">
        <v>4785</v>
      </c>
      <c r="AD475" t="s">
        <v>6180</v>
      </c>
      <c r="AE475">
        <v>49</v>
      </c>
      <c r="AF475" t="s">
        <v>7101</v>
      </c>
      <c r="AG475" t="s">
        <v>3745</v>
      </c>
      <c r="AH475">
        <v>43</v>
      </c>
      <c r="AI475">
        <v>2</v>
      </c>
      <c r="AJ475">
        <v>0</v>
      </c>
      <c r="AK475">
        <v>74.51000000000001</v>
      </c>
      <c r="AL475" t="s">
        <v>183</v>
      </c>
      <c r="AN475" t="s">
        <v>7139</v>
      </c>
      <c r="AO475">
        <v>12264</v>
      </c>
      <c r="AU475">
        <v>2.6</v>
      </c>
      <c r="AV475" t="s">
        <v>426</v>
      </c>
      <c r="AW475" t="s">
        <v>7342</v>
      </c>
    </row>
    <row r="476" spans="1:50">
      <c r="A476" s="1">
        <f>HYPERLINK("https://lsnyc.legalserver.org/matter/dynamic-profile/view/1875480","18-1875480")</f>
        <v>0</v>
      </c>
      <c r="B476" t="s">
        <v>55</v>
      </c>
      <c r="C476" t="s">
        <v>104</v>
      </c>
      <c r="D476" t="s">
        <v>398</v>
      </c>
      <c r="E476" t="s">
        <v>329</v>
      </c>
      <c r="F476" t="s">
        <v>998</v>
      </c>
      <c r="G476" t="s">
        <v>1879</v>
      </c>
      <c r="H476" t="s">
        <v>2758</v>
      </c>
      <c r="I476" t="s">
        <v>3333</v>
      </c>
      <c r="J476" t="s">
        <v>3604</v>
      </c>
      <c r="K476">
        <v>10029</v>
      </c>
      <c r="L476" t="s">
        <v>3610</v>
      </c>
      <c r="M476" t="s">
        <v>3610</v>
      </c>
      <c r="O476" t="s">
        <v>4219</v>
      </c>
      <c r="P476" t="s">
        <v>4242</v>
      </c>
      <c r="Q476" t="s">
        <v>4250</v>
      </c>
      <c r="R476" t="s">
        <v>4258</v>
      </c>
      <c r="S476" t="s">
        <v>3611</v>
      </c>
      <c r="U476" t="s">
        <v>4268</v>
      </c>
      <c r="V476" t="s">
        <v>4274</v>
      </c>
      <c r="W476" t="s">
        <v>110</v>
      </c>
      <c r="X476">
        <v>400</v>
      </c>
      <c r="Y476" t="s">
        <v>4351</v>
      </c>
      <c r="Z476" t="s">
        <v>4228</v>
      </c>
      <c r="AA476" t="s">
        <v>4373</v>
      </c>
      <c r="AB476" t="s">
        <v>4786</v>
      </c>
      <c r="AD476" t="s">
        <v>6181</v>
      </c>
      <c r="AE476">
        <v>300</v>
      </c>
      <c r="AF476" t="s">
        <v>7102</v>
      </c>
      <c r="AG476" t="s">
        <v>4228</v>
      </c>
      <c r="AH476">
        <v>14</v>
      </c>
      <c r="AI476">
        <v>1</v>
      </c>
      <c r="AJ476">
        <v>2</v>
      </c>
      <c r="AK476">
        <v>74.51000000000001</v>
      </c>
      <c r="AN476" t="s">
        <v>7139</v>
      </c>
      <c r="AO476">
        <v>15484</v>
      </c>
      <c r="AU476">
        <v>1.66</v>
      </c>
      <c r="AV476" t="s">
        <v>110</v>
      </c>
      <c r="AW476" t="s">
        <v>7365</v>
      </c>
    </row>
    <row r="477" spans="1:50">
      <c r="A477" s="1">
        <f>HYPERLINK("https://lsnyc.legalserver.org/matter/dynamic-profile/view/1857246","18-1857246")</f>
        <v>0</v>
      </c>
      <c r="B477" t="s">
        <v>63</v>
      </c>
      <c r="C477" t="s">
        <v>104</v>
      </c>
      <c r="D477" t="s">
        <v>399</v>
      </c>
      <c r="E477" t="s">
        <v>271</v>
      </c>
      <c r="F477" t="s">
        <v>999</v>
      </c>
      <c r="G477" t="s">
        <v>1737</v>
      </c>
      <c r="H477" t="s">
        <v>2647</v>
      </c>
      <c r="I477">
        <v>41</v>
      </c>
      <c r="J477" t="s">
        <v>3604</v>
      </c>
      <c r="K477">
        <v>10033</v>
      </c>
      <c r="L477" t="s">
        <v>3610</v>
      </c>
      <c r="M477" t="s">
        <v>3610</v>
      </c>
      <c r="N477" t="s">
        <v>3797</v>
      </c>
      <c r="O477" t="s">
        <v>4209</v>
      </c>
      <c r="P477" t="s">
        <v>4241</v>
      </c>
      <c r="Q477" t="s">
        <v>4248</v>
      </c>
      <c r="R477" t="s">
        <v>4258</v>
      </c>
      <c r="S477" t="s">
        <v>3611</v>
      </c>
      <c r="U477" t="s">
        <v>4268</v>
      </c>
      <c r="W477" t="s">
        <v>399</v>
      </c>
      <c r="X477">
        <v>817.79</v>
      </c>
      <c r="Y477" t="s">
        <v>4351</v>
      </c>
      <c r="Z477" t="s">
        <v>4357</v>
      </c>
      <c r="AA477" t="s">
        <v>4374</v>
      </c>
      <c r="AB477" t="s">
        <v>4787</v>
      </c>
      <c r="AD477" t="s">
        <v>6182</v>
      </c>
      <c r="AE477">
        <v>33</v>
      </c>
      <c r="AF477" t="s">
        <v>7101</v>
      </c>
      <c r="AG477" t="s">
        <v>7116</v>
      </c>
      <c r="AH477">
        <v>40</v>
      </c>
      <c r="AI477">
        <v>1</v>
      </c>
      <c r="AJ477">
        <v>0</v>
      </c>
      <c r="AK477">
        <v>74.63</v>
      </c>
      <c r="AL477" t="s">
        <v>7124</v>
      </c>
      <c r="AN477" t="s">
        <v>7138</v>
      </c>
      <c r="AO477">
        <v>9000</v>
      </c>
      <c r="AU477">
        <v>4.5</v>
      </c>
      <c r="AV477" t="s">
        <v>495</v>
      </c>
      <c r="AW477" t="s">
        <v>7342</v>
      </c>
    </row>
    <row r="478" spans="1:50">
      <c r="A478" s="1">
        <f>HYPERLINK("https://lsnyc.legalserver.org/matter/dynamic-profile/view/1897052","19-1897052")</f>
        <v>0</v>
      </c>
      <c r="B478" t="s">
        <v>52</v>
      </c>
      <c r="C478" t="s">
        <v>104</v>
      </c>
      <c r="D478" t="s">
        <v>253</v>
      </c>
      <c r="E478" t="s">
        <v>285</v>
      </c>
      <c r="F478" t="s">
        <v>733</v>
      </c>
      <c r="G478" t="s">
        <v>1577</v>
      </c>
      <c r="H478" t="s">
        <v>2754</v>
      </c>
      <c r="I478" t="s">
        <v>3409</v>
      </c>
      <c r="J478" t="s">
        <v>3604</v>
      </c>
      <c r="K478">
        <v>10040</v>
      </c>
      <c r="L478" t="s">
        <v>3610</v>
      </c>
      <c r="M478" t="s">
        <v>3610</v>
      </c>
      <c r="N478" t="s">
        <v>3798</v>
      </c>
      <c r="O478" t="s">
        <v>4209</v>
      </c>
      <c r="P478" t="s">
        <v>4242</v>
      </c>
      <c r="Q478" t="s">
        <v>4250</v>
      </c>
      <c r="R478" t="s">
        <v>4258</v>
      </c>
      <c r="S478" t="s">
        <v>3611</v>
      </c>
      <c r="U478" t="s">
        <v>4268</v>
      </c>
      <c r="W478" t="s">
        <v>253</v>
      </c>
      <c r="X478">
        <v>1287</v>
      </c>
      <c r="Y478" t="s">
        <v>4351</v>
      </c>
      <c r="Z478" t="s">
        <v>4357</v>
      </c>
      <c r="AA478" t="s">
        <v>4373</v>
      </c>
      <c r="AB478" t="s">
        <v>4780</v>
      </c>
      <c r="AE478">
        <v>47</v>
      </c>
      <c r="AF478" t="s">
        <v>7101</v>
      </c>
      <c r="AG478" t="s">
        <v>3745</v>
      </c>
      <c r="AH478">
        <v>31</v>
      </c>
      <c r="AI478">
        <v>1</v>
      </c>
      <c r="AJ478">
        <v>0</v>
      </c>
      <c r="AK478">
        <v>74.65000000000001</v>
      </c>
      <c r="AN478" t="s">
        <v>7139</v>
      </c>
      <c r="AO478">
        <v>9324</v>
      </c>
      <c r="AU478">
        <v>1.4</v>
      </c>
      <c r="AV478" t="s">
        <v>4296</v>
      </c>
      <c r="AW478" t="s">
        <v>7342</v>
      </c>
      <c r="AX478" t="s">
        <v>7377</v>
      </c>
    </row>
    <row r="479" spans="1:50">
      <c r="A479" s="1">
        <f>HYPERLINK("https://lsnyc.legalserver.org/matter/dynamic-profile/view/1861365","18-1861365")</f>
        <v>0</v>
      </c>
      <c r="B479" t="s">
        <v>78</v>
      </c>
      <c r="C479" t="s">
        <v>105</v>
      </c>
      <c r="D479" t="s">
        <v>400</v>
      </c>
      <c r="F479" t="s">
        <v>1000</v>
      </c>
      <c r="G479" t="s">
        <v>1880</v>
      </c>
      <c r="H479" t="s">
        <v>2759</v>
      </c>
      <c r="I479">
        <v>507</v>
      </c>
      <c r="J479" t="s">
        <v>3604</v>
      </c>
      <c r="K479">
        <v>10037</v>
      </c>
      <c r="L479" t="s">
        <v>3610</v>
      </c>
      <c r="M479" t="s">
        <v>3609</v>
      </c>
      <c r="N479" t="s">
        <v>3799</v>
      </c>
      <c r="O479" t="s">
        <v>4210</v>
      </c>
      <c r="P479" t="s">
        <v>4242</v>
      </c>
      <c r="R479" t="s">
        <v>4258</v>
      </c>
      <c r="S479" t="s">
        <v>3611</v>
      </c>
      <c r="U479" t="s">
        <v>4268</v>
      </c>
      <c r="W479" t="s">
        <v>278</v>
      </c>
      <c r="X479">
        <v>1720.8</v>
      </c>
      <c r="Y479" t="s">
        <v>4351</v>
      </c>
      <c r="Z479" t="s">
        <v>4354</v>
      </c>
      <c r="AB479" t="s">
        <v>4783</v>
      </c>
      <c r="AD479" t="s">
        <v>6183</v>
      </c>
      <c r="AE479">
        <v>173</v>
      </c>
      <c r="AF479" t="s">
        <v>7101</v>
      </c>
      <c r="AG479" t="s">
        <v>7116</v>
      </c>
      <c r="AH479">
        <v>4</v>
      </c>
      <c r="AI479">
        <v>2</v>
      </c>
      <c r="AJ479">
        <v>3</v>
      </c>
      <c r="AK479">
        <v>74.78</v>
      </c>
      <c r="AN479" t="s">
        <v>7138</v>
      </c>
      <c r="AO479">
        <v>22000</v>
      </c>
      <c r="AU479">
        <v>0</v>
      </c>
      <c r="AW479" t="s">
        <v>7350</v>
      </c>
    </row>
    <row r="480" spans="1:50">
      <c r="A480" s="1">
        <f>HYPERLINK("https://lsnyc.legalserver.org/matter/dynamic-profile/view/0808625","16-0808625")</f>
        <v>0</v>
      </c>
      <c r="B480" t="s">
        <v>61</v>
      </c>
      <c r="C480" t="s">
        <v>105</v>
      </c>
      <c r="D480" t="s">
        <v>401</v>
      </c>
      <c r="F480" t="s">
        <v>1001</v>
      </c>
      <c r="G480" t="s">
        <v>1881</v>
      </c>
      <c r="H480" t="s">
        <v>2760</v>
      </c>
      <c r="I480" t="s">
        <v>3338</v>
      </c>
      <c r="J480" t="s">
        <v>3604</v>
      </c>
      <c r="K480">
        <v>10035</v>
      </c>
      <c r="L480" t="s">
        <v>3610</v>
      </c>
      <c r="M480" t="s">
        <v>3609</v>
      </c>
      <c r="N480" t="s">
        <v>3800</v>
      </c>
      <c r="O480" t="s">
        <v>4210</v>
      </c>
      <c r="P480" t="s">
        <v>4241</v>
      </c>
      <c r="R480" t="s">
        <v>4258</v>
      </c>
      <c r="S480" t="s">
        <v>3611</v>
      </c>
      <c r="U480" t="s">
        <v>4268</v>
      </c>
      <c r="W480" t="s">
        <v>4303</v>
      </c>
      <c r="X480">
        <v>400</v>
      </c>
      <c r="Y480" t="s">
        <v>4351</v>
      </c>
      <c r="Z480" t="s">
        <v>4361</v>
      </c>
      <c r="AB480" t="s">
        <v>4788</v>
      </c>
      <c r="AD480" t="s">
        <v>6184</v>
      </c>
      <c r="AE480">
        <v>142</v>
      </c>
      <c r="AF480" t="s">
        <v>7103</v>
      </c>
      <c r="AG480" t="s">
        <v>7116</v>
      </c>
      <c r="AH480">
        <v>30</v>
      </c>
      <c r="AI480">
        <v>2</v>
      </c>
      <c r="AJ480">
        <v>2</v>
      </c>
      <c r="AK480">
        <v>74.90000000000001</v>
      </c>
      <c r="AN480" t="s">
        <v>7138</v>
      </c>
      <c r="AO480">
        <v>18200</v>
      </c>
      <c r="AU480">
        <v>110.35</v>
      </c>
      <c r="AV480" t="s">
        <v>669</v>
      </c>
      <c r="AW480" t="s">
        <v>7341</v>
      </c>
    </row>
    <row r="481" spans="1:50">
      <c r="A481" s="1">
        <f>HYPERLINK("https://lsnyc.legalserver.org/matter/dynamic-profile/view/1874499","18-1874499")</f>
        <v>0</v>
      </c>
      <c r="B481" t="s">
        <v>67</v>
      </c>
      <c r="C481" t="s">
        <v>104</v>
      </c>
      <c r="D481" t="s">
        <v>393</v>
      </c>
      <c r="E481" t="s">
        <v>209</v>
      </c>
      <c r="F481" t="s">
        <v>1002</v>
      </c>
      <c r="G481" t="s">
        <v>1882</v>
      </c>
      <c r="H481" t="s">
        <v>2536</v>
      </c>
      <c r="I481" t="s">
        <v>3411</v>
      </c>
      <c r="J481" t="s">
        <v>3604</v>
      </c>
      <c r="K481">
        <v>10029</v>
      </c>
      <c r="L481" t="s">
        <v>3610</v>
      </c>
      <c r="M481" t="s">
        <v>3610</v>
      </c>
      <c r="N481" t="s">
        <v>3801</v>
      </c>
      <c r="O481" t="s">
        <v>4214</v>
      </c>
      <c r="P481" t="s">
        <v>4242</v>
      </c>
      <c r="Q481" t="s">
        <v>4250</v>
      </c>
      <c r="R481" t="s">
        <v>4258</v>
      </c>
      <c r="S481" t="s">
        <v>3611</v>
      </c>
      <c r="U481" t="s">
        <v>4268</v>
      </c>
      <c r="V481" t="s">
        <v>4276</v>
      </c>
      <c r="W481" t="s">
        <v>417</v>
      </c>
      <c r="X481">
        <v>1320</v>
      </c>
      <c r="Y481" t="s">
        <v>4351</v>
      </c>
      <c r="Z481" t="s">
        <v>4228</v>
      </c>
      <c r="AA481" t="s">
        <v>4373</v>
      </c>
      <c r="AB481" t="s">
        <v>4789</v>
      </c>
      <c r="AD481" t="s">
        <v>6185</v>
      </c>
      <c r="AE481">
        <v>144</v>
      </c>
      <c r="AF481" t="s">
        <v>7102</v>
      </c>
      <c r="AG481" t="s">
        <v>7116</v>
      </c>
      <c r="AH481">
        <v>13</v>
      </c>
      <c r="AI481">
        <v>1</v>
      </c>
      <c r="AJ481">
        <v>0</v>
      </c>
      <c r="AK481">
        <v>74.95999999999999</v>
      </c>
      <c r="AN481" t="s">
        <v>7138</v>
      </c>
      <c r="AO481">
        <v>9100</v>
      </c>
      <c r="AU481">
        <v>1.6</v>
      </c>
      <c r="AV481" t="s">
        <v>209</v>
      </c>
      <c r="AW481" t="s">
        <v>7346</v>
      </c>
    </row>
    <row r="482" spans="1:50">
      <c r="A482" s="1">
        <f>HYPERLINK("https://lsnyc.legalserver.org/matter/dynamic-profile/view/1833850","17-1833850")</f>
        <v>0</v>
      </c>
      <c r="B482" t="s">
        <v>78</v>
      </c>
      <c r="C482" t="s">
        <v>105</v>
      </c>
      <c r="D482" t="s">
        <v>402</v>
      </c>
      <c r="F482" t="s">
        <v>1003</v>
      </c>
      <c r="G482" t="s">
        <v>1883</v>
      </c>
      <c r="H482" t="s">
        <v>2467</v>
      </c>
      <c r="I482" t="s">
        <v>3412</v>
      </c>
      <c r="J482" t="s">
        <v>3604</v>
      </c>
      <c r="K482">
        <v>10035</v>
      </c>
      <c r="L482" t="s">
        <v>3610</v>
      </c>
      <c r="M482" t="s">
        <v>3609</v>
      </c>
      <c r="N482" t="s">
        <v>3802</v>
      </c>
      <c r="O482" t="s">
        <v>4209</v>
      </c>
      <c r="P482" t="s">
        <v>4241</v>
      </c>
      <c r="R482" t="s">
        <v>4258</v>
      </c>
      <c r="S482" t="s">
        <v>3611</v>
      </c>
      <c r="U482" t="s">
        <v>4268</v>
      </c>
      <c r="W482" t="s">
        <v>4304</v>
      </c>
      <c r="X482">
        <v>2423</v>
      </c>
      <c r="Y482" t="s">
        <v>4351</v>
      </c>
      <c r="Z482" t="s">
        <v>4354</v>
      </c>
      <c r="AB482" t="s">
        <v>4790</v>
      </c>
      <c r="AD482" t="s">
        <v>6186</v>
      </c>
      <c r="AE482">
        <v>341</v>
      </c>
      <c r="AF482" t="s">
        <v>7101</v>
      </c>
      <c r="AG482" t="s">
        <v>7116</v>
      </c>
      <c r="AH482">
        <v>17</v>
      </c>
      <c r="AI482">
        <v>1</v>
      </c>
      <c r="AJ482">
        <v>0</v>
      </c>
      <c r="AK482">
        <v>75.12</v>
      </c>
      <c r="AN482" t="s">
        <v>7138</v>
      </c>
      <c r="AO482">
        <v>9060</v>
      </c>
      <c r="AU482">
        <v>30</v>
      </c>
      <c r="AV482" t="s">
        <v>7309</v>
      </c>
      <c r="AW482" t="s">
        <v>7341</v>
      </c>
    </row>
    <row r="483" spans="1:50">
      <c r="A483" s="1">
        <f>HYPERLINK("https://lsnyc.legalserver.org/matter/dynamic-profile/view/1881953","18-1881953")</f>
        <v>0</v>
      </c>
      <c r="B483" t="s">
        <v>63</v>
      </c>
      <c r="C483" t="s">
        <v>105</v>
      </c>
      <c r="D483" t="s">
        <v>203</v>
      </c>
      <c r="F483" t="s">
        <v>733</v>
      </c>
      <c r="G483" t="s">
        <v>1884</v>
      </c>
      <c r="H483" t="s">
        <v>2549</v>
      </c>
      <c r="I483" t="s">
        <v>3413</v>
      </c>
      <c r="J483" t="s">
        <v>3604</v>
      </c>
      <c r="K483">
        <v>10034</v>
      </c>
      <c r="L483" t="s">
        <v>3610</v>
      </c>
      <c r="M483" t="s">
        <v>3610</v>
      </c>
      <c r="O483" t="s">
        <v>4209</v>
      </c>
      <c r="P483" t="s">
        <v>4242</v>
      </c>
      <c r="R483" t="s">
        <v>4258</v>
      </c>
      <c r="U483" t="s">
        <v>4268</v>
      </c>
      <c r="W483" t="s">
        <v>665</v>
      </c>
      <c r="X483">
        <v>822.3200000000001</v>
      </c>
      <c r="Y483" t="s">
        <v>4351</v>
      </c>
      <c r="Z483" t="s">
        <v>4354</v>
      </c>
      <c r="AB483" t="s">
        <v>4791</v>
      </c>
      <c r="AD483" t="s">
        <v>6187</v>
      </c>
      <c r="AE483">
        <v>35</v>
      </c>
      <c r="AG483" t="s">
        <v>7116</v>
      </c>
      <c r="AH483">
        <v>38</v>
      </c>
      <c r="AI483">
        <v>1</v>
      </c>
      <c r="AJ483">
        <v>0</v>
      </c>
      <c r="AK483">
        <v>75.12</v>
      </c>
      <c r="AN483" t="s">
        <v>7139</v>
      </c>
      <c r="AO483">
        <v>9120</v>
      </c>
      <c r="AU483">
        <v>0.65</v>
      </c>
      <c r="AV483" t="s">
        <v>213</v>
      </c>
      <c r="AW483" t="s">
        <v>7366</v>
      </c>
    </row>
    <row r="484" spans="1:50">
      <c r="A484" s="1">
        <f>HYPERLINK("https://lsnyc.legalserver.org/matter/dynamic-profile/view/1867130","18-1867130")</f>
        <v>0</v>
      </c>
      <c r="B484" t="s">
        <v>66</v>
      </c>
      <c r="C484" t="s">
        <v>104</v>
      </c>
      <c r="D484" t="s">
        <v>240</v>
      </c>
      <c r="E484" t="s">
        <v>271</v>
      </c>
      <c r="F484" t="s">
        <v>1004</v>
      </c>
      <c r="G484" t="s">
        <v>1599</v>
      </c>
      <c r="H484" t="s">
        <v>2761</v>
      </c>
      <c r="I484" t="s">
        <v>3334</v>
      </c>
      <c r="J484" t="s">
        <v>3604</v>
      </c>
      <c r="K484">
        <v>10032</v>
      </c>
      <c r="L484" t="s">
        <v>3610</v>
      </c>
      <c r="M484" t="s">
        <v>3609</v>
      </c>
      <c r="P484" t="s">
        <v>4245</v>
      </c>
      <c r="Q484" t="s">
        <v>4249</v>
      </c>
      <c r="R484" t="s">
        <v>4258</v>
      </c>
      <c r="S484" t="s">
        <v>3611</v>
      </c>
      <c r="U484" t="s">
        <v>4268</v>
      </c>
      <c r="W484" t="s">
        <v>240</v>
      </c>
      <c r="X484">
        <v>1731.09</v>
      </c>
      <c r="Y484" t="s">
        <v>4351</v>
      </c>
      <c r="Z484" t="s">
        <v>4354</v>
      </c>
      <c r="AA484" t="s">
        <v>4373</v>
      </c>
      <c r="AB484" t="s">
        <v>4792</v>
      </c>
      <c r="AD484" t="s">
        <v>6188</v>
      </c>
      <c r="AE484">
        <v>0</v>
      </c>
      <c r="AF484" t="s">
        <v>7101</v>
      </c>
      <c r="AG484" t="s">
        <v>7116</v>
      </c>
      <c r="AH484">
        <v>23</v>
      </c>
      <c r="AI484">
        <v>5</v>
      </c>
      <c r="AJ484">
        <v>2</v>
      </c>
      <c r="AK484">
        <v>75.14</v>
      </c>
      <c r="AN484" t="s">
        <v>7138</v>
      </c>
      <c r="AO484">
        <v>28600</v>
      </c>
      <c r="AU484">
        <v>4.5</v>
      </c>
      <c r="AV484" t="s">
        <v>271</v>
      </c>
      <c r="AW484" t="s">
        <v>7342</v>
      </c>
    </row>
    <row r="485" spans="1:50">
      <c r="A485" s="1">
        <f>HYPERLINK("https://lsnyc.legalserver.org/matter/dynamic-profile/view/0828022","17-0828022")</f>
        <v>0</v>
      </c>
      <c r="B485" t="s">
        <v>64</v>
      </c>
      <c r="C485" t="s">
        <v>105</v>
      </c>
      <c r="D485" t="s">
        <v>300</v>
      </c>
      <c r="F485" t="s">
        <v>1005</v>
      </c>
      <c r="G485" t="s">
        <v>1885</v>
      </c>
      <c r="H485" t="s">
        <v>2651</v>
      </c>
      <c r="I485" t="s">
        <v>3316</v>
      </c>
      <c r="J485" t="s">
        <v>3604</v>
      </c>
      <c r="K485">
        <v>10034</v>
      </c>
      <c r="L485" t="s">
        <v>3611</v>
      </c>
      <c r="M485" t="s">
        <v>3609</v>
      </c>
      <c r="O485" t="s">
        <v>4213</v>
      </c>
      <c r="P485" t="s">
        <v>4241</v>
      </c>
      <c r="R485" t="s">
        <v>4258</v>
      </c>
      <c r="S485" t="s">
        <v>3610</v>
      </c>
      <c r="U485" t="s">
        <v>4268</v>
      </c>
      <c r="W485" t="s">
        <v>436</v>
      </c>
      <c r="X485">
        <v>1529</v>
      </c>
      <c r="Y485" t="s">
        <v>4351</v>
      </c>
      <c r="Z485" t="s">
        <v>4352</v>
      </c>
      <c r="AB485" t="s">
        <v>4793</v>
      </c>
      <c r="AD485" t="s">
        <v>6189</v>
      </c>
      <c r="AE485">
        <v>25</v>
      </c>
      <c r="AF485" t="s">
        <v>7101</v>
      </c>
      <c r="AG485" t="s">
        <v>7116</v>
      </c>
      <c r="AH485">
        <v>28</v>
      </c>
      <c r="AI485">
        <v>1</v>
      </c>
      <c r="AJ485">
        <v>0</v>
      </c>
      <c r="AK485">
        <v>75.22</v>
      </c>
      <c r="AN485" t="s">
        <v>7139</v>
      </c>
      <c r="AO485">
        <v>9072</v>
      </c>
      <c r="AU485">
        <v>1</v>
      </c>
      <c r="AV485" t="s">
        <v>109</v>
      </c>
      <c r="AW485" t="s">
        <v>7341</v>
      </c>
    </row>
    <row r="486" spans="1:50">
      <c r="A486" s="1">
        <f>HYPERLINK("https://lsnyc.legalserver.org/matter/dynamic-profile/view/1835814","17-1835814")</f>
        <v>0</v>
      </c>
      <c r="B486" t="s">
        <v>93</v>
      </c>
      <c r="C486" t="s">
        <v>104</v>
      </c>
      <c r="D486" t="s">
        <v>403</v>
      </c>
      <c r="E486" t="s">
        <v>655</v>
      </c>
      <c r="F486" t="s">
        <v>1006</v>
      </c>
      <c r="G486" t="s">
        <v>1886</v>
      </c>
      <c r="H486" t="s">
        <v>2762</v>
      </c>
      <c r="I486" t="s">
        <v>3294</v>
      </c>
      <c r="J486" t="s">
        <v>3604</v>
      </c>
      <c r="K486">
        <v>10035</v>
      </c>
      <c r="L486" t="s">
        <v>3610</v>
      </c>
      <c r="M486" t="s">
        <v>3610</v>
      </c>
      <c r="O486" t="s">
        <v>4211</v>
      </c>
      <c r="P486" t="s">
        <v>4245</v>
      </c>
      <c r="Q486" t="s">
        <v>4250</v>
      </c>
      <c r="R486" t="s">
        <v>4258</v>
      </c>
      <c r="S486" t="s">
        <v>3611</v>
      </c>
      <c r="U486" t="s">
        <v>4268</v>
      </c>
      <c r="V486" t="s">
        <v>4274</v>
      </c>
      <c r="W486" t="s">
        <v>133</v>
      </c>
      <c r="X486">
        <v>874.6</v>
      </c>
      <c r="Y486" t="s">
        <v>4351</v>
      </c>
      <c r="Z486" t="s">
        <v>4354</v>
      </c>
      <c r="AA486" t="s">
        <v>4377</v>
      </c>
      <c r="AB486" t="s">
        <v>4794</v>
      </c>
      <c r="AD486" t="s">
        <v>6190</v>
      </c>
      <c r="AE486">
        <v>9</v>
      </c>
      <c r="AF486" t="s">
        <v>7101</v>
      </c>
      <c r="AG486" t="s">
        <v>3745</v>
      </c>
      <c r="AH486">
        <v>5</v>
      </c>
      <c r="AI486">
        <v>1</v>
      </c>
      <c r="AJ486">
        <v>0</v>
      </c>
      <c r="AK486">
        <v>75.26000000000001</v>
      </c>
      <c r="AN486" t="s">
        <v>7138</v>
      </c>
      <c r="AO486">
        <v>9076.799999999999</v>
      </c>
      <c r="AU486">
        <v>7.25</v>
      </c>
      <c r="AV486" t="s">
        <v>362</v>
      </c>
      <c r="AW486" t="s">
        <v>7341</v>
      </c>
    </row>
    <row r="487" spans="1:50">
      <c r="A487" s="1">
        <f>HYPERLINK("https://lsnyc.legalserver.org/matter/dynamic-profile/view/1853735","17-1853735")</f>
        <v>0</v>
      </c>
      <c r="B487" t="s">
        <v>57</v>
      </c>
      <c r="C487" t="s">
        <v>104</v>
      </c>
      <c r="D487" t="s">
        <v>193</v>
      </c>
      <c r="E487" t="s">
        <v>329</v>
      </c>
      <c r="F487" t="s">
        <v>1006</v>
      </c>
      <c r="G487" t="s">
        <v>1886</v>
      </c>
      <c r="H487" t="s">
        <v>2762</v>
      </c>
      <c r="I487" t="s">
        <v>3294</v>
      </c>
      <c r="J487" t="s">
        <v>3604</v>
      </c>
      <c r="K487">
        <v>10035</v>
      </c>
      <c r="L487" t="s">
        <v>3610</v>
      </c>
      <c r="M487" t="s">
        <v>3609</v>
      </c>
      <c r="O487" t="s">
        <v>4212</v>
      </c>
      <c r="P487" t="s">
        <v>4242</v>
      </c>
      <c r="Q487" t="s">
        <v>4250</v>
      </c>
      <c r="R487" t="s">
        <v>4258</v>
      </c>
      <c r="S487" t="s">
        <v>3611</v>
      </c>
      <c r="U487" t="s">
        <v>4270</v>
      </c>
      <c r="W487" t="s">
        <v>193</v>
      </c>
      <c r="X487">
        <v>874.6</v>
      </c>
      <c r="Y487" t="s">
        <v>4351</v>
      </c>
      <c r="Z487" t="s">
        <v>4354</v>
      </c>
      <c r="AA487" t="s">
        <v>4381</v>
      </c>
      <c r="AB487" t="s">
        <v>4794</v>
      </c>
      <c r="AD487" t="s">
        <v>6190</v>
      </c>
      <c r="AE487">
        <v>9</v>
      </c>
      <c r="AF487" t="s">
        <v>7101</v>
      </c>
      <c r="AG487" t="s">
        <v>3745</v>
      </c>
      <c r="AH487">
        <v>5</v>
      </c>
      <c r="AI487">
        <v>1</v>
      </c>
      <c r="AJ487">
        <v>0</v>
      </c>
      <c r="AK487">
        <v>75.26000000000001</v>
      </c>
      <c r="AN487" t="s">
        <v>7138</v>
      </c>
      <c r="AO487">
        <v>9076.08</v>
      </c>
      <c r="AU487">
        <v>1.5</v>
      </c>
      <c r="AV487" t="s">
        <v>302</v>
      </c>
      <c r="AW487" t="s">
        <v>7341</v>
      </c>
    </row>
    <row r="488" spans="1:50">
      <c r="A488" s="1">
        <f>HYPERLINK("https://lsnyc.legalserver.org/matter/dynamic-profile/view/1857586","18-1857586")</f>
        <v>0</v>
      </c>
      <c r="B488" t="s">
        <v>56</v>
      </c>
      <c r="C488" t="s">
        <v>104</v>
      </c>
      <c r="D488" t="s">
        <v>404</v>
      </c>
      <c r="E488" t="s">
        <v>665</v>
      </c>
      <c r="F488" t="s">
        <v>704</v>
      </c>
      <c r="G488" t="s">
        <v>1887</v>
      </c>
      <c r="H488" t="s">
        <v>2569</v>
      </c>
      <c r="I488" t="s">
        <v>3344</v>
      </c>
      <c r="J488" t="s">
        <v>3604</v>
      </c>
      <c r="K488">
        <v>10034</v>
      </c>
      <c r="L488" t="s">
        <v>3610</v>
      </c>
      <c r="M488" t="s">
        <v>3610</v>
      </c>
      <c r="O488" t="s">
        <v>4220</v>
      </c>
      <c r="P488" t="s">
        <v>4245</v>
      </c>
      <c r="Q488" t="s">
        <v>4249</v>
      </c>
      <c r="R488" t="s">
        <v>4258</v>
      </c>
      <c r="S488" t="s">
        <v>3611</v>
      </c>
      <c r="U488" t="s">
        <v>4268</v>
      </c>
      <c r="W488" t="s">
        <v>404</v>
      </c>
      <c r="X488">
        <v>659.62</v>
      </c>
      <c r="Y488" t="s">
        <v>4351</v>
      </c>
      <c r="Z488" t="s">
        <v>4354</v>
      </c>
      <c r="AA488" t="s">
        <v>4377</v>
      </c>
      <c r="AB488" t="s">
        <v>4795</v>
      </c>
      <c r="AD488" t="s">
        <v>6191</v>
      </c>
      <c r="AE488">
        <v>121</v>
      </c>
      <c r="AF488" t="s">
        <v>7104</v>
      </c>
      <c r="AG488" t="s">
        <v>3745</v>
      </c>
      <c r="AH488">
        <v>43</v>
      </c>
      <c r="AI488">
        <v>1</v>
      </c>
      <c r="AJ488">
        <v>0</v>
      </c>
      <c r="AK488">
        <v>75.42</v>
      </c>
      <c r="AN488" t="s">
        <v>7139</v>
      </c>
      <c r="AO488">
        <v>9096</v>
      </c>
      <c r="AU488">
        <v>1.15</v>
      </c>
      <c r="AV488" t="s">
        <v>665</v>
      </c>
      <c r="AW488" t="s">
        <v>7342</v>
      </c>
    </row>
    <row r="489" spans="1:50">
      <c r="A489" s="1">
        <f>HYPERLINK("https://lsnyc.legalserver.org/matter/dynamic-profile/view/1840397","17-1840397")</f>
        <v>0</v>
      </c>
      <c r="B489" t="s">
        <v>63</v>
      </c>
      <c r="C489" t="s">
        <v>104</v>
      </c>
      <c r="D489" t="s">
        <v>297</v>
      </c>
      <c r="E489" t="s">
        <v>271</v>
      </c>
      <c r="F489" t="s">
        <v>999</v>
      </c>
      <c r="G489" t="s">
        <v>1737</v>
      </c>
      <c r="H489" t="s">
        <v>2647</v>
      </c>
      <c r="I489">
        <v>41</v>
      </c>
      <c r="J489" t="s">
        <v>3604</v>
      </c>
      <c r="K489">
        <v>10033</v>
      </c>
      <c r="L489" t="s">
        <v>3610</v>
      </c>
      <c r="M489" t="s">
        <v>3610</v>
      </c>
      <c r="N489" t="s">
        <v>3803</v>
      </c>
      <c r="O489" t="s">
        <v>4225</v>
      </c>
      <c r="P489" t="s">
        <v>4241</v>
      </c>
      <c r="Q489" t="s">
        <v>4248</v>
      </c>
      <c r="R489" t="s">
        <v>4258</v>
      </c>
      <c r="S489" t="s">
        <v>3610</v>
      </c>
      <c r="U489" t="s">
        <v>4268</v>
      </c>
      <c r="W489" t="s">
        <v>4297</v>
      </c>
      <c r="X489">
        <v>817.79</v>
      </c>
      <c r="Y489" t="s">
        <v>4351</v>
      </c>
      <c r="Z489" t="s">
        <v>4354</v>
      </c>
      <c r="AA489" t="s">
        <v>4384</v>
      </c>
      <c r="AB489" t="s">
        <v>4787</v>
      </c>
      <c r="AD489" t="s">
        <v>6182</v>
      </c>
      <c r="AE489">
        <v>33</v>
      </c>
      <c r="AF489" t="s">
        <v>7101</v>
      </c>
      <c r="AG489" t="s">
        <v>7116</v>
      </c>
      <c r="AH489">
        <v>41</v>
      </c>
      <c r="AI489">
        <v>1</v>
      </c>
      <c r="AJ489">
        <v>0</v>
      </c>
      <c r="AK489">
        <v>75.42</v>
      </c>
      <c r="AN489" t="s">
        <v>7138</v>
      </c>
      <c r="AO489">
        <v>9096</v>
      </c>
      <c r="AU489">
        <v>0.65</v>
      </c>
      <c r="AV489" t="s">
        <v>271</v>
      </c>
      <c r="AW489" t="s">
        <v>7342</v>
      </c>
    </row>
    <row r="490" spans="1:50">
      <c r="A490" s="1">
        <f>HYPERLINK("https://lsnyc.legalserver.org/matter/dynamic-profile/view/0823365","16-0823365")</f>
        <v>0</v>
      </c>
      <c r="B490" t="s">
        <v>64</v>
      </c>
      <c r="C490" t="s">
        <v>104</v>
      </c>
      <c r="D490" t="s">
        <v>405</v>
      </c>
      <c r="E490" t="s">
        <v>201</v>
      </c>
      <c r="F490" t="s">
        <v>1007</v>
      </c>
      <c r="G490" t="s">
        <v>1718</v>
      </c>
      <c r="H490" t="s">
        <v>2763</v>
      </c>
      <c r="I490" t="s">
        <v>3414</v>
      </c>
      <c r="J490" t="s">
        <v>3604</v>
      </c>
      <c r="K490">
        <v>10034</v>
      </c>
      <c r="L490" t="s">
        <v>3610</v>
      </c>
      <c r="M490" t="s">
        <v>3609</v>
      </c>
      <c r="O490" t="s">
        <v>4211</v>
      </c>
      <c r="P490" t="s">
        <v>4244</v>
      </c>
      <c r="Q490" t="s">
        <v>4254</v>
      </c>
      <c r="R490" t="s">
        <v>4258</v>
      </c>
      <c r="S490" t="s">
        <v>3611</v>
      </c>
      <c r="U490" t="s">
        <v>4268</v>
      </c>
      <c r="W490" t="s">
        <v>405</v>
      </c>
      <c r="X490">
        <v>811.54</v>
      </c>
      <c r="Y490" t="s">
        <v>4351</v>
      </c>
      <c r="Z490" t="s">
        <v>4361</v>
      </c>
      <c r="AA490" t="s">
        <v>4377</v>
      </c>
      <c r="AB490" t="s">
        <v>4796</v>
      </c>
      <c r="AD490" t="s">
        <v>6192</v>
      </c>
      <c r="AE490">
        <v>146</v>
      </c>
      <c r="AF490" t="s">
        <v>7101</v>
      </c>
      <c r="AG490" t="s">
        <v>3745</v>
      </c>
      <c r="AH490">
        <v>21</v>
      </c>
      <c r="AI490">
        <v>1</v>
      </c>
      <c r="AJ490">
        <v>0</v>
      </c>
      <c r="AK490">
        <v>75.56</v>
      </c>
      <c r="AN490" t="s">
        <v>7139</v>
      </c>
      <c r="AO490">
        <v>8976</v>
      </c>
      <c r="AU490">
        <v>25.25</v>
      </c>
      <c r="AV490" t="s">
        <v>201</v>
      </c>
      <c r="AW490" t="s">
        <v>7341</v>
      </c>
    </row>
    <row r="491" spans="1:50">
      <c r="A491" s="1">
        <f>HYPERLINK("https://lsnyc.legalserver.org/matter/dynamic-profile/view/1870468","18-1870468")</f>
        <v>0</v>
      </c>
      <c r="B491" t="s">
        <v>53</v>
      </c>
      <c r="C491" t="s">
        <v>105</v>
      </c>
      <c r="D491" t="s">
        <v>141</v>
      </c>
      <c r="F491" t="s">
        <v>1008</v>
      </c>
      <c r="G491" t="s">
        <v>1888</v>
      </c>
      <c r="H491" t="s">
        <v>2764</v>
      </c>
      <c r="I491" t="s">
        <v>3338</v>
      </c>
      <c r="J491" t="s">
        <v>3604</v>
      </c>
      <c r="K491">
        <v>10029</v>
      </c>
      <c r="L491" t="s">
        <v>3610</v>
      </c>
      <c r="M491" t="s">
        <v>3610</v>
      </c>
      <c r="N491" t="s">
        <v>3804</v>
      </c>
      <c r="O491" t="s">
        <v>4209</v>
      </c>
      <c r="P491" t="s">
        <v>4241</v>
      </c>
      <c r="R491" t="s">
        <v>4258</v>
      </c>
      <c r="S491" t="s">
        <v>3611</v>
      </c>
      <c r="U491" t="s">
        <v>4268</v>
      </c>
      <c r="V491" t="s">
        <v>4274</v>
      </c>
      <c r="W491" t="s">
        <v>4289</v>
      </c>
      <c r="X491">
        <v>986</v>
      </c>
      <c r="Y491" t="s">
        <v>4351</v>
      </c>
      <c r="Z491" t="s">
        <v>4353</v>
      </c>
      <c r="AB491" t="s">
        <v>4797</v>
      </c>
      <c r="AD491" t="s">
        <v>6193</v>
      </c>
      <c r="AE491">
        <v>24</v>
      </c>
      <c r="AF491" t="s">
        <v>7110</v>
      </c>
      <c r="AG491" t="s">
        <v>3745</v>
      </c>
      <c r="AH491">
        <v>1</v>
      </c>
      <c r="AI491">
        <v>2</v>
      </c>
      <c r="AJ491">
        <v>2</v>
      </c>
      <c r="AK491">
        <v>75.7</v>
      </c>
      <c r="AN491" t="s">
        <v>7139</v>
      </c>
      <c r="AO491">
        <v>19000</v>
      </c>
      <c r="AU491">
        <v>31.5</v>
      </c>
      <c r="AV491" t="s">
        <v>325</v>
      </c>
      <c r="AW491" t="s">
        <v>7344</v>
      </c>
      <c r="AX491" t="s">
        <v>7377</v>
      </c>
    </row>
    <row r="492" spans="1:50">
      <c r="A492" s="1">
        <f>HYPERLINK("https://lsnyc.legalserver.org/matter/dynamic-profile/view/1846658","17-1846658")</f>
        <v>0</v>
      </c>
      <c r="B492" t="s">
        <v>61</v>
      </c>
      <c r="C492" t="s">
        <v>105</v>
      </c>
      <c r="D492" t="s">
        <v>406</v>
      </c>
      <c r="F492" t="s">
        <v>1009</v>
      </c>
      <c r="G492" t="s">
        <v>1889</v>
      </c>
      <c r="H492" t="s">
        <v>2765</v>
      </c>
      <c r="I492" t="s">
        <v>3288</v>
      </c>
      <c r="J492" t="s">
        <v>3604</v>
      </c>
      <c r="K492">
        <v>10034</v>
      </c>
      <c r="L492" t="s">
        <v>3609</v>
      </c>
      <c r="M492" t="s">
        <v>3609</v>
      </c>
      <c r="R492" t="s">
        <v>4258</v>
      </c>
      <c r="U492" t="s">
        <v>4268</v>
      </c>
      <c r="X492">
        <v>1375</v>
      </c>
      <c r="Y492" t="s">
        <v>4351</v>
      </c>
      <c r="Z492" t="s">
        <v>4365</v>
      </c>
      <c r="AB492" t="s">
        <v>4798</v>
      </c>
      <c r="AD492" t="s">
        <v>6194</v>
      </c>
      <c r="AE492">
        <v>28</v>
      </c>
      <c r="AH492">
        <v>3</v>
      </c>
      <c r="AI492">
        <v>1</v>
      </c>
      <c r="AJ492">
        <v>0</v>
      </c>
      <c r="AK492">
        <v>75.72</v>
      </c>
      <c r="AN492" t="s">
        <v>7139</v>
      </c>
      <c r="AO492">
        <v>9132</v>
      </c>
      <c r="AU492">
        <v>1.2</v>
      </c>
      <c r="AV492" t="s">
        <v>295</v>
      </c>
      <c r="AW492" t="s">
        <v>7354</v>
      </c>
    </row>
    <row r="493" spans="1:50">
      <c r="A493" s="1">
        <f>HYPERLINK("https://lsnyc.legalserver.org/matter/dynamic-profile/view/1866397","18-1866397")</f>
        <v>0</v>
      </c>
      <c r="B493" t="s">
        <v>62</v>
      </c>
      <c r="C493" t="s">
        <v>104</v>
      </c>
      <c r="D493" t="s">
        <v>407</v>
      </c>
      <c r="E493" t="s">
        <v>192</v>
      </c>
      <c r="F493" t="s">
        <v>1010</v>
      </c>
      <c r="G493" t="s">
        <v>1846</v>
      </c>
      <c r="H493" t="s">
        <v>2766</v>
      </c>
      <c r="I493" t="s">
        <v>3345</v>
      </c>
      <c r="J493" t="s">
        <v>3604</v>
      </c>
      <c r="K493">
        <v>10034</v>
      </c>
      <c r="L493" t="s">
        <v>3610</v>
      </c>
      <c r="M493" t="s">
        <v>3610</v>
      </c>
      <c r="O493" t="s">
        <v>4210</v>
      </c>
      <c r="P493" t="s">
        <v>4241</v>
      </c>
      <c r="Q493" t="s">
        <v>4248</v>
      </c>
      <c r="R493" t="s">
        <v>4258</v>
      </c>
      <c r="S493" t="s">
        <v>3611</v>
      </c>
      <c r="U493" t="s">
        <v>4271</v>
      </c>
      <c r="W493" t="s">
        <v>616</v>
      </c>
      <c r="X493">
        <v>1421.48</v>
      </c>
      <c r="Y493" t="s">
        <v>4351</v>
      </c>
      <c r="Z493" t="s">
        <v>4354</v>
      </c>
      <c r="AA493" t="s">
        <v>4379</v>
      </c>
      <c r="AB493" t="s">
        <v>4799</v>
      </c>
      <c r="AD493" t="s">
        <v>6195</v>
      </c>
      <c r="AE493">
        <v>20</v>
      </c>
      <c r="AF493" t="s">
        <v>7101</v>
      </c>
      <c r="AG493" t="s">
        <v>7116</v>
      </c>
      <c r="AH493">
        <v>20</v>
      </c>
      <c r="AI493">
        <v>2</v>
      </c>
      <c r="AJ493">
        <v>1</v>
      </c>
      <c r="AK493">
        <v>75.84</v>
      </c>
      <c r="AN493" t="s">
        <v>7139</v>
      </c>
      <c r="AO493">
        <v>15760</v>
      </c>
      <c r="AU493">
        <v>9.050000000000001</v>
      </c>
      <c r="AV493" t="s">
        <v>7294</v>
      </c>
      <c r="AW493" t="s">
        <v>7343</v>
      </c>
    </row>
    <row r="494" spans="1:50">
      <c r="A494" s="1">
        <f>HYPERLINK("https://lsnyc.legalserver.org/matter/dynamic-profile/view/1898713","19-1898713")</f>
        <v>0</v>
      </c>
      <c r="B494" t="s">
        <v>70</v>
      </c>
      <c r="C494" t="s">
        <v>104</v>
      </c>
      <c r="D494" t="s">
        <v>408</v>
      </c>
      <c r="E494" t="s">
        <v>424</v>
      </c>
      <c r="F494" t="s">
        <v>1011</v>
      </c>
      <c r="G494" t="s">
        <v>1600</v>
      </c>
      <c r="H494" t="s">
        <v>2536</v>
      </c>
      <c r="I494" t="s">
        <v>3415</v>
      </c>
      <c r="J494" t="s">
        <v>3604</v>
      </c>
      <c r="K494">
        <v>10029</v>
      </c>
      <c r="L494" t="s">
        <v>3610</v>
      </c>
      <c r="M494" t="s">
        <v>3610</v>
      </c>
      <c r="O494" t="s">
        <v>4211</v>
      </c>
      <c r="P494" t="s">
        <v>4242</v>
      </c>
      <c r="Q494" t="s">
        <v>4250</v>
      </c>
      <c r="R494" t="s">
        <v>4258</v>
      </c>
      <c r="S494" t="s">
        <v>3611</v>
      </c>
      <c r="U494" t="s">
        <v>4268</v>
      </c>
      <c r="V494" t="s">
        <v>4274</v>
      </c>
      <c r="W494" t="s">
        <v>408</v>
      </c>
      <c r="X494">
        <v>480</v>
      </c>
      <c r="Y494" t="s">
        <v>4351</v>
      </c>
      <c r="Z494" t="s">
        <v>4352</v>
      </c>
      <c r="AA494" t="s">
        <v>4373</v>
      </c>
      <c r="AB494" t="s">
        <v>4800</v>
      </c>
      <c r="AE494">
        <v>1267</v>
      </c>
      <c r="AF494" t="s">
        <v>7102</v>
      </c>
      <c r="AG494" t="s">
        <v>7116</v>
      </c>
      <c r="AH494">
        <v>37</v>
      </c>
      <c r="AI494">
        <v>2</v>
      </c>
      <c r="AJ494">
        <v>1</v>
      </c>
      <c r="AK494">
        <v>75.89</v>
      </c>
      <c r="AN494" t="s">
        <v>7138</v>
      </c>
      <c r="AO494">
        <v>16188</v>
      </c>
      <c r="AU494">
        <v>0.1</v>
      </c>
      <c r="AV494" t="s">
        <v>424</v>
      </c>
      <c r="AW494" t="s">
        <v>7347</v>
      </c>
      <c r="AX494" t="s">
        <v>7377</v>
      </c>
    </row>
    <row r="495" spans="1:50">
      <c r="A495" s="1">
        <f>HYPERLINK("https://lsnyc.legalserver.org/matter/dynamic-profile/view/1880103","18-1880103")</f>
        <v>0</v>
      </c>
      <c r="B495" t="s">
        <v>52</v>
      </c>
      <c r="C495" t="s">
        <v>105</v>
      </c>
      <c r="D495" t="s">
        <v>269</v>
      </c>
      <c r="F495" t="s">
        <v>1012</v>
      </c>
      <c r="G495" t="s">
        <v>1890</v>
      </c>
      <c r="H495" t="s">
        <v>2767</v>
      </c>
      <c r="I495">
        <v>27</v>
      </c>
      <c r="J495" t="s">
        <v>3604</v>
      </c>
      <c r="K495">
        <v>10034</v>
      </c>
      <c r="L495" t="s">
        <v>3610</v>
      </c>
      <c r="M495" t="s">
        <v>3610</v>
      </c>
      <c r="P495" t="s">
        <v>4241</v>
      </c>
      <c r="R495" t="s">
        <v>4258</v>
      </c>
      <c r="S495" t="s">
        <v>3611</v>
      </c>
      <c r="U495" t="s">
        <v>4268</v>
      </c>
      <c r="W495" t="s">
        <v>269</v>
      </c>
      <c r="X495">
        <v>1200.41</v>
      </c>
      <c r="Y495" t="s">
        <v>4351</v>
      </c>
      <c r="Z495" t="s">
        <v>4354</v>
      </c>
      <c r="AB495" t="s">
        <v>4801</v>
      </c>
      <c r="AD495" t="s">
        <v>6196</v>
      </c>
      <c r="AE495">
        <v>41</v>
      </c>
      <c r="AF495" t="s">
        <v>7101</v>
      </c>
      <c r="AG495" t="s">
        <v>7118</v>
      </c>
      <c r="AH495">
        <v>9</v>
      </c>
      <c r="AI495">
        <v>1</v>
      </c>
      <c r="AJ495">
        <v>0</v>
      </c>
      <c r="AK495">
        <v>75.91</v>
      </c>
      <c r="AN495" t="s">
        <v>7139</v>
      </c>
      <c r="AO495">
        <v>9216</v>
      </c>
      <c r="AU495">
        <v>54.35</v>
      </c>
      <c r="AV495" t="s">
        <v>681</v>
      </c>
      <c r="AW495" t="s">
        <v>7342</v>
      </c>
    </row>
    <row r="496" spans="1:50">
      <c r="A496" s="1">
        <f>HYPERLINK("https://lsnyc.legalserver.org/matter/dynamic-profile/view/1866263","18-1866263")</f>
        <v>0</v>
      </c>
      <c r="B496" t="s">
        <v>94</v>
      </c>
      <c r="C496" t="s">
        <v>104</v>
      </c>
      <c r="D496" t="s">
        <v>239</v>
      </c>
      <c r="E496" t="s">
        <v>360</v>
      </c>
      <c r="F496" t="s">
        <v>1013</v>
      </c>
      <c r="G496" t="s">
        <v>1891</v>
      </c>
      <c r="H496" t="s">
        <v>2768</v>
      </c>
      <c r="I496">
        <v>10</v>
      </c>
      <c r="J496" t="s">
        <v>3604</v>
      </c>
      <c r="K496">
        <v>10002</v>
      </c>
      <c r="L496" t="s">
        <v>3609</v>
      </c>
      <c r="M496" t="s">
        <v>3609</v>
      </c>
      <c r="N496" t="s">
        <v>3805</v>
      </c>
      <c r="O496" t="s">
        <v>4210</v>
      </c>
      <c r="P496" t="s">
        <v>4242</v>
      </c>
      <c r="Q496" t="s">
        <v>4250</v>
      </c>
      <c r="R496" t="s">
        <v>4258</v>
      </c>
      <c r="U496" t="s">
        <v>4268</v>
      </c>
      <c r="X496">
        <v>1700</v>
      </c>
      <c r="Y496" t="s">
        <v>4351</v>
      </c>
      <c r="AA496" t="s">
        <v>4373</v>
      </c>
      <c r="AB496" t="s">
        <v>4802</v>
      </c>
      <c r="AD496" t="s">
        <v>6197</v>
      </c>
      <c r="AE496">
        <v>0</v>
      </c>
      <c r="AF496" t="s">
        <v>7101</v>
      </c>
      <c r="AH496">
        <v>15</v>
      </c>
      <c r="AI496">
        <v>2</v>
      </c>
      <c r="AJ496">
        <v>0</v>
      </c>
      <c r="AK496">
        <v>75.91</v>
      </c>
      <c r="AN496" t="s">
        <v>7146</v>
      </c>
      <c r="AO496">
        <v>12494</v>
      </c>
      <c r="AU496">
        <v>2.1</v>
      </c>
      <c r="AV496" t="s">
        <v>360</v>
      </c>
      <c r="AW496" t="s">
        <v>94</v>
      </c>
    </row>
    <row r="497" spans="1:50">
      <c r="A497" s="1">
        <f>HYPERLINK("https://lsnyc.legalserver.org/matter/dynamic-profile/view/1892846","19-1892846")</f>
        <v>0</v>
      </c>
      <c r="B497" t="s">
        <v>60</v>
      </c>
      <c r="C497" t="s">
        <v>105</v>
      </c>
      <c r="D497" t="s">
        <v>245</v>
      </c>
      <c r="F497" t="s">
        <v>1014</v>
      </c>
      <c r="G497" t="s">
        <v>1892</v>
      </c>
      <c r="H497" t="s">
        <v>2631</v>
      </c>
      <c r="I497">
        <v>52</v>
      </c>
      <c r="J497" t="s">
        <v>3604</v>
      </c>
      <c r="K497">
        <v>10034</v>
      </c>
      <c r="L497" t="s">
        <v>3610</v>
      </c>
      <c r="M497" t="s">
        <v>3610</v>
      </c>
      <c r="P497" t="s">
        <v>4242</v>
      </c>
      <c r="R497" t="s">
        <v>4258</v>
      </c>
      <c r="S497" t="s">
        <v>3610</v>
      </c>
      <c r="U497" t="s">
        <v>4268</v>
      </c>
      <c r="W497" t="s">
        <v>245</v>
      </c>
      <c r="X497">
        <v>900</v>
      </c>
      <c r="Y497" t="s">
        <v>4351</v>
      </c>
      <c r="Z497" t="s">
        <v>4354</v>
      </c>
      <c r="AB497" t="s">
        <v>4803</v>
      </c>
      <c r="AC497" t="s">
        <v>5816</v>
      </c>
      <c r="AD497" t="s">
        <v>6198</v>
      </c>
      <c r="AE497">
        <v>25</v>
      </c>
      <c r="AF497" t="s">
        <v>7101</v>
      </c>
      <c r="AG497" t="s">
        <v>3745</v>
      </c>
      <c r="AH497">
        <v>35</v>
      </c>
      <c r="AI497">
        <v>1</v>
      </c>
      <c r="AJ497">
        <v>0</v>
      </c>
      <c r="AK497">
        <v>76</v>
      </c>
      <c r="AN497" t="s">
        <v>7139</v>
      </c>
      <c r="AO497">
        <v>9492</v>
      </c>
      <c r="AU497">
        <v>0</v>
      </c>
      <c r="AW497" t="s">
        <v>7342</v>
      </c>
    </row>
    <row r="498" spans="1:50">
      <c r="A498" s="1">
        <f>HYPERLINK("https://lsnyc.legalserver.org/matter/dynamic-profile/view/0814926","16-0814926")</f>
        <v>0</v>
      </c>
      <c r="B498" t="s">
        <v>67</v>
      </c>
      <c r="C498" t="s">
        <v>104</v>
      </c>
      <c r="D498" t="s">
        <v>409</v>
      </c>
      <c r="E498" t="s">
        <v>642</v>
      </c>
      <c r="F498" t="s">
        <v>820</v>
      </c>
      <c r="G498" t="s">
        <v>1600</v>
      </c>
      <c r="H498" t="s">
        <v>2607</v>
      </c>
      <c r="I498">
        <v>6</v>
      </c>
      <c r="J498" t="s">
        <v>3604</v>
      </c>
      <c r="K498">
        <v>10029</v>
      </c>
      <c r="L498" t="s">
        <v>3609</v>
      </c>
      <c r="M498" t="s">
        <v>3610</v>
      </c>
      <c r="O498" t="s">
        <v>4211</v>
      </c>
      <c r="P498" t="s">
        <v>4245</v>
      </c>
      <c r="Q498" t="s">
        <v>4249</v>
      </c>
      <c r="R498" t="s">
        <v>4258</v>
      </c>
      <c r="S498" t="s">
        <v>3611</v>
      </c>
      <c r="U498" t="s">
        <v>4268</v>
      </c>
      <c r="V498" t="s">
        <v>4274</v>
      </c>
      <c r="W498" t="s">
        <v>4305</v>
      </c>
      <c r="X498">
        <v>550</v>
      </c>
      <c r="Y498" t="s">
        <v>4351</v>
      </c>
      <c r="Z498" t="s">
        <v>4354</v>
      </c>
      <c r="AA498" t="s">
        <v>4377</v>
      </c>
      <c r="AB498" t="s">
        <v>4804</v>
      </c>
      <c r="AD498" t="s">
        <v>6199</v>
      </c>
      <c r="AE498">
        <v>9</v>
      </c>
      <c r="AF498" t="s">
        <v>7101</v>
      </c>
      <c r="AG498" t="s">
        <v>3745</v>
      </c>
      <c r="AH498">
        <v>6</v>
      </c>
      <c r="AI498">
        <v>1</v>
      </c>
      <c r="AJ498">
        <v>0</v>
      </c>
      <c r="AK498">
        <v>76.06</v>
      </c>
      <c r="AN498" t="s">
        <v>7138</v>
      </c>
      <c r="AO498">
        <v>9036</v>
      </c>
      <c r="AU498">
        <v>55.5</v>
      </c>
      <c r="AV498" t="s">
        <v>267</v>
      </c>
      <c r="AW498" t="s">
        <v>7341</v>
      </c>
    </row>
    <row r="499" spans="1:50">
      <c r="A499" s="1">
        <f>HYPERLINK("https://lsnyc.legalserver.org/matter/dynamic-profile/view/1885978","18-1885978")</f>
        <v>0</v>
      </c>
      <c r="B499" t="s">
        <v>62</v>
      </c>
      <c r="C499" t="s">
        <v>104</v>
      </c>
      <c r="D499" t="s">
        <v>335</v>
      </c>
      <c r="E499" t="s">
        <v>540</v>
      </c>
      <c r="F499" t="s">
        <v>902</v>
      </c>
      <c r="G499" t="s">
        <v>1746</v>
      </c>
      <c r="H499" t="s">
        <v>2664</v>
      </c>
      <c r="I499" t="s">
        <v>3314</v>
      </c>
      <c r="J499" t="s">
        <v>3604</v>
      </c>
      <c r="K499">
        <v>10034</v>
      </c>
      <c r="L499" t="s">
        <v>3610</v>
      </c>
      <c r="M499" t="s">
        <v>3610</v>
      </c>
      <c r="N499" t="s">
        <v>3806</v>
      </c>
      <c r="O499" t="s">
        <v>4210</v>
      </c>
      <c r="P499" t="s">
        <v>4242</v>
      </c>
      <c r="Q499" t="s">
        <v>4250</v>
      </c>
      <c r="R499" t="s">
        <v>4258</v>
      </c>
      <c r="S499" t="s">
        <v>3611</v>
      </c>
      <c r="U499" t="s">
        <v>4268</v>
      </c>
      <c r="W499" t="s">
        <v>335</v>
      </c>
      <c r="X499">
        <v>1200</v>
      </c>
      <c r="Y499" t="s">
        <v>4351</v>
      </c>
      <c r="Z499" t="s">
        <v>4228</v>
      </c>
      <c r="AA499" t="s">
        <v>4373</v>
      </c>
      <c r="AB499" t="s">
        <v>4645</v>
      </c>
      <c r="AD499" t="s">
        <v>6057</v>
      </c>
      <c r="AE499">
        <v>15</v>
      </c>
      <c r="AF499" t="s">
        <v>7104</v>
      </c>
      <c r="AG499" t="s">
        <v>7116</v>
      </c>
      <c r="AH499">
        <v>8</v>
      </c>
      <c r="AI499">
        <v>1</v>
      </c>
      <c r="AJ499">
        <v>0</v>
      </c>
      <c r="AK499">
        <v>76.11</v>
      </c>
      <c r="AN499" t="s">
        <v>7139</v>
      </c>
      <c r="AO499">
        <v>9240</v>
      </c>
      <c r="AU499">
        <v>2.55</v>
      </c>
      <c r="AV499" t="s">
        <v>504</v>
      </c>
      <c r="AW499" t="s">
        <v>7343</v>
      </c>
    </row>
    <row r="500" spans="1:50">
      <c r="A500" s="1">
        <f>HYPERLINK("https://lsnyc.legalserver.org/matter/dynamic-profile/view/1871646","18-1871646")</f>
        <v>0</v>
      </c>
      <c r="B500" t="s">
        <v>68</v>
      </c>
      <c r="C500" t="s">
        <v>105</v>
      </c>
      <c r="D500" t="s">
        <v>410</v>
      </c>
      <c r="F500" t="s">
        <v>696</v>
      </c>
      <c r="G500" t="s">
        <v>1885</v>
      </c>
      <c r="H500" t="s">
        <v>2624</v>
      </c>
      <c r="I500">
        <v>504</v>
      </c>
      <c r="J500" t="s">
        <v>3604</v>
      </c>
      <c r="K500">
        <v>10029</v>
      </c>
      <c r="L500" t="s">
        <v>3610</v>
      </c>
      <c r="M500" t="s">
        <v>3610</v>
      </c>
      <c r="N500" t="s">
        <v>3807</v>
      </c>
      <c r="O500" t="s">
        <v>4210</v>
      </c>
      <c r="P500" t="s">
        <v>4241</v>
      </c>
      <c r="R500" t="s">
        <v>4258</v>
      </c>
      <c r="S500" t="s">
        <v>3611</v>
      </c>
      <c r="U500" t="s">
        <v>4268</v>
      </c>
      <c r="V500" t="s">
        <v>4274</v>
      </c>
      <c r="W500" t="s">
        <v>410</v>
      </c>
      <c r="X500">
        <v>1000</v>
      </c>
      <c r="Y500" t="s">
        <v>4351</v>
      </c>
      <c r="Z500" t="s">
        <v>4354</v>
      </c>
      <c r="AB500" t="s">
        <v>4805</v>
      </c>
      <c r="AD500" t="s">
        <v>6200</v>
      </c>
      <c r="AE500">
        <v>78</v>
      </c>
      <c r="AF500" t="s">
        <v>7101</v>
      </c>
      <c r="AG500" t="s">
        <v>7116</v>
      </c>
      <c r="AH500">
        <v>9</v>
      </c>
      <c r="AI500">
        <v>1</v>
      </c>
      <c r="AJ500">
        <v>0</v>
      </c>
      <c r="AK500">
        <v>76.11</v>
      </c>
      <c r="AN500" t="s">
        <v>7139</v>
      </c>
      <c r="AO500">
        <v>9240</v>
      </c>
      <c r="AU500">
        <v>88.2</v>
      </c>
      <c r="AV500" t="s">
        <v>612</v>
      </c>
      <c r="AW500" t="s">
        <v>7341</v>
      </c>
      <c r="AX500" t="s">
        <v>7377</v>
      </c>
    </row>
    <row r="501" spans="1:50">
      <c r="A501" s="1">
        <f>HYPERLINK("https://lsnyc.legalserver.org/matter/dynamic-profile/view/1867832","18-1867832")</f>
        <v>0</v>
      </c>
      <c r="B501" t="s">
        <v>75</v>
      </c>
      <c r="C501" t="s">
        <v>105</v>
      </c>
      <c r="D501" t="s">
        <v>411</v>
      </c>
      <c r="F501" t="s">
        <v>719</v>
      </c>
      <c r="G501" t="s">
        <v>1893</v>
      </c>
      <c r="H501" t="s">
        <v>2769</v>
      </c>
      <c r="I501">
        <v>20</v>
      </c>
      <c r="J501" t="s">
        <v>3604</v>
      </c>
      <c r="K501">
        <v>10010</v>
      </c>
      <c r="L501" t="s">
        <v>3610</v>
      </c>
      <c r="M501" t="s">
        <v>3610</v>
      </c>
      <c r="O501" t="s">
        <v>4211</v>
      </c>
      <c r="P501" t="s">
        <v>4242</v>
      </c>
      <c r="R501" t="s">
        <v>4258</v>
      </c>
      <c r="S501" t="s">
        <v>3611</v>
      </c>
      <c r="U501" t="s">
        <v>4268</v>
      </c>
      <c r="W501" t="s">
        <v>4297</v>
      </c>
      <c r="X501">
        <v>643.36</v>
      </c>
      <c r="Y501" t="s">
        <v>4351</v>
      </c>
      <c r="Z501" t="s">
        <v>4352</v>
      </c>
      <c r="AB501" t="s">
        <v>4806</v>
      </c>
      <c r="AD501" t="s">
        <v>6201</v>
      </c>
      <c r="AE501">
        <v>0</v>
      </c>
      <c r="AF501" t="s">
        <v>7101</v>
      </c>
      <c r="AG501" t="s">
        <v>7118</v>
      </c>
      <c r="AH501">
        <v>41</v>
      </c>
      <c r="AI501">
        <v>1</v>
      </c>
      <c r="AJ501">
        <v>0</v>
      </c>
      <c r="AK501">
        <v>76.11</v>
      </c>
      <c r="AN501" t="s">
        <v>7139</v>
      </c>
      <c r="AO501">
        <v>9240</v>
      </c>
      <c r="AU501">
        <v>0.4</v>
      </c>
      <c r="AV501" t="s">
        <v>279</v>
      </c>
      <c r="AW501" t="s">
        <v>7344</v>
      </c>
    </row>
    <row r="502" spans="1:50">
      <c r="A502" s="1">
        <f>HYPERLINK("https://lsnyc.legalserver.org/matter/dynamic-profile/view/0820733","16-0820733")</f>
        <v>0</v>
      </c>
      <c r="B502" t="s">
        <v>61</v>
      </c>
      <c r="C502" t="s">
        <v>105</v>
      </c>
      <c r="D502" t="s">
        <v>412</v>
      </c>
      <c r="F502" t="s">
        <v>1015</v>
      </c>
      <c r="G502" t="s">
        <v>1604</v>
      </c>
      <c r="H502" t="s">
        <v>2741</v>
      </c>
      <c r="I502">
        <v>51</v>
      </c>
      <c r="J502" t="s">
        <v>3604</v>
      </c>
      <c r="K502">
        <v>10034</v>
      </c>
      <c r="L502" t="s">
        <v>3610</v>
      </c>
      <c r="M502" t="s">
        <v>3609</v>
      </c>
      <c r="O502" t="s">
        <v>4211</v>
      </c>
      <c r="P502" t="s">
        <v>4245</v>
      </c>
      <c r="R502" t="s">
        <v>4258</v>
      </c>
      <c r="S502" t="s">
        <v>3610</v>
      </c>
      <c r="U502" t="s">
        <v>4268</v>
      </c>
      <c r="W502" t="s">
        <v>412</v>
      </c>
      <c r="X502">
        <v>877.63</v>
      </c>
      <c r="Y502" t="s">
        <v>4351</v>
      </c>
      <c r="Z502" t="s">
        <v>4352</v>
      </c>
      <c r="AB502" t="s">
        <v>4807</v>
      </c>
      <c r="AD502" t="s">
        <v>6202</v>
      </c>
      <c r="AE502">
        <v>25</v>
      </c>
      <c r="AF502" t="s">
        <v>7101</v>
      </c>
      <c r="AG502" t="s">
        <v>3745</v>
      </c>
      <c r="AH502">
        <v>38</v>
      </c>
      <c r="AI502">
        <v>2</v>
      </c>
      <c r="AJ502">
        <v>0</v>
      </c>
      <c r="AK502">
        <v>76.56</v>
      </c>
      <c r="AN502" t="s">
        <v>7139</v>
      </c>
      <c r="AO502">
        <v>12264.48</v>
      </c>
      <c r="AU502">
        <v>17.8</v>
      </c>
      <c r="AV502" t="s">
        <v>410</v>
      </c>
      <c r="AW502" t="s">
        <v>7349</v>
      </c>
    </row>
    <row r="503" spans="1:50">
      <c r="A503" s="1">
        <f>HYPERLINK("https://lsnyc.legalserver.org/matter/dynamic-profile/view/1893577","19-1893577")</f>
        <v>0</v>
      </c>
      <c r="B503" t="s">
        <v>68</v>
      </c>
      <c r="C503" t="s">
        <v>104</v>
      </c>
      <c r="D503" t="s">
        <v>251</v>
      </c>
      <c r="E503" t="s">
        <v>253</v>
      </c>
      <c r="F503" t="s">
        <v>1016</v>
      </c>
      <c r="G503" t="s">
        <v>1894</v>
      </c>
      <c r="H503" t="s">
        <v>2770</v>
      </c>
      <c r="I503" t="s">
        <v>3398</v>
      </c>
      <c r="J503" t="s">
        <v>3604</v>
      </c>
      <c r="K503">
        <v>10035</v>
      </c>
      <c r="L503" t="s">
        <v>3610</v>
      </c>
      <c r="M503" t="s">
        <v>3610</v>
      </c>
      <c r="O503" t="s">
        <v>4211</v>
      </c>
      <c r="P503" t="s">
        <v>4245</v>
      </c>
      <c r="Q503" t="s">
        <v>4249</v>
      </c>
      <c r="R503" t="s">
        <v>4258</v>
      </c>
      <c r="S503" t="s">
        <v>3611</v>
      </c>
      <c r="U503" t="s">
        <v>4268</v>
      </c>
      <c r="V503" t="s">
        <v>4274</v>
      </c>
      <c r="W503" t="s">
        <v>352</v>
      </c>
      <c r="X503">
        <v>2212.04</v>
      </c>
      <c r="Y503" t="s">
        <v>4351</v>
      </c>
      <c r="Z503" t="s">
        <v>4352</v>
      </c>
      <c r="AA503" t="s">
        <v>4378</v>
      </c>
      <c r="AB503" t="s">
        <v>4808</v>
      </c>
      <c r="AD503" t="s">
        <v>6203</v>
      </c>
      <c r="AE503">
        <v>13</v>
      </c>
      <c r="AF503" t="s">
        <v>7104</v>
      </c>
      <c r="AG503" t="s">
        <v>3745</v>
      </c>
      <c r="AH503">
        <v>13</v>
      </c>
      <c r="AI503">
        <v>1</v>
      </c>
      <c r="AJ503">
        <v>0</v>
      </c>
      <c r="AK503">
        <v>76.86</v>
      </c>
      <c r="AN503" t="s">
        <v>7138</v>
      </c>
      <c r="AO503">
        <v>9600</v>
      </c>
      <c r="AU503">
        <v>4.25</v>
      </c>
      <c r="AV503" t="s">
        <v>253</v>
      </c>
      <c r="AW503" t="s">
        <v>7341</v>
      </c>
    </row>
    <row r="504" spans="1:50">
      <c r="A504" s="1">
        <f>HYPERLINK("https://lsnyc.legalserver.org/matter/dynamic-profile/view/1864049","18-1864049")</f>
        <v>0</v>
      </c>
      <c r="B504" t="s">
        <v>56</v>
      </c>
      <c r="C504" t="s">
        <v>105</v>
      </c>
      <c r="D504" t="s">
        <v>161</v>
      </c>
      <c r="F504" t="s">
        <v>973</v>
      </c>
      <c r="G504" t="s">
        <v>1895</v>
      </c>
      <c r="H504" t="s">
        <v>2534</v>
      </c>
      <c r="I504" t="s">
        <v>3274</v>
      </c>
      <c r="J504" t="s">
        <v>3604</v>
      </c>
      <c r="K504">
        <v>10040</v>
      </c>
      <c r="L504" t="s">
        <v>3610</v>
      </c>
      <c r="M504" t="s">
        <v>3609</v>
      </c>
      <c r="N504" t="s">
        <v>3656</v>
      </c>
      <c r="O504" t="s">
        <v>4213</v>
      </c>
      <c r="P504" t="s">
        <v>4241</v>
      </c>
      <c r="R504" t="s">
        <v>4258</v>
      </c>
      <c r="S504" t="s">
        <v>3610</v>
      </c>
      <c r="U504" t="s">
        <v>4268</v>
      </c>
      <c r="W504" t="s">
        <v>161</v>
      </c>
      <c r="X504">
        <v>1074</v>
      </c>
      <c r="Y504" t="s">
        <v>4351</v>
      </c>
      <c r="Z504" t="s">
        <v>4357</v>
      </c>
      <c r="AB504" t="s">
        <v>4809</v>
      </c>
      <c r="AD504" t="s">
        <v>6204</v>
      </c>
      <c r="AE504">
        <v>44</v>
      </c>
      <c r="AF504" t="s">
        <v>7101</v>
      </c>
      <c r="AG504" t="s">
        <v>3745</v>
      </c>
      <c r="AH504">
        <v>20</v>
      </c>
      <c r="AI504">
        <v>2</v>
      </c>
      <c r="AJ504">
        <v>1</v>
      </c>
      <c r="AK504">
        <v>77</v>
      </c>
      <c r="AL504" t="s">
        <v>246</v>
      </c>
      <c r="AN504" t="s">
        <v>7139</v>
      </c>
      <c r="AO504">
        <v>16000</v>
      </c>
      <c r="AU504">
        <v>0.01</v>
      </c>
      <c r="AV504" t="s">
        <v>612</v>
      </c>
      <c r="AW504" t="s">
        <v>7342</v>
      </c>
    </row>
    <row r="505" spans="1:50">
      <c r="A505" s="1">
        <f>HYPERLINK("https://lsnyc.legalserver.org/matter/dynamic-profile/view/1876131","18-1876131")</f>
        <v>0</v>
      </c>
      <c r="B505" t="s">
        <v>53</v>
      </c>
      <c r="C505" t="s">
        <v>105</v>
      </c>
      <c r="D505" t="s">
        <v>138</v>
      </c>
      <c r="F505" t="s">
        <v>719</v>
      </c>
      <c r="G505" t="s">
        <v>1896</v>
      </c>
      <c r="H505" t="s">
        <v>2636</v>
      </c>
      <c r="I505" t="s">
        <v>3341</v>
      </c>
      <c r="J505" t="s">
        <v>3604</v>
      </c>
      <c r="K505">
        <v>10031</v>
      </c>
      <c r="L505" t="s">
        <v>3610</v>
      </c>
      <c r="M505" t="s">
        <v>3610</v>
      </c>
      <c r="O505" t="s">
        <v>4211</v>
      </c>
      <c r="P505" t="s">
        <v>4242</v>
      </c>
      <c r="R505" t="s">
        <v>4258</v>
      </c>
      <c r="S505" t="s">
        <v>3610</v>
      </c>
      <c r="U505" t="s">
        <v>4268</v>
      </c>
      <c r="V505" t="s">
        <v>4274</v>
      </c>
      <c r="W505" t="s">
        <v>138</v>
      </c>
      <c r="X505">
        <v>144</v>
      </c>
      <c r="Y505" t="s">
        <v>4351</v>
      </c>
      <c r="Z505" t="s">
        <v>4352</v>
      </c>
      <c r="AB505" t="s">
        <v>4810</v>
      </c>
      <c r="AE505">
        <v>42</v>
      </c>
      <c r="AF505" t="s">
        <v>7106</v>
      </c>
      <c r="AG505" t="s">
        <v>7116</v>
      </c>
      <c r="AH505">
        <v>23</v>
      </c>
      <c r="AI505">
        <v>1</v>
      </c>
      <c r="AJ505">
        <v>0</v>
      </c>
      <c r="AK505">
        <v>77.09999999999999</v>
      </c>
      <c r="AN505" t="s">
        <v>7138</v>
      </c>
      <c r="AO505">
        <v>9360</v>
      </c>
      <c r="AP505" t="s">
        <v>7158</v>
      </c>
      <c r="AU505">
        <v>0.2</v>
      </c>
      <c r="AV505" t="s">
        <v>485</v>
      </c>
      <c r="AW505" t="s">
        <v>7341</v>
      </c>
    </row>
    <row r="506" spans="1:50">
      <c r="A506" s="1">
        <f>HYPERLINK("https://lsnyc.legalserver.org/matter/dynamic-profile/view/1866365","18-1866365")</f>
        <v>0</v>
      </c>
      <c r="B506" t="s">
        <v>67</v>
      </c>
      <c r="C506" t="s">
        <v>104</v>
      </c>
      <c r="D506" t="s">
        <v>407</v>
      </c>
      <c r="E506" t="s">
        <v>209</v>
      </c>
      <c r="F506" t="s">
        <v>820</v>
      </c>
      <c r="G506" t="s">
        <v>1897</v>
      </c>
      <c r="H506" t="s">
        <v>2771</v>
      </c>
      <c r="I506">
        <v>24</v>
      </c>
      <c r="J506" t="s">
        <v>3604</v>
      </c>
      <c r="K506">
        <v>10029</v>
      </c>
      <c r="L506" t="s">
        <v>3610</v>
      </c>
      <c r="M506" t="s">
        <v>3610</v>
      </c>
      <c r="N506" t="s">
        <v>3808</v>
      </c>
      <c r="O506" t="s">
        <v>4209</v>
      </c>
      <c r="P506" t="s">
        <v>4242</v>
      </c>
      <c r="Q506" t="s">
        <v>4250</v>
      </c>
      <c r="R506" t="s">
        <v>4258</v>
      </c>
      <c r="S506" t="s">
        <v>3611</v>
      </c>
      <c r="U506" t="s">
        <v>4268</v>
      </c>
      <c r="V506" t="s">
        <v>4274</v>
      </c>
      <c r="W506" t="s">
        <v>407</v>
      </c>
      <c r="X506">
        <v>633</v>
      </c>
      <c r="Y506" t="s">
        <v>4351</v>
      </c>
      <c r="Z506" t="s">
        <v>4353</v>
      </c>
      <c r="AA506" t="s">
        <v>4373</v>
      </c>
      <c r="AB506" t="s">
        <v>4811</v>
      </c>
      <c r="AD506" t="s">
        <v>6205</v>
      </c>
      <c r="AE506">
        <v>35</v>
      </c>
      <c r="AF506" t="s">
        <v>7101</v>
      </c>
      <c r="AG506" t="s">
        <v>3745</v>
      </c>
      <c r="AH506">
        <v>20</v>
      </c>
      <c r="AI506">
        <v>1</v>
      </c>
      <c r="AJ506">
        <v>0</v>
      </c>
      <c r="AK506">
        <v>77.09999999999999</v>
      </c>
      <c r="AN506" t="s">
        <v>7139</v>
      </c>
      <c r="AO506">
        <v>9360</v>
      </c>
      <c r="AU506">
        <v>0.2</v>
      </c>
      <c r="AV506" t="s">
        <v>209</v>
      </c>
      <c r="AW506" t="s">
        <v>7341</v>
      </c>
    </row>
    <row r="507" spans="1:50">
      <c r="A507" s="1">
        <f>HYPERLINK("https://lsnyc.legalserver.org/matter/dynamic-profile/view/1883625","18-1883625")</f>
        <v>0</v>
      </c>
      <c r="B507" t="s">
        <v>64</v>
      </c>
      <c r="C507" t="s">
        <v>104</v>
      </c>
      <c r="D507" t="s">
        <v>147</v>
      </c>
      <c r="E507" t="s">
        <v>642</v>
      </c>
      <c r="F507" t="s">
        <v>1017</v>
      </c>
      <c r="G507" t="s">
        <v>1898</v>
      </c>
      <c r="H507" t="s">
        <v>2772</v>
      </c>
      <c r="I507">
        <v>6</v>
      </c>
      <c r="J507" t="s">
        <v>3604</v>
      </c>
      <c r="K507">
        <v>10033</v>
      </c>
      <c r="L507" t="s">
        <v>3610</v>
      </c>
      <c r="M507" t="s">
        <v>3610</v>
      </c>
      <c r="O507" t="s">
        <v>4209</v>
      </c>
      <c r="P507" t="s">
        <v>4242</v>
      </c>
      <c r="Q507" t="s">
        <v>4250</v>
      </c>
      <c r="R507" t="s">
        <v>4258</v>
      </c>
      <c r="S507" t="s">
        <v>3611</v>
      </c>
      <c r="U507" t="s">
        <v>4268</v>
      </c>
      <c r="W507" t="s">
        <v>147</v>
      </c>
      <c r="X507">
        <v>160</v>
      </c>
      <c r="Y507" t="s">
        <v>4351</v>
      </c>
      <c r="Z507" t="s">
        <v>4357</v>
      </c>
      <c r="AA507" t="s">
        <v>4373</v>
      </c>
      <c r="AB507" t="s">
        <v>4812</v>
      </c>
      <c r="AD507" t="s">
        <v>6206</v>
      </c>
      <c r="AE507">
        <v>0</v>
      </c>
      <c r="AF507" t="s">
        <v>7101</v>
      </c>
      <c r="AG507" t="s">
        <v>7116</v>
      </c>
      <c r="AH507">
        <v>22</v>
      </c>
      <c r="AI507">
        <v>1</v>
      </c>
      <c r="AJ507">
        <v>0</v>
      </c>
      <c r="AK507">
        <v>77.2</v>
      </c>
      <c r="AN507" t="s">
        <v>7139</v>
      </c>
      <c r="AO507">
        <v>9372</v>
      </c>
      <c r="AU507">
        <v>2.5</v>
      </c>
      <c r="AV507" t="s">
        <v>656</v>
      </c>
      <c r="AW507" t="s">
        <v>7342</v>
      </c>
    </row>
    <row r="508" spans="1:50">
      <c r="A508" s="1">
        <f>HYPERLINK("https://lsnyc.legalserver.org/matter/dynamic-profile/view/1875101","18-1875101")</f>
        <v>0</v>
      </c>
      <c r="B508" t="s">
        <v>53</v>
      </c>
      <c r="C508" t="s">
        <v>105</v>
      </c>
      <c r="D508" t="s">
        <v>229</v>
      </c>
      <c r="F508" t="s">
        <v>1018</v>
      </c>
      <c r="G508" t="s">
        <v>1749</v>
      </c>
      <c r="H508" t="s">
        <v>2636</v>
      </c>
      <c r="I508" t="s">
        <v>3319</v>
      </c>
      <c r="J508" t="s">
        <v>3604</v>
      </c>
      <c r="K508">
        <v>10031</v>
      </c>
      <c r="L508" t="s">
        <v>3610</v>
      </c>
      <c r="M508" t="s">
        <v>3610</v>
      </c>
      <c r="N508" t="s">
        <v>3809</v>
      </c>
      <c r="O508" t="s">
        <v>4213</v>
      </c>
      <c r="P508" t="s">
        <v>4241</v>
      </c>
      <c r="R508" t="s">
        <v>4258</v>
      </c>
      <c r="S508" t="s">
        <v>3610</v>
      </c>
      <c r="U508" t="s">
        <v>4268</v>
      </c>
      <c r="V508" t="s">
        <v>4274</v>
      </c>
      <c r="W508" t="s">
        <v>229</v>
      </c>
      <c r="X508">
        <v>0</v>
      </c>
      <c r="Y508" t="s">
        <v>4351</v>
      </c>
      <c r="Z508" t="s">
        <v>4352</v>
      </c>
      <c r="AB508" t="s">
        <v>4813</v>
      </c>
      <c r="AE508">
        <v>42</v>
      </c>
      <c r="AF508" t="s">
        <v>7106</v>
      </c>
      <c r="AG508" t="s">
        <v>7116</v>
      </c>
      <c r="AH508">
        <v>31</v>
      </c>
      <c r="AI508">
        <v>1</v>
      </c>
      <c r="AJ508">
        <v>0</v>
      </c>
      <c r="AK508">
        <v>77.27</v>
      </c>
      <c r="AN508" t="s">
        <v>7138</v>
      </c>
      <c r="AO508">
        <v>9380.040000000001</v>
      </c>
      <c r="AQ508" t="s">
        <v>7197</v>
      </c>
      <c r="AU508">
        <v>1.25</v>
      </c>
      <c r="AV508" t="s">
        <v>7304</v>
      </c>
      <c r="AW508" t="s">
        <v>7341</v>
      </c>
      <c r="AX508" t="s">
        <v>7377</v>
      </c>
    </row>
    <row r="509" spans="1:50">
      <c r="A509" s="1">
        <f>HYPERLINK("https://lsnyc.legalserver.org/matter/dynamic-profile/view/1866694","18-1866694")</f>
        <v>0</v>
      </c>
      <c r="B509" t="s">
        <v>58</v>
      </c>
      <c r="C509" t="s">
        <v>105</v>
      </c>
      <c r="D509" t="s">
        <v>413</v>
      </c>
      <c r="F509" t="s">
        <v>866</v>
      </c>
      <c r="G509" t="s">
        <v>1743</v>
      </c>
      <c r="H509" t="s">
        <v>2627</v>
      </c>
      <c r="I509" t="s">
        <v>3365</v>
      </c>
      <c r="J509" t="s">
        <v>3604</v>
      </c>
      <c r="K509">
        <v>10034</v>
      </c>
      <c r="L509" t="s">
        <v>3609</v>
      </c>
      <c r="M509" t="s">
        <v>3609</v>
      </c>
      <c r="N509" t="s">
        <v>3716</v>
      </c>
      <c r="O509" t="s">
        <v>4209</v>
      </c>
      <c r="P509" t="s">
        <v>4242</v>
      </c>
      <c r="R509" t="s">
        <v>4258</v>
      </c>
      <c r="S509" t="s">
        <v>3610</v>
      </c>
      <c r="U509" t="s">
        <v>4268</v>
      </c>
      <c r="V509" t="s">
        <v>4274</v>
      </c>
      <c r="W509" t="s">
        <v>413</v>
      </c>
      <c r="X509">
        <v>1093</v>
      </c>
      <c r="Y509" t="s">
        <v>4351</v>
      </c>
      <c r="Z509" t="s">
        <v>4365</v>
      </c>
      <c r="AB509" t="s">
        <v>4595</v>
      </c>
      <c r="AC509" t="s">
        <v>5817</v>
      </c>
      <c r="AD509" t="s">
        <v>6016</v>
      </c>
      <c r="AE509">
        <v>36</v>
      </c>
      <c r="AF509" t="s">
        <v>7101</v>
      </c>
      <c r="AG509" t="s">
        <v>3745</v>
      </c>
      <c r="AH509">
        <v>18</v>
      </c>
      <c r="AI509">
        <v>1</v>
      </c>
      <c r="AJ509">
        <v>0</v>
      </c>
      <c r="AK509">
        <v>77.3</v>
      </c>
      <c r="AN509" t="s">
        <v>7138</v>
      </c>
      <c r="AO509">
        <v>9384</v>
      </c>
      <c r="AU509">
        <v>1.6</v>
      </c>
      <c r="AV509" t="s">
        <v>665</v>
      </c>
      <c r="AW509" t="s">
        <v>7369</v>
      </c>
    </row>
    <row r="510" spans="1:50">
      <c r="A510" s="1">
        <f>HYPERLINK("https://lsnyc.legalserver.org/matter/dynamic-profile/view/1836513","17-1836513")</f>
        <v>0</v>
      </c>
      <c r="B510" t="s">
        <v>54</v>
      </c>
      <c r="C510" t="s">
        <v>104</v>
      </c>
      <c r="D510" t="s">
        <v>414</v>
      </c>
      <c r="E510" t="s">
        <v>488</v>
      </c>
      <c r="F510" t="s">
        <v>981</v>
      </c>
      <c r="G510" t="s">
        <v>1688</v>
      </c>
      <c r="H510" t="s">
        <v>2773</v>
      </c>
      <c r="I510" t="s">
        <v>3416</v>
      </c>
      <c r="J510" t="s">
        <v>3604</v>
      </c>
      <c r="K510">
        <v>10010</v>
      </c>
      <c r="L510" t="s">
        <v>3610</v>
      </c>
      <c r="M510" t="s">
        <v>3609</v>
      </c>
      <c r="N510" t="s">
        <v>3810</v>
      </c>
      <c r="O510" t="s">
        <v>4210</v>
      </c>
      <c r="P510" t="s">
        <v>4241</v>
      </c>
      <c r="Q510" t="s">
        <v>4254</v>
      </c>
      <c r="R510" t="s">
        <v>4258</v>
      </c>
      <c r="S510" t="s">
        <v>3611</v>
      </c>
      <c r="T510" t="s">
        <v>4259</v>
      </c>
      <c r="U510" t="s">
        <v>4268</v>
      </c>
      <c r="W510" t="s">
        <v>234</v>
      </c>
      <c r="X510">
        <v>0</v>
      </c>
      <c r="Y510" t="s">
        <v>4351</v>
      </c>
      <c r="Z510" t="s">
        <v>4357</v>
      </c>
      <c r="AA510" t="s">
        <v>4374</v>
      </c>
      <c r="AB510" t="s">
        <v>4730</v>
      </c>
      <c r="AE510">
        <v>0</v>
      </c>
      <c r="AF510" t="s">
        <v>7102</v>
      </c>
      <c r="AH510">
        <v>0</v>
      </c>
      <c r="AI510">
        <v>1</v>
      </c>
      <c r="AJ510">
        <v>0</v>
      </c>
      <c r="AK510">
        <v>77.70999999999999</v>
      </c>
      <c r="AN510" t="s">
        <v>7139</v>
      </c>
      <c r="AO510">
        <v>9372</v>
      </c>
      <c r="AU510">
        <v>32.15</v>
      </c>
      <c r="AV510" t="s">
        <v>460</v>
      </c>
      <c r="AW510" t="s">
        <v>7345</v>
      </c>
    </row>
    <row r="511" spans="1:50">
      <c r="A511" s="1">
        <f>HYPERLINK("https://lsnyc.legalserver.org/matter/dynamic-profile/view/1843143","17-1843143")</f>
        <v>0</v>
      </c>
      <c r="B511" t="s">
        <v>94</v>
      </c>
      <c r="C511" t="s">
        <v>105</v>
      </c>
      <c r="D511" t="s">
        <v>307</v>
      </c>
      <c r="F511" t="s">
        <v>1019</v>
      </c>
      <c r="G511" t="s">
        <v>1899</v>
      </c>
      <c r="H511" t="s">
        <v>2774</v>
      </c>
      <c r="I511">
        <v>2</v>
      </c>
      <c r="J511" t="s">
        <v>3604</v>
      </c>
      <c r="K511">
        <v>10002</v>
      </c>
      <c r="L511" t="s">
        <v>3609</v>
      </c>
      <c r="M511" t="s">
        <v>3609</v>
      </c>
      <c r="O511" t="s">
        <v>4211</v>
      </c>
      <c r="P511" t="s">
        <v>4241</v>
      </c>
      <c r="R511" t="s">
        <v>4258</v>
      </c>
      <c r="T511" t="s">
        <v>4259</v>
      </c>
      <c r="U511" t="s">
        <v>4268</v>
      </c>
      <c r="X511">
        <v>0</v>
      </c>
      <c r="Y511" t="s">
        <v>4351</v>
      </c>
      <c r="AB511" t="s">
        <v>4814</v>
      </c>
      <c r="AD511" t="s">
        <v>6207</v>
      </c>
      <c r="AE511">
        <v>0</v>
      </c>
      <c r="AH511">
        <v>0</v>
      </c>
      <c r="AI511">
        <v>2</v>
      </c>
      <c r="AJ511">
        <v>2</v>
      </c>
      <c r="AK511">
        <v>78.05</v>
      </c>
      <c r="AO511">
        <v>38400</v>
      </c>
      <c r="AU511">
        <v>45.15</v>
      </c>
      <c r="AV511" t="s">
        <v>7310</v>
      </c>
      <c r="AW511" t="s">
        <v>7348</v>
      </c>
    </row>
    <row r="512" spans="1:50">
      <c r="A512" s="1">
        <f>HYPERLINK("https://lsnyc.legalserver.org/matter/dynamic-profile/view/1876399","18-1876399")</f>
        <v>0</v>
      </c>
      <c r="B512" t="s">
        <v>57</v>
      </c>
      <c r="C512" t="s">
        <v>105</v>
      </c>
      <c r="D512" t="s">
        <v>315</v>
      </c>
      <c r="F512" t="s">
        <v>877</v>
      </c>
      <c r="G512" t="s">
        <v>1835</v>
      </c>
      <c r="H512" t="s">
        <v>2775</v>
      </c>
      <c r="I512" t="s">
        <v>3279</v>
      </c>
      <c r="J512" t="s">
        <v>3604</v>
      </c>
      <c r="K512">
        <v>10035</v>
      </c>
      <c r="L512" t="s">
        <v>3610</v>
      </c>
      <c r="M512" t="s">
        <v>3610</v>
      </c>
      <c r="O512" t="s">
        <v>4212</v>
      </c>
      <c r="P512" t="s">
        <v>4243</v>
      </c>
      <c r="R512" t="s">
        <v>4258</v>
      </c>
      <c r="S512" t="s">
        <v>3611</v>
      </c>
      <c r="U512" t="s">
        <v>4270</v>
      </c>
      <c r="V512" t="s">
        <v>4274</v>
      </c>
      <c r="W512" t="s">
        <v>4306</v>
      </c>
      <c r="X512">
        <v>2100</v>
      </c>
      <c r="Y512" t="s">
        <v>4351</v>
      </c>
      <c r="Z512" t="s">
        <v>4356</v>
      </c>
      <c r="AB512" t="s">
        <v>4815</v>
      </c>
      <c r="AD512" t="s">
        <v>6208</v>
      </c>
      <c r="AE512">
        <v>35</v>
      </c>
      <c r="AF512" t="s">
        <v>7106</v>
      </c>
      <c r="AG512" t="s">
        <v>7116</v>
      </c>
      <c r="AH512">
        <v>15</v>
      </c>
      <c r="AI512">
        <v>1</v>
      </c>
      <c r="AJ512">
        <v>0</v>
      </c>
      <c r="AK512">
        <v>78.09</v>
      </c>
      <c r="AN512" t="s">
        <v>7138</v>
      </c>
      <c r="AO512">
        <v>9480</v>
      </c>
      <c r="AU512">
        <v>3.5</v>
      </c>
      <c r="AV512" t="s">
        <v>440</v>
      </c>
      <c r="AW512" t="s">
        <v>7341</v>
      </c>
    </row>
    <row r="513" spans="1:50">
      <c r="A513" s="1">
        <f>HYPERLINK("https://lsnyc.legalserver.org/matter/dynamic-profile/view/1843408","17-1843408")</f>
        <v>0</v>
      </c>
      <c r="B513" t="s">
        <v>57</v>
      </c>
      <c r="C513" t="s">
        <v>104</v>
      </c>
      <c r="D513" t="s">
        <v>415</v>
      </c>
      <c r="E513" t="s">
        <v>372</v>
      </c>
      <c r="F513" t="s">
        <v>712</v>
      </c>
      <c r="G513" t="s">
        <v>1900</v>
      </c>
      <c r="H513" t="s">
        <v>2776</v>
      </c>
      <c r="I513" t="s">
        <v>3294</v>
      </c>
      <c r="J513" t="s">
        <v>3604</v>
      </c>
      <c r="K513">
        <v>10026</v>
      </c>
      <c r="L513" t="s">
        <v>3610</v>
      </c>
      <c r="M513" t="s">
        <v>3609</v>
      </c>
      <c r="O513" t="s">
        <v>4233</v>
      </c>
      <c r="P513" t="s">
        <v>4243</v>
      </c>
      <c r="Q513" t="s">
        <v>4252</v>
      </c>
      <c r="R513" t="s">
        <v>4258</v>
      </c>
      <c r="S513" t="s">
        <v>3611</v>
      </c>
      <c r="U513" t="s">
        <v>4270</v>
      </c>
      <c r="W513" t="s">
        <v>415</v>
      </c>
      <c r="X513">
        <v>760.65</v>
      </c>
      <c r="Y513" t="s">
        <v>4351</v>
      </c>
      <c r="Z513" t="s">
        <v>4357</v>
      </c>
      <c r="AA513" t="s">
        <v>4376</v>
      </c>
      <c r="AB513" t="s">
        <v>4816</v>
      </c>
      <c r="AD513" t="s">
        <v>6209</v>
      </c>
      <c r="AE513">
        <v>3</v>
      </c>
      <c r="AF513" t="s">
        <v>7101</v>
      </c>
      <c r="AG513" t="s">
        <v>7119</v>
      </c>
      <c r="AH513">
        <v>20</v>
      </c>
      <c r="AI513">
        <v>2</v>
      </c>
      <c r="AJ513">
        <v>0</v>
      </c>
      <c r="AK513">
        <v>78.09999999999999</v>
      </c>
      <c r="AN513" t="s">
        <v>7138</v>
      </c>
      <c r="AO513">
        <v>12684</v>
      </c>
      <c r="AU513">
        <v>29</v>
      </c>
      <c r="AV513" t="s">
        <v>435</v>
      </c>
      <c r="AW513" t="s">
        <v>57</v>
      </c>
    </row>
    <row r="514" spans="1:50">
      <c r="A514" s="1">
        <f>HYPERLINK("https://lsnyc.legalserver.org/matter/dynamic-profile/view/1898398","19-1898398")</f>
        <v>0</v>
      </c>
      <c r="B514" t="s">
        <v>63</v>
      </c>
      <c r="C514" t="s">
        <v>104</v>
      </c>
      <c r="D514" t="s">
        <v>156</v>
      </c>
      <c r="E514" t="s">
        <v>156</v>
      </c>
      <c r="F514" t="s">
        <v>725</v>
      </c>
      <c r="G514" t="s">
        <v>1901</v>
      </c>
      <c r="H514" t="s">
        <v>2777</v>
      </c>
      <c r="I514" t="s">
        <v>3397</v>
      </c>
      <c r="J514" t="s">
        <v>3608</v>
      </c>
      <c r="K514">
        <v>10467</v>
      </c>
      <c r="L514" t="s">
        <v>3610</v>
      </c>
      <c r="M514" t="s">
        <v>3610</v>
      </c>
      <c r="O514" t="s">
        <v>4219</v>
      </c>
      <c r="P514" t="s">
        <v>4242</v>
      </c>
      <c r="Q514" t="s">
        <v>4250</v>
      </c>
      <c r="R514" t="s">
        <v>4258</v>
      </c>
      <c r="S514" t="s">
        <v>3611</v>
      </c>
      <c r="U514" t="s">
        <v>4268</v>
      </c>
      <c r="W514" t="s">
        <v>156</v>
      </c>
      <c r="X514">
        <v>1050</v>
      </c>
      <c r="Y514" t="s">
        <v>4351</v>
      </c>
      <c r="Z514" t="s">
        <v>4354</v>
      </c>
      <c r="AA514" t="s">
        <v>4373</v>
      </c>
      <c r="AB514" t="s">
        <v>4817</v>
      </c>
      <c r="AD514" t="s">
        <v>6210</v>
      </c>
      <c r="AE514">
        <v>67</v>
      </c>
      <c r="AF514" t="s">
        <v>7101</v>
      </c>
      <c r="AG514" t="s">
        <v>7116</v>
      </c>
      <c r="AH514">
        <v>5</v>
      </c>
      <c r="AI514">
        <v>2</v>
      </c>
      <c r="AJ514">
        <v>1</v>
      </c>
      <c r="AK514">
        <v>78.2</v>
      </c>
      <c r="AN514" t="s">
        <v>7139</v>
      </c>
      <c r="AO514">
        <v>16680</v>
      </c>
      <c r="AU514">
        <v>0.05</v>
      </c>
      <c r="AV514" t="s">
        <v>156</v>
      </c>
      <c r="AW514" t="s">
        <v>7342</v>
      </c>
    </row>
    <row r="515" spans="1:50">
      <c r="A515" s="1">
        <f>HYPERLINK("https://lsnyc.legalserver.org/matter/dynamic-profile/view/1843585","17-1843585")</f>
        <v>0</v>
      </c>
      <c r="B515" t="s">
        <v>56</v>
      </c>
      <c r="C515" t="s">
        <v>105</v>
      </c>
      <c r="D515" t="s">
        <v>188</v>
      </c>
      <c r="F515" t="s">
        <v>973</v>
      </c>
      <c r="G515" t="s">
        <v>1895</v>
      </c>
      <c r="H515" t="s">
        <v>2534</v>
      </c>
      <c r="I515" t="s">
        <v>3274</v>
      </c>
      <c r="J515" t="s">
        <v>3604</v>
      </c>
      <c r="K515">
        <v>10040</v>
      </c>
      <c r="L515" t="s">
        <v>3610</v>
      </c>
      <c r="M515" t="s">
        <v>3609</v>
      </c>
      <c r="N515" t="s">
        <v>3656</v>
      </c>
      <c r="O515" t="s">
        <v>4213</v>
      </c>
      <c r="P515" t="s">
        <v>4243</v>
      </c>
      <c r="R515" t="s">
        <v>4258</v>
      </c>
      <c r="S515" t="s">
        <v>3610</v>
      </c>
      <c r="U515" t="s">
        <v>4268</v>
      </c>
      <c r="W515" t="s">
        <v>498</v>
      </c>
      <c r="X515">
        <v>1074</v>
      </c>
      <c r="Y515" t="s">
        <v>4351</v>
      </c>
      <c r="Z515" t="s">
        <v>4354</v>
      </c>
      <c r="AB515" t="s">
        <v>4809</v>
      </c>
      <c r="AD515" t="s">
        <v>6204</v>
      </c>
      <c r="AE515">
        <v>44</v>
      </c>
      <c r="AF515" t="s">
        <v>7101</v>
      </c>
      <c r="AG515" t="s">
        <v>3745</v>
      </c>
      <c r="AH515">
        <v>20</v>
      </c>
      <c r="AI515">
        <v>2</v>
      </c>
      <c r="AJ515">
        <v>1</v>
      </c>
      <c r="AK515">
        <v>78.34999999999999</v>
      </c>
      <c r="AL515" t="s">
        <v>246</v>
      </c>
      <c r="AN515" t="s">
        <v>7139</v>
      </c>
      <c r="AO515">
        <v>16000</v>
      </c>
      <c r="AU515">
        <v>10.51</v>
      </c>
      <c r="AV515" t="s">
        <v>612</v>
      </c>
      <c r="AW515" t="s">
        <v>7342</v>
      </c>
    </row>
    <row r="516" spans="1:50">
      <c r="A516" s="1">
        <f>HYPERLINK("https://lsnyc.legalserver.org/matter/dynamic-profile/view/1888071","19-1888071")</f>
        <v>0</v>
      </c>
      <c r="B516" t="s">
        <v>52</v>
      </c>
      <c r="C516" t="s">
        <v>105</v>
      </c>
      <c r="D516" t="s">
        <v>303</v>
      </c>
      <c r="F516" t="s">
        <v>975</v>
      </c>
      <c r="G516" t="s">
        <v>1846</v>
      </c>
      <c r="H516" t="s">
        <v>2657</v>
      </c>
      <c r="I516" t="s">
        <v>3356</v>
      </c>
      <c r="J516" t="s">
        <v>3604</v>
      </c>
      <c r="K516">
        <v>10032</v>
      </c>
      <c r="L516" t="s">
        <v>3610</v>
      </c>
      <c r="M516" t="s">
        <v>3610</v>
      </c>
      <c r="P516" t="s">
        <v>4241</v>
      </c>
      <c r="R516" t="s">
        <v>4258</v>
      </c>
      <c r="S516" t="s">
        <v>3611</v>
      </c>
      <c r="U516" t="s">
        <v>4268</v>
      </c>
      <c r="W516" t="s">
        <v>303</v>
      </c>
      <c r="X516">
        <v>921.22</v>
      </c>
      <c r="Y516" t="s">
        <v>4351</v>
      </c>
      <c r="Z516" t="s">
        <v>4354</v>
      </c>
      <c r="AB516" t="s">
        <v>4818</v>
      </c>
      <c r="AE516">
        <v>42</v>
      </c>
      <c r="AF516" t="s">
        <v>7101</v>
      </c>
      <c r="AG516" t="s">
        <v>3745</v>
      </c>
      <c r="AH516">
        <v>0</v>
      </c>
      <c r="AI516">
        <v>3</v>
      </c>
      <c r="AJ516">
        <v>0</v>
      </c>
      <c r="AK516">
        <v>78.42</v>
      </c>
      <c r="AN516" t="s">
        <v>7139</v>
      </c>
      <c r="AO516">
        <v>16296</v>
      </c>
      <c r="AU516">
        <v>0</v>
      </c>
      <c r="AW516" t="s">
        <v>7342</v>
      </c>
    </row>
    <row r="517" spans="1:50">
      <c r="A517" s="1">
        <f>HYPERLINK("https://lsnyc.legalserver.org/matter/dynamic-profile/view/1833810","17-1833810")</f>
        <v>0</v>
      </c>
      <c r="B517" t="s">
        <v>71</v>
      </c>
      <c r="C517" t="s">
        <v>105</v>
      </c>
      <c r="D517" t="s">
        <v>402</v>
      </c>
      <c r="F517" t="s">
        <v>877</v>
      </c>
      <c r="G517" t="s">
        <v>1835</v>
      </c>
      <c r="H517" t="s">
        <v>2775</v>
      </c>
      <c r="I517" t="s">
        <v>3279</v>
      </c>
      <c r="J517" t="s">
        <v>3604</v>
      </c>
      <c r="K517">
        <v>10035</v>
      </c>
      <c r="L517" t="s">
        <v>3610</v>
      </c>
      <c r="M517" t="s">
        <v>3610</v>
      </c>
      <c r="N517" t="s">
        <v>3811</v>
      </c>
      <c r="O517" t="s">
        <v>4210</v>
      </c>
      <c r="P517" t="s">
        <v>4241</v>
      </c>
      <c r="R517" t="s">
        <v>4258</v>
      </c>
      <c r="S517" t="s">
        <v>3611</v>
      </c>
      <c r="U517" t="s">
        <v>4271</v>
      </c>
      <c r="V517" t="s">
        <v>4280</v>
      </c>
      <c r="W517" t="s">
        <v>4282</v>
      </c>
      <c r="X517">
        <v>2100</v>
      </c>
      <c r="Y517" t="s">
        <v>4351</v>
      </c>
      <c r="Z517" t="s">
        <v>4367</v>
      </c>
      <c r="AB517" t="s">
        <v>4815</v>
      </c>
      <c r="AD517" t="s">
        <v>6208</v>
      </c>
      <c r="AE517">
        <v>35</v>
      </c>
      <c r="AF517" t="s">
        <v>7106</v>
      </c>
      <c r="AH517">
        <v>14</v>
      </c>
      <c r="AI517">
        <v>1</v>
      </c>
      <c r="AJ517">
        <v>0</v>
      </c>
      <c r="AK517">
        <v>78.61</v>
      </c>
      <c r="AN517" t="s">
        <v>7138</v>
      </c>
      <c r="AO517">
        <v>9480</v>
      </c>
      <c r="AQ517" t="s">
        <v>7197</v>
      </c>
      <c r="AU517">
        <v>73.5</v>
      </c>
      <c r="AV517" t="s">
        <v>351</v>
      </c>
      <c r="AW517" t="s">
        <v>7351</v>
      </c>
    </row>
    <row r="518" spans="1:50">
      <c r="A518" s="1">
        <f>HYPERLINK("https://lsnyc.legalserver.org/matter/dynamic-profile/view/1833090","17-1833090")</f>
        <v>0</v>
      </c>
      <c r="B518" t="s">
        <v>61</v>
      </c>
      <c r="C518" t="s">
        <v>105</v>
      </c>
      <c r="D518" t="s">
        <v>416</v>
      </c>
      <c r="F518" t="s">
        <v>802</v>
      </c>
      <c r="G518" t="s">
        <v>1902</v>
      </c>
      <c r="H518" t="s">
        <v>2778</v>
      </c>
      <c r="I518">
        <v>41</v>
      </c>
      <c r="J518" t="s">
        <v>3604</v>
      </c>
      <c r="K518">
        <v>10040</v>
      </c>
      <c r="L518" t="s">
        <v>3610</v>
      </c>
      <c r="M518" t="s">
        <v>3609</v>
      </c>
      <c r="O518" t="s">
        <v>4211</v>
      </c>
      <c r="P518" t="s">
        <v>4244</v>
      </c>
      <c r="R518" t="s">
        <v>4258</v>
      </c>
      <c r="S518" t="s">
        <v>3611</v>
      </c>
      <c r="U518" t="s">
        <v>4268</v>
      </c>
      <c r="W518" t="s">
        <v>133</v>
      </c>
      <c r="X518">
        <v>1194</v>
      </c>
      <c r="Y518" t="s">
        <v>4351</v>
      </c>
      <c r="Z518" t="s">
        <v>4228</v>
      </c>
      <c r="AB518" t="s">
        <v>4819</v>
      </c>
      <c r="AD518" t="s">
        <v>6211</v>
      </c>
      <c r="AE518">
        <v>21</v>
      </c>
      <c r="AF518" t="s">
        <v>7101</v>
      </c>
      <c r="AG518" t="s">
        <v>3745</v>
      </c>
      <c r="AH518">
        <v>20</v>
      </c>
      <c r="AI518">
        <v>1</v>
      </c>
      <c r="AJ518">
        <v>0</v>
      </c>
      <c r="AK518">
        <v>78.81</v>
      </c>
      <c r="AL518" t="s">
        <v>459</v>
      </c>
      <c r="AN518" t="s">
        <v>7139</v>
      </c>
      <c r="AO518">
        <v>9504</v>
      </c>
      <c r="AU518">
        <v>62.9</v>
      </c>
      <c r="AV518" t="s">
        <v>410</v>
      </c>
      <c r="AW518" t="s">
        <v>7341</v>
      </c>
    </row>
    <row r="519" spans="1:50">
      <c r="A519" s="1">
        <f>HYPERLINK("https://lsnyc.legalserver.org/matter/dynamic-profile/view/1833829","17-1833829")</f>
        <v>0</v>
      </c>
      <c r="B519" t="s">
        <v>95</v>
      </c>
      <c r="C519" t="s">
        <v>104</v>
      </c>
      <c r="D519" t="s">
        <v>402</v>
      </c>
      <c r="E519" t="s">
        <v>662</v>
      </c>
      <c r="F519" t="s">
        <v>1020</v>
      </c>
      <c r="G519" t="s">
        <v>1903</v>
      </c>
      <c r="H519" t="s">
        <v>2779</v>
      </c>
      <c r="I519" t="s">
        <v>3342</v>
      </c>
      <c r="J519" t="s">
        <v>3604</v>
      </c>
      <c r="K519">
        <v>10032</v>
      </c>
      <c r="L519" t="s">
        <v>3610</v>
      </c>
      <c r="M519" t="s">
        <v>3609</v>
      </c>
      <c r="N519" t="s">
        <v>3812</v>
      </c>
      <c r="O519" t="s">
        <v>4210</v>
      </c>
      <c r="P519" t="s">
        <v>4241</v>
      </c>
      <c r="Q519" t="s">
        <v>4253</v>
      </c>
      <c r="R519" t="s">
        <v>4258</v>
      </c>
      <c r="T519" t="s">
        <v>4259</v>
      </c>
      <c r="U519" t="s">
        <v>4268</v>
      </c>
      <c r="X519">
        <v>300</v>
      </c>
      <c r="Y519" t="s">
        <v>4351</v>
      </c>
      <c r="Z519" t="s">
        <v>4353</v>
      </c>
      <c r="AA519" t="s">
        <v>4374</v>
      </c>
      <c r="AB519" t="s">
        <v>4820</v>
      </c>
      <c r="AD519" t="s">
        <v>6212</v>
      </c>
      <c r="AE519">
        <v>0</v>
      </c>
      <c r="AF519" t="s">
        <v>7105</v>
      </c>
      <c r="AH519">
        <v>34</v>
      </c>
      <c r="AI519">
        <v>1</v>
      </c>
      <c r="AJ519">
        <v>0</v>
      </c>
      <c r="AK519">
        <v>79</v>
      </c>
      <c r="AN519" t="s">
        <v>7138</v>
      </c>
      <c r="AO519">
        <v>9528</v>
      </c>
      <c r="AU519">
        <v>138.85</v>
      </c>
      <c r="AV519" t="s">
        <v>7311</v>
      </c>
      <c r="AW519" t="s">
        <v>7345</v>
      </c>
    </row>
    <row r="520" spans="1:50">
      <c r="A520" s="1">
        <f>HYPERLINK("https://lsnyc.legalserver.org/matter/dynamic-profile/view/1867150","18-1867150")</f>
        <v>0</v>
      </c>
      <c r="B520" t="s">
        <v>66</v>
      </c>
      <c r="C520" t="s">
        <v>104</v>
      </c>
      <c r="D520" t="s">
        <v>240</v>
      </c>
      <c r="E520" t="s">
        <v>271</v>
      </c>
      <c r="F520" t="s">
        <v>1021</v>
      </c>
      <c r="G520" t="s">
        <v>1622</v>
      </c>
      <c r="H520" t="s">
        <v>2780</v>
      </c>
      <c r="I520" t="s">
        <v>3311</v>
      </c>
      <c r="J520" t="s">
        <v>3604</v>
      </c>
      <c r="K520">
        <v>10040</v>
      </c>
      <c r="L520" t="s">
        <v>3610</v>
      </c>
      <c r="M520" t="s">
        <v>3609</v>
      </c>
      <c r="O520" t="s">
        <v>4217</v>
      </c>
      <c r="P520" t="s">
        <v>4244</v>
      </c>
      <c r="Q520" t="s">
        <v>4254</v>
      </c>
      <c r="R520" t="s">
        <v>4258</v>
      </c>
      <c r="S520" t="s">
        <v>3611</v>
      </c>
      <c r="U520" t="s">
        <v>4268</v>
      </c>
      <c r="W520" t="s">
        <v>240</v>
      </c>
      <c r="X520">
        <v>1145.72</v>
      </c>
      <c r="Y520" t="s">
        <v>4351</v>
      </c>
      <c r="Z520" t="s">
        <v>4354</v>
      </c>
      <c r="AA520" t="s">
        <v>4377</v>
      </c>
      <c r="AB520" t="s">
        <v>4821</v>
      </c>
      <c r="AD520" t="s">
        <v>6213</v>
      </c>
      <c r="AE520">
        <v>0</v>
      </c>
      <c r="AF520" t="s">
        <v>7101</v>
      </c>
      <c r="AG520" t="s">
        <v>7118</v>
      </c>
      <c r="AH520">
        <v>53</v>
      </c>
      <c r="AI520">
        <v>1</v>
      </c>
      <c r="AJ520">
        <v>0</v>
      </c>
      <c r="AK520">
        <v>79.08</v>
      </c>
      <c r="AN520" t="s">
        <v>7139</v>
      </c>
      <c r="AO520">
        <v>9600</v>
      </c>
      <c r="AU520">
        <v>1.9</v>
      </c>
      <c r="AV520" t="s">
        <v>271</v>
      </c>
      <c r="AW520" t="s">
        <v>7342</v>
      </c>
    </row>
    <row r="521" spans="1:50">
      <c r="A521" s="1">
        <f>HYPERLINK("https://lsnyc.legalserver.org/matter/dynamic-profile/view/1862199","18-1862199")</f>
        <v>0</v>
      </c>
      <c r="B521" t="s">
        <v>78</v>
      </c>
      <c r="C521" t="s">
        <v>104</v>
      </c>
      <c r="D521" t="s">
        <v>250</v>
      </c>
      <c r="E521" t="s">
        <v>673</v>
      </c>
      <c r="F521" t="s">
        <v>1022</v>
      </c>
      <c r="G521" t="s">
        <v>1668</v>
      </c>
      <c r="H521" t="s">
        <v>2781</v>
      </c>
      <c r="I521" t="s">
        <v>3274</v>
      </c>
      <c r="J521" t="s">
        <v>3604</v>
      </c>
      <c r="K521">
        <v>10039</v>
      </c>
      <c r="L521" t="s">
        <v>3610</v>
      </c>
      <c r="M521" t="s">
        <v>3610</v>
      </c>
      <c r="N521" t="s">
        <v>3813</v>
      </c>
      <c r="O521" t="s">
        <v>4209</v>
      </c>
      <c r="P521" t="s">
        <v>4242</v>
      </c>
      <c r="Q521" t="s">
        <v>4250</v>
      </c>
      <c r="R521" t="s">
        <v>4258</v>
      </c>
      <c r="S521" t="s">
        <v>3611</v>
      </c>
      <c r="U521" t="s">
        <v>4268</v>
      </c>
      <c r="W521" t="s">
        <v>278</v>
      </c>
      <c r="X521">
        <v>1000</v>
      </c>
      <c r="Y521" t="s">
        <v>4351</v>
      </c>
      <c r="Z521" t="s">
        <v>4367</v>
      </c>
      <c r="AA521" t="s">
        <v>4373</v>
      </c>
      <c r="AB521" t="s">
        <v>4822</v>
      </c>
      <c r="AC521" t="s">
        <v>5818</v>
      </c>
      <c r="AD521" t="s">
        <v>6214</v>
      </c>
      <c r="AE521">
        <v>54</v>
      </c>
      <c r="AF521" t="s">
        <v>7101</v>
      </c>
      <c r="AG521" t="s">
        <v>7116</v>
      </c>
      <c r="AH521">
        <v>27</v>
      </c>
      <c r="AI521">
        <v>1</v>
      </c>
      <c r="AJ521">
        <v>0</v>
      </c>
      <c r="AK521">
        <v>79.08</v>
      </c>
      <c r="AN521" t="s">
        <v>7138</v>
      </c>
      <c r="AO521">
        <v>9600</v>
      </c>
      <c r="AU521">
        <v>1.35</v>
      </c>
      <c r="AV521" t="s">
        <v>173</v>
      </c>
      <c r="AW521" t="s">
        <v>7350</v>
      </c>
    </row>
    <row r="522" spans="1:50">
      <c r="A522" s="1">
        <f>HYPERLINK("https://lsnyc.legalserver.org/matter/dynamic-profile/view/1866214","18-1866214")</f>
        <v>0</v>
      </c>
      <c r="B522" t="s">
        <v>68</v>
      </c>
      <c r="C522" t="s">
        <v>105</v>
      </c>
      <c r="D522" t="s">
        <v>239</v>
      </c>
      <c r="F522" t="s">
        <v>1023</v>
      </c>
      <c r="G522" t="s">
        <v>1904</v>
      </c>
      <c r="H522" t="s">
        <v>2782</v>
      </c>
      <c r="I522">
        <v>3</v>
      </c>
      <c r="J522" t="s">
        <v>3604</v>
      </c>
      <c r="K522">
        <v>10035</v>
      </c>
      <c r="L522" t="s">
        <v>3610</v>
      </c>
      <c r="M522" t="s">
        <v>3610</v>
      </c>
      <c r="O522" t="s">
        <v>4211</v>
      </c>
      <c r="P522" t="s">
        <v>4245</v>
      </c>
      <c r="R522" t="s">
        <v>4258</v>
      </c>
      <c r="S522" t="s">
        <v>3611</v>
      </c>
      <c r="U522" t="s">
        <v>4271</v>
      </c>
      <c r="W522" t="s">
        <v>553</v>
      </c>
      <c r="X522">
        <v>900</v>
      </c>
      <c r="Y522" t="s">
        <v>4351</v>
      </c>
      <c r="Z522" t="s">
        <v>4360</v>
      </c>
      <c r="AB522" t="s">
        <v>4823</v>
      </c>
      <c r="AD522" t="s">
        <v>6215</v>
      </c>
      <c r="AE522">
        <v>6</v>
      </c>
      <c r="AF522" t="s">
        <v>7101</v>
      </c>
      <c r="AG522" t="s">
        <v>7116</v>
      </c>
      <c r="AH522">
        <v>17</v>
      </c>
      <c r="AI522">
        <v>1</v>
      </c>
      <c r="AJ522">
        <v>0</v>
      </c>
      <c r="AK522">
        <v>79.08</v>
      </c>
      <c r="AN522" t="s">
        <v>7138</v>
      </c>
      <c r="AO522">
        <v>9600</v>
      </c>
      <c r="AU522">
        <v>25.68</v>
      </c>
      <c r="AV522" t="s">
        <v>502</v>
      </c>
      <c r="AW522" t="s">
        <v>7343</v>
      </c>
    </row>
    <row r="523" spans="1:50">
      <c r="A523" s="1">
        <f>HYPERLINK("https://lsnyc.legalserver.org/matter/dynamic-profile/view/1881117","18-1881117")</f>
        <v>0</v>
      </c>
      <c r="B523" t="s">
        <v>67</v>
      </c>
      <c r="C523" t="s">
        <v>104</v>
      </c>
      <c r="D523" t="s">
        <v>348</v>
      </c>
      <c r="E523" t="s">
        <v>214</v>
      </c>
      <c r="F523" t="s">
        <v>1024</v>
      </c>
      <c r="G523" t="s">
        <v>1758</v>
      </c>
      <c r="H523" t="s">
        <v>2783</v>
      </c>
      <c r="I523">
        <v>611</v>
      </c>
      <c r="J523" t="s">
        <v>3604</v>
      </c>
      <c r="K523">
        <v>10035</v>
      </c>
      <c r="L523" t="s">
        <v>3610</v>
      </c>
      <c r="M523" t="s">
        <v>3610</v>
      </c>
      <c r="O523" t="s">
        <v>4211</v>
      </c>
      <c r="P523" t="s">
        <v>4242</v>
      </c>
      <c r="Q523" t="s">
        <v>4250</v>
      </c>
      <c r="R523" t="s">
        <v>4258</v>
      </c>
      <c r="S523" t="s">
        <v>3611</v>
      </c>
      <c r="U523" t="s">
        <v>4268</v>
      </c>
      <c r="V523" t="s">
        <v>4274</v>
      </c>
      <c r="W523" t="s">
        <v>447</v>
      </c>
      <c r="X523">
        <v>0</v>
      </c>
      <c r="Y523" t="s">
        <v>4351</v>
      </c>
      <c r="Z523" t="s">
        <v>4358</v>
      </c>
      <c r="AA523" t="s">
        <v>4373</v>
      </c>
      <c r="AB523" t="s">
        <v>4824</v>
      </c>
      <c r="AD523" t="s">
        <v>6216</v>
      </c>
      <c r="AE523">
        <v>91</v>
      </c>
      <c r="AF523" t="s">
        <v>7113</v>
      </c>
      <c r="AG523" t="s">
        <v>7116</v>
      </c>
      <c r="AH523">
        <v>2</v>
      </c>
      <c r="AI523">
        <v>1</v>
      </c>
      <c r="AJ523">
        <v>0</v>
      </c>
      <c r="AK523">
        <v>79.08</v>
      </c>
      <c r="AN523" t="s">
        <v>7138</v>
      </c>
      <c r="AO523">
        <v>9600</v>
      </c>
      <c r="AU523">
        <v>1</v>
      </c>
      <c r="AV523" t="s">
        <v>348</v>
      </c>
      <c r="AW523" t="s">
        <v>7352</v>
      </c>
      <c r="AX523" t="s">
        <v>7377</v>
      </c>
    </row>
    <row r="524" spans="1:50">
      <c r="A524" s="1">
        <f>HYPERLINK("https://lsnyc.legalserver.org/matter/dynamic-profile/view/1863799","18-1863799")</f>
        <v>0</v>
      </c>
      <c r="B524" t="s">
        <v>63</v>
      </c>
      <c r="C524" t="s">
        <v>105</v>
      </c>
      <c r="D524" t="s">
        <v>160</v>
      </c>
      <c r="F524" t="s">
        <v>1025</v>
      </c>
      <c r="G524" t="s">
        <v>1905</v>
      </c>
      <c r="H524" t="s">
        <v>2487</v>
      </c>
      <c r="I524" t="s">
        <v>3397</v>
      </c>
      <c r="J524" t="s">
        <v>3604</v>
      </c>
      <c r="K524">
        <v>10033</v>
      </c>
      <c r="L524" t="s">
        <v>3610</v>
      </c>
      <c r="M524" t="s">
        <v>3609</v>
      </c>
      <c r="O524" t="s">
        <v>4220</v>
      </c>
      <c r="P524" t="s">
        <v>4243</v>
      </c>
      <c r="R524" t="s">
        <v>4258</v>
      </c>
      <c r="S524" t="s">
        <v>3610</v>
      </c>
      <c r="U524" t="s">
        <v>4268</v>
      </c>
      <c r="W524" t="s">
        <v>160</v>
      </c>
      <c r="X524">
        <v>181</v>
      </c>
      <c r="Y524" t="s">
        <v>4351</v>
      </c>
      <c r="Z524" t="s">
        <v>4357</v>
      </c>
      <c r="AB524" t="s">
        <v>4825</v>
      </c>
      <c r="AE524">
        <v>20</v>
      </c>
      <c r="AF524" t="s">
        <v>7101</v>
      </c>
      <c r="AG524" t="s">
        <v>3745</v>
      </c>
      <c r="AH524">
        <v>20</v>
      </c>
      <c r="AI524">
        <v>1</v>
      </c>
      <c r="AJ524">
        <v>0</v>
      </c>
      <c r="AK524">
        <v>79.08</v>
      </c>
      <c r="AL524" t="s">
        <v>496</v>
      </c>
      <c r="AN524" t="s">
        <v>7139</v>
      </c>
      <c r="AO524">
        <v>9600</v>
      </c>
      <c r="AU524">
        <v>0</v>
      </c>
      <c r="AW524" t="s">
        <v>7342</v>
      </c>
    </row>
    <row r="525" spans="1:50">
      <c r="A525" s="1">
        <f>HYPERLINK("https://lsnyc.legalserver.org/matter/dynamic-profile/view/1877169","18-1877169")</f>
        <v>0</v>
      </c>
      <c r="B525" t="s">
        <v>67</v>
      </c>
      <c r="C525" t="s">
        <v>104</v>
      </c>
      <c r="D525" t="s">
        <v>142</v>
      </c>
      <c r="E525" t="s">
        <v>209</v>
      </c>
      <c r="F525" t="s">
        <v>1026</v>
      </c>
      <c r="G525" t="s">
        <v>1906</v>
      </c>
      <c r="H525" t="s">
        <v>2784</v>
      </c>
      <c r="I525" t="s">
        <v>3417</v>
      </c>
      <c r="J525" t="s">
        <v>3604</v>
      </c>
      <c r="K525">
        <v>10029</v>
      </c>
      <c r="L525" t="s">
        <v>3610</v>
      </c>
      <c r="M525" t="s">
        <v>3610</v>
      </c>
      <c r="O525" t="s">
        <v>4211</v>
      </c>
      <c r="P525" t="s">
        <v>4242</v>
      </c>
      <c r="Q525" t="s">
        <v>4250</v>
      </c>
      <c r="R525" t="s">
        <v>4258</v>
      </c>
      <c r="S525" t="s">
        <v>3611</v>
      </c>
      <c r="U525" t="s">
        <v>4268</v>
      </c>
      <c r="V525" t="s">
        <v>4274</v>
      </c>
      <c r="W525" t="s">
        <v>4293</v>
      </c>
      <c r="X525">
        <v>1280</v>
      </c>
      <c r="Y525" t="s">
        <v>4351</v>
      </c>
      <c r="Z525" t="s">
        <v>4361</v>
      </c>
      <c r="AA525" t="s">
        <v>4373</v>
      </c>
      <c r="AB525" t="s">
        <v>4826</v>
      </c>
      <c r="AD525" t="s">
        <v>6217</v>
      </c>
      <c r="AE525">
        <v>8</v>
      </c>
      <c r="AF525" t="s">
        <v>7101</v>
      </c>
      <c r="AG525" t="s">
        <v>7116</v>
      </c>
      <c r="AH525">
        <v>18</v>
      </c>
      <c r="AI525">
        <v>1</v>
      </c>
      <c r="AJ525">
        <v>0</v>
      </c>
      <c r="AK525">
        <v>79.08</v>
      </c>
      <c r="AN525" t="s">
        <v>7139</v>
      </c>
      <c r="AO525">
        <v>9600</v>
      </c>
      <c r="AU525">
        <v>0.65</v>
      </c>
      <c r="AV525" t="s">
        <v>334</v>
      </c>
      <c r="AW525" t="s">
        <v>7366</v>
      </c>
    </row>
    <row r="526" spans="1:50">
      <c r="A526" s="1">
        <f>HYPERLINK("https://lsnyc.legalserver.org/matter/dynamic-profile/view/1880240","18-1880240")</f>
        <v>0</v>
      </c>
      <c r="B526" t="s">
        <v>67</v>
      </c>
      <c r="C526" t="s">
        <v>104</v>
      </c>
      <c r="D526" t="s">
        <v>417</v>
      </c>
      <c r="E526" t="s">
        <v>442</v>
      </c>
      <c r="F526" t="s">
        <v>820</v>
      </c>
      <c r="G526" t="s">
        <v>1600</v>
      </c>
      <c r="H526" t="s">
        <v>2607</v>
      </c>
      <c r="I526">
        <v>6</v>
      </c>
      <c r="J526" t="s">
        <v>3604</v>
      </c>
      <c r="K526">
        <v>10029</v>
      </c>
      <c r="L526" t="s">
        <v>3610</v>
      </c>
      <c r="M526" t="s">
        <v>3610</v>
      </c>
      <c r="N526" t="s">
        <v>3814</v>
      </c>
      <c r="O526" t="s">
        <v>4209</v>
      </c>
      <c r="P526" t="s">
        <v>4241</v>
      </c>
      <c r="Q526" t="s">
        <v>4248</v>
      </c>
      <c r="R526" t="s">
        <v>4258</v>
      </c>
      <c r="S526" t="s">
        <v>3611</v>
      </c>
      <c r="U526" t="s">
        <v>4268</v>
      </c>
      <c r="V526" t="s">
        <v>4274</v>
      </c>
      <c r="W526" t="s">
        <v>334</v>
      </c>
      <c r="X526">
        <v>550</v>
      </c>
      <c r="Y526" t="s">
        <v>4351</v>
      </c>
      <c r="Z526" t="s">
        <v>4356</v>
      </c>
      <c r="AA526" t="s">
        <v>4375</v>
      </c>
      <c r="AB526" t="s">
        <v>4804</v>
      </c>
      <c r="AD526" t="s">
        <v>6199</v>
      </c>
      <c r="AE526">
        <v>10</v>
      </c>
      <c r="AF526" t="s">
        <v>7101</v>
      </c>
      <c r="AG526" t="s">
        <v>3745</v>
      </c>
      <c r="AH526">
        <v>8</v>
      </c>
      <c r="AI526">
        <v>1</v>
      </c>
      <c r="AJ526">
        <v>0</v>
      </c>
      <c r="AK526">
        <v>79.08</v>
      </c>
      <c r="AN526" t="s">
        <v>7138</v>
      </c>
      <c r="AO526">
        <v>9600</v>
      </c>
      <c r="AT526" t="s">
        <v>7254</v>
      </c>
      <c r="AU526">
        <v>3</v>
      </c>
      <c r="AV526" t="s">
        <v>7312</v>
      </c>
      <c r="AW526" t="s">
        <v>7341</v>
      </c>
    </row>
    <row r="527" spans="1:50">
      <c r="A527" s="1">
        <f>HYPERLINK("https://lsnyc.legalserver.org/matter/dynamic-profile/view/1878828","18-1878828")</f>
        <v>0</v>
      </c>
      <c r="B527" t="s">
        <v>57</v>
      </c>
      <c r="C527" t="s">
        <v>105</v>
      </c>
      <c r="D527" t="s">
        <v>342</v>
      </c>
      <c r="F527" t="s">
        <v>1027</v>
      </c>
      <c r="G527" t="s">
        <v>1907</v>
      </c>
      <c r="H527" t="s">
        <v>2785</v>
      </c>
      <c r="I527" t="s">
        <v>3418</v>
      </c>
      <c r="J527" t="s">
        <v>3604</v>
      </c>
      <c r="K527">
        <v>10029</v>
      </c>
      <c r="L527" t="s">
        <v>3610</v>
      </c>
      <c r="M527" t="s">
        <v>3610</v>
      </c>
      <c r="O527" t="s">
        <v>4212</v>
      </c>
      <c r="P527" t="s">
        <v>4245</v>
      </c>
      <c r="R527" t="s">
        <v>4258</v>
      </c>
      <c r="S527" t="s">
        <v>3611</v>
      </c>
      <c r="U527" t="s">
        <v>4270</v>
      </c>
      <c r="V527" t="s">
        <v>4274</v>
      </c>
      <c r="W527" t="s">
        <v>342</v>
      </c>
      <c r="X527">
        <v>1146</v>
      </c>
      <c r="Y527" t="s">
        <v>4351</v>
      </c>
      <c r="Z527" t="s">
        <v>4356</v>
      </c>
      <c r="AB527" t="s">
        <v>4827</v>
      </c>
      <c r="AD527" t="s">
        <v>5987</v>
      </c>
      <c r="AE527">
        <v>400</v>
      </c>
      <c r="AF527" t="s">
        <v>7102</v>
      </c>
      <c r="AG527" t="s">
        <v>7118</v>
      </c>
      <c r="AH527">
        <v>41</v>
      </c>
      <c r="AI527">
        <v>1</v>
      </c>
      <c r="AJ527">
        <v>0</v>
      </c>
      <c r="AK527">
        <v>79.08</v>
      </c>
      <c r="AN527" t="s">
        <v>7138</v>
      </c>
      <c r="AO527">
        <v>9600</v>
      </c>
      <c r="AU527">
        <v>2.5</v>
      </c>
      <c r="AV527" t="s">
        <v>342</v>
      </c>
      <c r="AW527" t="s">
        <v>7341</v>
      </c>
    </row>
    <row r="528" spans="1:50">
      <c r="A528" s="1">
        <f>HYPERLINK("https://lsnyc.legalserver.org/matter/dynamic-profile/view/1887963","19-1887963")</f>
        <v>0</v>
      </c>
      <c r="B528" t="s">
        <v>61</v>
      </c>
      <c r="C528" t="s">
        <v>105</v>
      </c>
      <c r="D528" t="s">
        <v>194</v>
      </c>
      <c r="F528" t="s">
        <v>982</v>
      </c>
      <c r="G528" t="s">
        <v>1908</v>
      </c>
      <c r="H528" t="s">
        <v>2556</v>
      </c>
      <c r="I528">
        <v>22</v>
      </c>
      <c r="J528" t="s">
        <v>3604</v>
      </c>
      <c r="K528">
        <v>10034</v>
      </c>
      <c r="L528" t="s">
        <v>3610</v>
      </c>
      <c r="M528" t="s">
        <v>3610</v>
      </c>
      <c r="N528" t="s">
        <v>3739</v>
      </c>
      <c r="O528" t="s">
        <v>4213</v>
      </c>
      <c r="P528" t="s">
        <v>4241</v>
      </c>
      <c r="R528" t="s">
        <v>4258</v>
      </c>
      <c r="S528" t="s">
        <v>3610</v>
      </c>
      <c r="U528" t="s">
        <v>4268</v>
      </c>
      <c r="W528" t="s">
        <v>194</v>
      </c>
      <c r="X528">
        <v>174.62</v>
      </c>
      <c r="Y528" t="s">
        <v>4351</v>
      </c>
      <c r="Z528" t="s">
        <v>4354</v>
      </c>
      <c r="AB528" t="s">
        <v>4828</v>
      </c>
      <c r="AC528">
        <v>81732</v>
      </c>
      <c r="AE528">
        <v>25</v>
      </c>
      <c r="AF528" t="s">
        <v>7101</v>
      </c>
      <c r="AG528" t="s">
        <v>3745</v>
      </c>
      <c r="AH528">
        <v>40</v>
      </c>
      <c r="AI528">
        <v>1</v>
      </c>
      <c r="AJ528">
        <v>0</v>
      </c>
      <c r="AK528">
        <v>79.12</v>
      </c>
      <c r="AN528" t="s">
        <v>7139</v>
      </c>
      <c r="AO528">
        <v>9604.799999999999</v>
      </c>
      <c r="AU528">
        <v>0</v>
      </c>
      <c r="AW528" t="s">
        <v>7342</v>
      </c>
    </row>
    <row r="529" spans="1:50">
      <c r="A529" s="1">
        <f>HYPERLINK("https://lsnyc.legalserver.org/matter/dynamic-profile/view/1888323","19-1888323")</f>
        <v>0</v>
      </c>
      <c r="B529" t="s">
        <v>96</v>
      </c>
      <c r="C529" t="s">
        <v>104</v>
      </c>
      <c r="D529" t="s">
        <v>174</v>
      </c>
      <c r="E529" t="s">
        <v>674</v>
      </c>
      <c r="F529" t="s">
        <v>1028</v>
      </c>
      <c r="G529" t="s">
        <v>1909</v>
      </c>
      <c r="H529" t="s">
        <v>2786</v>
      </c>
      <c r="I529">
        <v>1713</v>
      </c>
      <c r="J529" t="s">
        <v>3604</v>
      </c>
      <c r="K529">
        <v>10002</v>
      </c>
      <c r="L529" t="s">
        <v>3611</v>
      </c>
      <c r="M529" t="s">
        <v>3611</v>
      </c>
      <c r="O529" t="s">
        <v>4211</v>
      </c>
      <c r="P529" t="s">
        <v>4242</v>
      </c>
      <c r="Q529" t="s">
        <v>4250</v>
      </c>
      <c r="R529" t="s">
        <v>4258</v>
      </c>
      <c r="U529" t="s">
        <v>4268</v>
      </c>
      <c r="X529">
        <v>800</v>
      </c>
      <c r="Y529" t="s">
        <v>4351</v>
      </c>
      <c r="AA529" t="s">
        <v>4373</v>
      </c>
      <c r="AB529" t="s">
        <v>4829</v>
      </c>
      <c r="AD529" t="s">
        <v>6218</v>
      </c>
      <c r="AE529">
        <v>0</v>
      </c>
      <c r="AF529" t="s">
        <v>7112</v>
      </c>
      <c r="AG529" t="s">
        <v>7116</v>
      </c>
      <c r="AH529">
        <v>15</v>
      </c>
      <c r="AI529">
        <v>1</v>
      </c>
      <c r="AJ529">
        <v>0</v>
      </c>
      <c r="AK529">
        <v>79.26000000000001</v>
      </c>
      <c r="AN529" t="s">
        <v>7143</v>
      </c>
      <c r="AO529">
        <v>9900</v>
      </c>
      <c r="AU529">
        <v>1.6</v>
      </c>
      <c r="AV529" t="s">
        <v>140</v>
      </c>
      <c r="AW529" t="s">
        <v>7340</v>
      </c>
    </row>
    <row r="530" spans="1:50">
      <c r="A530" s="1">
        <f>HYPERLINK("https://lsnyc.legalserver.org/matter/dynamic-profile/view/1882568","18-1882568")</f>
        <v>0</v>
      </c>
      <c r="B530" t="s">
        <v>61</v>
      </c>
      <c r="C530" t="s">
        <v>104</v>
      </c>
      <c r="D530" t="s">
        <v>262</v>
      </c>
      <c r="E530" t="s">
        <v>485</v>
      </c>
      <c r="F530" t="s">
        <v>705</v>
      </c>
      <c r="G530" t="s">
        <v>1792</v>
      </c>
      <c r="H530" t="s">
        <v>2787</v>
      </c>
      <c r="I530" t="s">
        <v>3344</v>
      </c>
      <c r="J530" t="s">
        <v>3604</v>
      </c>
      <c r="K530">
        <v>10034</v>
      </c>
      <c r="L530" t="s">
        <v>3610</v>
      </c>
      <c r="M530" t="s">
        <v>3610</v>
      </c>
      <c r="O530" t="s">
        <v>4211</v>
      </c>
      <c r="P530" t="s">
        <v>4242</v>
      </c>
      <c r="Q530" t="s">
        <v>4250</v>
      </c>
      <c r="R530" t="s">
        <v>4258</v>
      </c>
      <c r="S530" t="s">
        <v>3611</v>
      </c>
      <c r="U530" t="s">
        <v>4268</v>
      </c>
      <c r="W530" t="s">
        <v>262</v>
      </c>
      <c r="X530">
        <v>129</v>
      </c>
      <c r="Y530" t="s">
        <v>4351</v>
      </c>
      <c r="Z530" t="s">
        <v>4354</v>
      </c>
      <c r="AA530" t="s">
        <v>4373</v>
      </c>
      <c r="AB530" t="s">
        <v>4830</v>
      </c>
      <c r="AD530" t="s">
        <v>6219</v>
      </c>
      <c r="AE530">
        <v>259</v>
      </c>
      <c r="AF530" t="s">
        <v>7101</v>
      </c>
      <c r="AG530" t="s">
        <v>7116</v>
      </c>
      <c r="AH530">
        <v>40</v>
      </c>
      <c r="AI530">
        <v>1</v>
      </c>
      <c r="AJ530">
        <v>0</v>
      </c>
      <c r="AK530">
        <v>79.37</v>
      </c>
      <c r="AN530" t="s">
        <v>7139</v>
      </c>
      <c r="AO530">
        <v>9636</v>
      </c>
      <c r="AU530">
        <v>1</v>
      </c>
      <c r="AV530" t="s">
        <v>220</v>
      </c>
      <c r="AW530" t="s">
        <v>7342</v>
      </c>
      <c r="AX530" t="s">
        <v>7377</v>
      </c>
    </row>
    <row r="531" spans="1:50">
      <c r="A531" s="1">
        <f>HYPERLINK("https://lsnyc.legalserver.org/matter/dynamic-profile/view/1900993","19-1900993")</f>
        <v>0</v>
      </c>
      <c r="B531" t="s">
        <v>64</v>
      </c>
      <c r="C531" t="s">
        <v>105</v>
      </c>
      <c r="D531" t="s">
        <v>150</v>
      </c>
      <c r="F531" t="s">
        <v>1017</v>
      </c>
      <c r="G531" t="s">
        <v>1898</v>
      </c>
      <c r="H531" t="s">
        <v>2772</v>
      </c>
      <c r="I531">
        <v>6</v>
      </c>
      <c r="J531" t="s">
        <v>3604</v>
      </c>
      <c r="K531">
        <v>10033</v>
      </c>
      <c r="L531" t="s">
        <v>3610</v>
      </c>
      <c r="M531" t="s">
        <v>3609</v>
      </c>
      <c r="N531" t="s">
        <v>3815</v>
      </c>
      <c r="P531" t="s">
        <v>4241</v>
      </c>
      <c r="R531" t="s">
        <v>4258</v>
      </c>
      <c r="S531" t="s">
        <v>3611</v>
      </c>
      <c r="U531" t="s">
        <v>4268</v>
      </c>
      <c r="W531" t="s">
        <v>150</v>
      </c>
      <c r="X531">
        <v>163</v>
      </c>
      <c r="Y531" t="s">
        <v>4351</v>
      </c>
      <c r="Z531" t="s">
        <v>4354</v>
      </c>
      <c r="AB531" t="s">
        <v>4812</v>
      </c>
      <c r="AD531" t="s">
        <v>6206</v>
      </c>
      <c r="AE531">
        <v>36</v>
      </c>
      <c r="AF531" t="s">
        <v>7101</v>
      </c>
      <c r="AG531" t="s">
        <v>7116</v>
      </c>
      <c r="AH531">
        <v>22</v>
      </c>
      <c r="AI531">
        <v>1</v>
      </c>
      <c r="AJ531">
        <v>0</v>
      </c>
      <c r="AK531">
        <v>79.55</v>
      </c>
      <c r="AN531" t="s">
        <v>7139</v>
      </c>
      <c r="AO531">
        <v>9936</v>
      </c>
      <c r="AU531">
        <v>12.2</v>
      </c>
      <c r="AV531" t="s">
        <v>396</v>
      </c>
      <c r="AW531" t="s">
        <v>7342</v>
      </c>
      <c r="AX531" t="s">
        <v>7377</v>
      </c>
    </row>
    <row r="532" spans="1:50">
      <c r="A532" s="1">
        <f>HYPERLINK("https://lsnyc.legalserver.org/matter/dynamic-profile/view/1855154","18-1855154")</f>
        <v>0</v>
      </c>
      <c r="B532" t="s">
        <v>78</v>
      </c>
      <c r="C532" t="s">
        <v>104</v>
      </c>
      <c r="D532" t="s">
        <v>221</v>
      </c>
      <c r="E532" t="s">
        <v>666</v>
      </c>
      <c r="F532" t="s">
        <v>719</v>
      </c>
      <c r="G532" t="s">
        <v>1910</v>
      </c>
      <c r="H532" t="s">
        <v>2788</v>
      </c>
      <c r="I532" t="s">
        <v>3313</v>
      </c>
      <c r="J532" t="s">
        <v>3604</v>
      </c>
      <c r="K532">
        <v>10040</v>
      </c>
      <c r="L532" t="s">
        <v>3610</v>
      </c>
      <c r="M532" t="s">
        <v>3609</v>
      </c>
      <c r="N532" t="s">
        <v>3816</v>
      </c>
      <c r="O532" t="s">
        <v>4209</v>
      </c>
      <c r="P532" t="s">
        <v>4242</v>
      </c>
      <c r="Q532" t="s">
        <v>4250</v>
      </c>
      <c r="R532" t="s">
        <v>4258</v>
      </c>
      <c r="S532" t="s">
        <v>3611</v>
      </c>
      <c r="T532" t="s">
        <v>4259</v>
      </c>
      <c r="U532" t="s">
        <v>4268</v>
      </c>
      <c r="W532" t="s">
        <v>4299</v>
      </c>
      <c r="X532">
        <v>801</v>
      </c>
      <c r="Y532" t="s">
        <v>4351</v>
      </c>
      <c r="Z532" t="s">
        <v>4354</v>
      </c>
      <c r="AA532" t="s">
        <v>4373</v>
      </c>
      <c r="AB532" t="s">
        <v>4831</v>
      </c>
      <c r="AC532" t="s">
        <v>5819</v>
      </c>
      <c r="AD532" t="s">
        <v>6220</v>
      </c>
      <c r="AE532">
        <v>62</v>
      </c>
      <c r="AF532" t="s">
        <v>7101</v>
      </c>
      <c r="AG532" t="s">
        <v>7118</v>
      </c>
      <c r="AH532">
        <v>40</v>
      </c>
      <c r="AI532">
        <v>1</v>
      </c>
      <c r="AJ532">
        <v>0</v>
      </c>
      <c r="AK532">
        <v>79.59999999999999</v>
      </c>
      <c r="AN532" t="s">
        <v>7139</v>
      </c>
      <c r="AO532">
        <v>9600</v>
      </c>
      <c r="AU532">
        <v>1.4</v>
      </c>
      <c r="AV532" t="s">
        <v>607</v>
      </c>
      <c r="AW532" t="s">
        <v>7359</v>
      </c>
    </row>
    <row r="533" spans="1:50">
      <c r="A533" s="1">
        <f>HYPERLINK("https://lsnyc.legalserver.org/matter/dynamic-profile/view/1836866","17-1836866")</f>
        <v>0</v>
      </c>
      <c r="B533" t="s">
        <v>53</v>
      </c>
      <c r="C533" t="s">
        <v>104</v>
      </c>
      <c r="D533" t="s">
        <v>418</v>
      </c>
      <c r="E533" t="s">
        <v>109</v>
      </c>
      <c r="F533" t="s">
        <v>713</v>
      </c>
      <c r="G533" t="s">
        <v>1584</v>
      </c>
      <c r="H533" t="s">
        <v>2484</v>
      </c>
      <c r="I533" t="s">
        <v>3289</v>
      </c>
      <c r="J533" t="s">
        <v>3604</v>
      </c>
      <c r="K533">
        <v>10034</v>
      </c>
      <c r="L533" t="s">
        <v>3610</v>
      </c>
      <c r="M533" t="s">
        <v>3609</v>
      </c>
      <c r="N533" t="s">
        <v>3817</v>
      </c>
      <c r="O533" t="s">
        <v>4209</v>
      </c>
      <c r="P533" t="s">
        <v>4241</v>
      </c>
      <c r="Q533" t="s">
        <v>4248</v>
      </c>
      <c r="R533" t="s">
        <v>4258</v>
      </c>
      <c r="S533" t="s">
        <v>3611</v>
      </c>
      <c r="U533" t="s">
        <v>4268</v>
      </c>
      <c r="V533" t="s">
        <v>4277</v>
      </c>
      <c r="W533" t="s">
        <v>551</v>
      </c>
      <c r="X533">
        <v>831.14</v>
      </c>
      <c r="Y533" t="s">
        <v>4351</v>
      </c>
      <c r="Z533" t="s">
        <v>4359</v>
      </c>
      <c r="AA533" t="s">
        <v>4374</v>
      </c>
      <c r="AB533" t="s">
        <v>4424</v>
      </c>
      <c r="AE533">
        <v>73</v>
      </c>
      <c r="AF533" t="s">
        <v>7101</v>
      </c>
      <c r="AG533" t="s">
        <v>3745</v>
      </c>
      <c r="AH533">
        <v>17</v>
      </c>
      <c r="AI533">
        <v>1</v>
      </c>
      <c r="AJ533">
        <v>0</v>
      </c>
      <c r="AK533">
        <v>79.59999999999999</v>
      </c>
      <c r="AN533" t="s">
        <v>7139</v>
      </c>
      <c r="AO533">
        <v>9600</v>
      </c>
      <c r="AP533" t="s">
        <v>7156</v>
      </c>
      <c r="AQ533" t="s">
        <v>7198</v>
      </c>
      <c r="AR533" t="s">
        <v>7216</v>
      </c>
      <c r="AS533" t="s">
        <v>7231</v>
      </c>
      <c r="AT533" t="s">
        <v>7236</v>
      </c>
      <c r="AU533">
        <v>104.26</v>
      </c>
      <c r="AV533" t="s">
        <v>229</v>
      </c>
      <c r="AW533" t="s">
        <v>53</v>
      </c>
    </row>
    <row r="534" spans="1:50">
      <c r="A534" s="1">
        <f>HYPERLINK("https://lsnyc.legalserver.org/matter/dynamic-profile/view/1850274","17-1850274")</f>
        <v>0</v>
      </c>
      <c r="B534" t="s">
        <v>61</v>
      </c>
      <c r="C534" t="s">
        <v>105</v>
      </c>
      <c r="D534" t="s">
        <v>419</v>
      </c>
      <c r="F534" t="s">
        <v>1009</v>
      </c>
      <c r="G534" t="s">
        <v>1889</v>
      </c>
      <c r="H534" t="s">
        <v>2789</v>
      </c>
      <c r="I534" t="s">
        <v>3288</v>
      </c>
      <c r="J534" t="s">
        <v>3604</v>
      </c>
      <c r="K534">
        <v>10034</v>
      </c>
      <c r="L534" t="s">
        <v>3610</v>
      </c>
      <c r="M534" t="s">
        <v>3609</v>
      </c>
      <c r="P534" t="s">
        <v>4244</v>
      </c>
      <c r="R534" t="s">
        <v>4258</v>
      </c>
      <c r="S534" t="s">
        <v>3611</v>
      </c>
      <c r="U534" t="s">
        <v>4268</v>
      </c>
      <c r="W534" t="s">
        <v>609</v>
      </c>
      <c r="X534">
        <v>1375</v>
      </c>
      <c r="Y534" t="s">
        <v>4351</v>
      </c>
      <c r="Z534" t="s">
        <v>4354</v>
      </c>
      <c r="AB534" t="s">
        <v>4832</v>
      </c>
      <c r="AD534" t="s">
        <v>6194</v>
      </c>
      <c r="AE534">
        <v>28</v>
      </c>
      <c r="AF534" t="s">
        <v>7101</v>
      </c>
      <c r="AG534" t="s">
        <v>3745</v>
      </c>
      <c r="AH534">
        <v>3</v>
      </c>
      <c r="AI534">
        <v>1</v>
      </c>
      <c r="AJ534">
        <v>0</v>
      </c>
      <c r="AK534">
        <v>79.59999999999999</v>
      </c>
      <c r="AN534" t="s">
        <v>7139</v>
      </c>
      <c r="AO534">
        <v>9600</v>
      </c>
      <c r="AU534">
        <v>12.3</v>
      </c>
      <c r="AV534" t="s">
        <v>529</v>
      </c>
      <c r="AW534" t="s">
        <v>7342</v>
      </c>
    </row>
    <row r="535" spans="1:50">
      <c r="A535" s="1">
        <f>HYPERLINK("https://lsnyc.legalserver.org/matter/dynamic-profile/view/1834572","17-1834572")</f>
        <v>0</v>
      </c>
      <c r="B535" t="s">
        <v>63</v>
      </c>
      <c r="C535" t="s">
        <v>105</v>
      </c>
      <c r="D535" t="s">
        <v>308</v>
      </c>
      <c r="F535" t="s">
        <v>1025</v>
      </c>
      <c r="G535" t="s">
        <v>1905</v>
      </c>
      <c r="H535" t="s">
        <v>2487</v>
      </c>
      <c r="I535" t="s">
        <v>3397</v>
      </c>
      <c r="J535" t="s">
        <v>3604</v>
      </c>
      <c r="K535">
        <v>10033</v>
      </c>
      <c r="L535" t="s">
        <v>3610</v>
      </c>
      <c r="M535" t="s">
        <v>3609</v>
      </c>
      <c r="O535" t="s">
        <v>4213</v>
      </c>
      <c r="P535" t="s">
        <v>4244</v>
      </c>
      <c r="R535" t="s">
        <v>4258</v>
      </c>
      <c r="S535" t="s">
        <v>3610</v>
      </c>
      <c r="U535" t="s">
        <v>4268</v>
      </c>
      <c r="W535" t="s">
        <v>133</v>
      </c>
      <c r="X535">
        <v>181</v>
      </c>
      <c r="Y535" t="s">
        <v>4351</v>
      </c>
      <c r="Z535" t="s">
        <v>4354</v>
      </c>
      <c r="AB535" t="s">
        <v>4825</v>
      </c>
      <c r="AE535">
        <v>25</v>
      </c>
      <c r="AF535" t="s">
        <v>7101</v>
      </c>
      <c r="AG535" t="s">
        <v>7116</v>
      </c>
      <c r="AH535">
        <v>20</v>
      </c>
      <c r="AI535">
        <v>1</v>
      </c>
      <c r="AJ535">
        <v>0</v>
      </c>
      <c r="AK535">
        <v>79.59999999999999</v>
      </c>
      <c r="AL535" t="s">
        <v>496</v>
      </c>
      <c r="AN535" t="s">
        <v>7139</v>
      </c>
      <c r="AO535">
        <v>9600</v>
      </c>
      <c r="AU535">
        <v>0</v>
      </c>
      <c r="AW535" t="s">
        <v>7341</v>
      </c>
    </row>
    <row r="536" spans="1:50">
      <c r="A536" s="1">
        <f>HYPERLINK("https://lsnyc.legalserver.org/matter/dynamic-profile/view/1834576","17-1834576")</f>
        <v>0</v>
      </c>
      <c r="B536" t="s">
        <v>63</v>
      </c>
      <c r="C536" t="s">
        <v>105</v>
      </c>
      <c r="D536" t="s">
        <v>308</v>
      </c>
      <c r="F536" t="s">
        <v>1025</v>
      </c>
      <c r="G536" t="s">
        <v>1905</v>
      </c>
      <c r="H536" t="s">
        <v>2487</v>
      </c>
      <c r="I536" t="s">
        <v>3397</v>
      </c>
      <c r="J536" t="s">
        <v>3604</v>
      </c>
      <c r="K536">
        <v>10033</v>
      </c>
      <c r="L536" t="s">
        <v>3610</v>
      </c>
      <c r="M536" t="s">
        <v>3610</v>
      </c>
      <c r="N536" t="s">
        <v>3732</v>
      </c>
      <c r="O536" t="s">
        <v>4213</v>
      </c>
      <c r="P536" t="s">
        <v>4241</v>
      </c>
      <c r="R536" t="s">
        <v>4258</v>
      </c>
      <c r="S536" t="s">
        <v>3610</v>
      </c>
      <c r="U536" t="s">
        <v>4268</v>
      </c>
      <c r="W536" t="s">
        <v>431</v>
      </c>
      <c r="X536">
        <v>0</v>
      </c>
      <c r="Y536" t="s">
        <v>4351</v>
      </c>
      <c r="Z536" t="s">
        <v>4361</v>
      </c>
      <c r="AB536" t="s">
        <v>4825</v>
      </c>
      <c r="AE536">
        <v>24</v>
      </c>
      <c r="AF536" t="s">
        <v>7101</v>
      </c>
      <c r="AG536" t="s">
        <v>7116</v>
      </c>
      <c r="AH536">
        <v>20</v>
      </c>
      <c r="AI536">
        <v>1</v>
      </c>
      <c r="AJ536">
        <v>0</v>
      </c>
      <c r="AK536">
        <v>79.59999999999999</v>
      </c>
      <c r="AL536" t="s">
        <v>496</v>
      </c>
      <c r="AN536" t="s">
        <v>7139</v>
      </c>
      <c r="AO536">
        <v>9600</v>
      </c>
      <c r="AU536">
        <v>0</v>
      </c>
      <c r="AW536" t="s">
        <v>7341</v>
      </c>
    </row>
    <row r="537" spans="1:50">
      <c r="A537" s="1">
        <f>HYPERLINK("https://lsnyc.legalserver.org/matter/dynamic-profile/view/1855553","18-1855553")</f>
        <v>0</v>
      </c>
      <c r="B537" t="s">
        <v>86</v>
      </c>
      <c r="C537" t="s">
        <v>104</v>
      </c>
      <c r="D537" t="s">
        <v>420</v>
      </c>
      <c r="E537" t="s">
        <v>175</v>
      </c>
      <c r="F537" t="s">
        <v>1027</v>
      </c>
      <c r="G537" t="s">
        <v>1907</v>
      </c>
      <c r="H537" t="s">
        <v>2785</v>
      </c>
      <c r="I537" t="s">
        <v>3419</v>
      </c>
      <c r="J537" t="s">
        <v>3604</v>
      </c>
      <c r="K537">
        <v>10029</v>
      </c>
      <c r="L537" t="s">
        <v>3610</v>
      </c>
      <c r="M537" t="s">
        <v>3610</v>
      </c>
      <c r="N537" t="s">
        <v>3818</v>
      </c>
      <c r="O537" t="s">
        <v>4209</v>
      </c>
      <c r="P537" t="s">
        <v>4241</v>
      </c>
      <c r="Q537" t="s">
        <v>4248</v>
      </c>
      <c r="R537" t="s">
        <v>4258</v>
      </c>
      <c r="S537" t="s">
        <v>3611</v>
      </c>
      <c r="U537" t="s">
        <v>4268</v>
      </c>
      <c r="V537" t="s">
        <v>4274</v>
      </c>
      <c r="W537" t="s">
        <v>138</v>
      </c>
      <c r="X537">
        <v>1146</v>
      </c>
      <c r="Y537" t="s">
        <v>4351</v>
      </c>
      <c r="Z537" t="s">
        <v>4228</v>
      </c>
      <c r="AA537" t="s">
        <v>4374</v>
      </c>
      <c r="AB537" t="s">
        <v>4827</v>
      </c>
      <c r="AD537" t="s">
        <v>5987</v>
      </c>
      <c r="AE537">
        <v>400</v>
      </c>
      <c r="AF537" t="s">
        <v>7102</v>
      </c>
      <c r="AG537" t="s">
        <v>7118</v>
      </c>
      <c r="AH537">
        <v>41</v>
      </c>
      <c r="AI537">
        <v>1</v>
      </c>
      <c r="AJ537">
        <v>0</v>
      </c>
      <c r="AK537">
        <v>79.59999999999999</v>
      </c>
      <c r="AN537" t="s">
        <v>7138</v>
      </c>
      <c r="AO537">
        <v>9600</v>
      </c>
      <c r="AP537" t="s">
        <v>7174</v>
      </c>
      <c r="AU537">
        <v>30.7</v>
      </c>
      <c r="AV537" t="s">
        <v>688</v>
      </c>
      <c r="AW537" t="s">
        <v>7358</v>
      </c>
    </row>
    <row r="538" spans="1:50">
      <c r="A538" s="1">
        <f>HYPERLINK("https://lsnyc.legalserver.org/matter/dynamic-profile/view/1856523","18-1856523")</f>
        <v>0</v>
      </c>
      <c r="B538" t="s">
        <v>55</v>
      </c>
      <c r="C538" t="s">
        <v>104</v>
      </c>
      <c r="D538" t="s">
        <v>421</v>
      </c>
      <c r="E538" t="s">
        <v>303</v>
      </c>
      <c r="F538" t="s">
        <v>1016</v>
      </c>
      <c r="G538" t="s">
        <v>1911</v>
      </c>
      <c r="H538" t="s">
        <v>2790</v>
      </c>
      <c r="I538" t="s">
        <v>3294</v>
      </c>
      <c r="J538" t="s">
        <v>3604</v>
      </c>
      <c r="K538">
        <v>10029</v>
      </c>
      <c r="L538" t="s">
        <v>3610</v>
      </c>
      <c r="M538" t="s">
        <v>3609</v>
      </c>
      <c r="N538" t="s">
        <v>3819</v>
      </c>
      <c r="O538" t="s">
        <v>4209</v>
      </c>
      <c r="P538" t="s">
        <v>4241</v>
      </c>
      <c r="Q538" t="s">
        <v>4248</v>
      </c>
      <c r="R538" t="s">
        <v>4258</v>
      </c>
      <c r="S538" t="s">
        <v>3611</v>
      </c>
      <c r="U538" t="s">
        <v>4268</v>
      </c>
      <c r="V538" t="s">
        <v>4274</v>
      </c>
      <c r="W538" t="s">
        <v>421</v>
      </c>
      <c r="X538">
        <v>1500</v>
      </c>
      <c r="Y538" t="s">
        <v>4351</v>
      </c>
      <c r="Z538" t="s">
        <v>4354</v>
      </c>
      <c r="AA538" t="s">
        <v>4374</v>
      </c>
      <c r="AB538" t="s">
        <v>4833</v>
      </c>
      <c r="AD538" t="s">
        <v>6221</v>
      </c>
      <c r="AE538">
        <v>20</v>
      </c>
      <c r="AF538" t="s">
        <v>7101</v>
      </c>
      <c r="AG538" t="s">
        <v>7121</v>
      </c>
      <c r="AH538">
        <v>12</v>
      </c>
      <c r="AI538">
        <v>1</v>
      </c>
      <c r="AJ538">
        <v>0</v>
      </c>
      <c r="AK538">
        <v>79.59999999999999</v>
      </c>
      <c r="AN538" t="s">
        <v>7138</v>
      </c>
      <c r="AO538">
        <v>9600</v>
      </c>
      <c r="AU538">
        <v>74.59999999999999</v>
      </c>
      <c r="AV538" t="s">
        <v>7295</v>
      </c>
      <c r="AW538" t="s">
        <v>7341</v>
      </c>
    </row>
    <row r="539" spans="1:50">
      <c r="A539" s="1">
        <f>HYPERLINK("https://lsnyc.legalserver.org/matter/dynamic-profile/view/0832586","17-0832586")</f>
        <v>0</v>
      </c>
      <c r="B539" t="s">
        <v>94</v>
      </c>
      <c r="C539" t="s">
        <v>104</v>
      </c>
      <c r="D539" t="s">
        <v>339</v>
      </c>
      <c r="E539" t="s">
        <v>529</v>
      </c>
      <c r="F539" t="s">
        <v>1029</v>
      </c>
      <c r="G539" t="s">
        <v>1912</v>
      </c>
      <c r="H539" t="s">
        <v>2791</v>
      </c>
      <c r="I539">
        <v>17</v>
      </c>
      <c r="J539" t="s">
        <v>3604</v>
      </c>
      <c r="K539">
        <v>10002</v>
      </c>
      <c r="L539" t="s">
        <v>3610</v>
      </c>
      <c r="M539" t="s">
        <v>3609</v>
      </c>
      <c r="O539" t="s">
        <v>4210</v>
      </c>
      <c r="P539" t="s">
        <v>4241</v>
      </c>
      <c r="Q539" t="s">
        <v>4248</v>
      </c>
      <c r="R539" t="s">
        <v>4258</v>
      </c>
      <c r="U539" t="s">
        <v>4268</v>
      </c>
      <c r="V539" t="s">
        <v>4274</v>
      </c>
      <c r="W539" t="s">
        <v>278</v>
      </c>
      <c r="X539">
        <v>0</v>
      </c>
      <c r="Y539" t="s">
        <v>4351</v>
      </c>
      <c r="AA539" t="s">
        <v>4374</v>
      </c>
      <c r="AB539" t="s">
        <v>4834</v>
      </c>
      <c r="AD539" t="s">
        <v>6222</v>
      </c>
      <c r="AE539">
        <v>0</v>
      </c>
      <c r="AF539" t="s">
        <v>7101</v>
      </c>
      <c r="AG539" t="s">
        <v>7118</v>
      </c>
      <c r="AH539">
        <v>46</v>
      </c>
      <c r="AI539">
        <v>1</v>
      </c>
      <c r="AJ539">
        <v>0</v>
      </c>
      <c r="AK539">
        <v>79.59999999999999</v>
      </c>
      <c r="AN539" t="s">
        <v>7144</v>
      </c>
      <c r="AO539">
        <v>9600</v>
      </c>
      <c r="AS539" t="s">
        <v>7231</v>
      </c>
      <c r="AT539" t="s">
        <v>7255</v>
      </c>
      <c r="AU539">
        <v>23.4</v>
      </c>
      <c r="AV539" t="s">
        <v>512</v>
      </c>
      <c r="AW539" t="s">
        <v>7345</v>
      </c>
    </row>
    <row r="540" spans="1:50">
      <c r="A540" s="1">
        <f>HYPERLINK("https://lsnyc.legalserver.org/matter/dynamic-profile/view/1888148","19-1888148")</f>
        <v>0</v>
      </c>
      <c r="B540" t="s">
        <v>52</v>
      </c>
      <c r="C540" t="s">
        <v>105</v>
      </c>
      <c r="D540" t="s">
        <v>174</v>
      </c>
      <c r="F540" t="s">
        <v>979</v>
      </c>
      <c r="G540" t="s">
        <v>1594</v>
      </c>
      <c r="H540" t="s">
        <v>2657</v>
      </c>
      <c r="I540" t="s">
        <v>3274</v>
      </c>
      <c r="J540" t="s">
        <v>3604</v>
      </c>
      <c r="K540">
        <v>10032</v>
      </c>
      <c r="L540" t="s">
        <v>3610</v>
      </c>
      <c r="M540" t="s">
        <v>3610</v>
      </c>
      <c r="P540" t="s">
        <v>4241</v>
      </c>
      <c r="R540" t="s">
        <v>4258</v>
      </c>
      <c r="S540" t="s">
        <v>3610</v>
      </c>
      <c r="U540" t="s">
        <v>4268</v>
      </c>
      <c r="W540" t="s">
        <v>174</v>
      </c>
      <c r="X540">
        <v>510.85</v>
      </c>
      <c r="Y540" t="s">
        <v>4351</v>
      </c>
      <c r="Z540" t="s">
        <v>4354</v>
      </c>
      <c r="AB540" t="s">
        <v>4835</v>
      </c>
      <c r="AD540" t="s">
        <v>6223</v>
      </c>
      <c r="AE540">
        <v>42</v>
      </c>
      <c r="AF540" t="s">
        <v>7101</v>
      </c>
      <c r="AG540" t="s">
        <v>7118</v>
      </c>
      <c r="AH540">
        <v>32</v>
      </c>
      <c r="AI540">
        <v>1</v>
      </c>
      <c r="AJ540">
        <v>0</v>
      </c>
      <c r="AK540">
        <v>79.87</v>
      </c>
      <c r="AN540" t="s">
        <v>7139</v>
      </c>
      <c r="AO540">
        <v>9696</v>
      </c>
      <c r="AU540">
        <v>0</v>
      </c>
      <c r="AW540" t="s">
        <v>7342</v>
      </c>
    </row>
    <row r="541" spans="1:50">
      <c r="A541" s="1">
        <f>HYPERLINK("https://lsnyc.legalserver.org/matter/dynamic-profile/view/0827352","17-0827352")</f>
        <v>0</v>
      </c>
      <c r="B541" t="s">
        <v>63</v>
      </c>
      <c r="C541" t="s">
        <v>105</v>
      </c>
      <c r="D541" t="s">
        <v>422</v>
      </c>
      <c r="F541" t="s">
        <v>1030</v>
      </c>
      <c r="G541" t="s">
        <v>1825</v>
      </c>
      <c r="H541" t="s">
        <v>2637</v>
      </c>
      <c r="I541" t="s">
        <v>3282</v>
      </c>
      <c r="J541" t="s">
        <v>3604</v>
      </c>
      <c r="K541">
        <v>10034</v>
      </c>
      <c r="L541" t="s">
        <v>3610</v>
      </c>
      <c r="M541" t="s">
        <v>3609</v>
      </c>
      <c r="N541" t="s">
        <v>3820</v>
      </c>
      <c r="O541" t="s">
        <v>4213</v>
      </c>
      <c r="P541" t="s">
        <v>4241</v>
      </c>
      <c r="R541" t="s">
        <v>4258</v>
      </c>
      <c r="S541" t="s">
        <v>3610</v>
      </c>
      <c r="U541" t="s">
        <v>4268</v>
      </c>
      <c r="W541" t="s">
        <v>4307</v>
      </c>
      <c r="X541">
        <v>890.8200000000001</v>
      </c>
      <c r="Y541" t="s">
        <v>4351</v>
      </c>
      <c r="Z541" t="s">
        <v>4354</v>
      </c>
      <c r="AB541" t="s">
        <v>4836</v>
      </c>
      <c r="AE541">
        <v>44</v>
      </c>
      <c r="AF541" t="s">
        <v>7101</v>
      </c>
      <c r="AG541" t="s">
        <v>3745</v>
      </c>
      <c r="AH541">
        <v>24</v>
      </c>
      <c r="AI541">
        <v>1</v>
      </c>
      <c r="AJ541">
        <v>1</v>
      </c>
      <c r="AK541">
        <v>80.05</v>
      </c>
      <c r="AN541" t="s">
        <v>7139</v>
      </c>
      <c r="AO541">
        <v>13000</v>
      </c>
      <c r="AU541">
        <v>0</v>
      </c>
      <c r="AW541" t="s">
        <v>63</v>
      </c>
    </row>
    <row r="542" spans="1:50">
      <c r="A542" s="1">
        <f>HYPERLINK("https://lsnyc.legalserver.org/matter/dynamic-profile/view/1895755","19-1895755")</f>
        <v>0</v>
      </c>
      <c r="B542" t="s">
        <v>53</v>
      </c>
      <c r="C542" t="s">
        <v>104</v>
      </c>
      <c r="D542" t="s">
        <v>208</v>
      </c>
      <c r="E542" t="s">
        <v>396</v>
      </c>
      <c r="F542" t="s">
        <v>853</v>
      </c>
      <c r="G542" t="s">
        <v>1729</v>
      </c>
      <c r="H542" t="s">
        <v>2531</v>
      </c>
      <c r="I542" t="s">
        <v>3291</v>
      </c>
      <c r="J542" t="s">
        <v>3604</v>
      </c>
      <c r="K542">
        <v>10035</v>
      </c>
      <c r="L542" t="s">
        <v>3610</v>
      </c>
      <c r="M542" t="s">
        <v>3610</v>
      </c>
      <c r="O542" t="s">
        <v>4211</v>
      </c>
      <c r="P542" t="s">
        <v>4245</v>
      </c>
      <c r="Q542" t="s">
        <v>4249</v>
      </c>
      <c r="R542" t="s">
        <v>4258</v>
      </c>
      <c r="S542" t="s">
        <v>3611</v>
      </c>
      <c r="U542" t="s">
        <v>4268</v>
      </c>
      <c r="V542" t="s">
        <v>4274</v>
      </c>
      <c r="W542" t="s">
        <v>208</v>
      </c>
      <c r="X542">
        <v>858.95</v>
      </c>
      <c r="Y542" t="s">
        <v>4351</v>
      </c>
      <c r="Z542" t="s">
        <v>4357</v>
      </c>
      <c r="AA542" t="s">
        <v>4373</v>
      </c>
      <c r="AB542" t="s">
        <v>4576</v>
      </c>
      <c r="AD542" t="s">
        <v>6001</v>
      </c>
      <c r="AE542">
        <v>35</v>
      </c>
      <c r="AF542" t="s">
        <v>7101</v>
      </c>
      <c r="AG542" t="s">
        <v>3745</v>
      </c>
      <c r="AH542">
        <v>24</v>
      </c>
      <c r="AI542">
        <v>1</v>
      </c>
      <c r="AJ542">
        <v>0</v>
      </c>
      <c r="AK542">
        <v>80.06</v>
      </c>
      <c r="AN542" t="s">
        <v>7139</v>
      </c>
      <c r="AO542">
        <v>10000</v>
      </c>
      <c r="AU542">
        <v>0.3</v>
      </c>
      <c r="AV542" t="s">
        <v>396</v>
      </c>
      <c r="AW542" t="s">
        <v>7341</v>
      </c>
      <c r="AX542" t="s">
        <v>7377</v>
      </c>
    </row>
    <row r="543" spans="1:50">
      <c r="A543" s="1">
        <f>HYPERLINK("https://lsnyc.legalserver.org/matter/dynamic-profile/view/1899749","19-1899749")</f>
        <v>0</v>
      </c>
      <c r="B543" t="s">
        <v>56</v>
      </c>
      <c r="C543" t="s">
        <v>105</v>
      </c>
      <c r="D543" t="s">
        <v>285</v>
      </c>
      <c r="F543" t="s">
        <v>785</v>
      </c>
      <c r="G543" t="s">
        <v>1659</v>
      </c>
      <c r="H543" t="s">
        <v>2545</v>
      </c>
      <c r="I543" t="s">
        <v>3286</v>
      </c>
      <c r="J543" t="s">
        <v>3604</v>
      </c>
      <c r="K543">
        <v>10034</v>
      </c>
      <c r="L543" t="s">
        <v>3610</v>
      </c>
      <c r="M543" t="s">
        <v>3609</v>
      </c>
      <c r="O543" t="s">
        <v>4209</v>
      </c>
      <c r="P543" t="s">
        <v>4246</v>
      </c>
      <c r="R543" t="s">
        <v>4258</v>
      </c>
      <c r="S543" t="s">
        <v>3610</v>
      </c>
      <c r="U543" t="s">
        <v>4268</v>
      </c>
      <c r="W543" t="s">
        <v>285</v>
      </c>
      <c r="X543">
        <v>1270</v>
      </c>
      <c r="Y543" t="s">
        <v>4351</v>
      </c>
      <c r="Z543" t="s">
        <v>4354</v>
      </c>
      <c r="AB543" t="s">
        <v>4494</v>
      </c>
      <c r="AC543" t="s">
        <v>5820</v>
      </c>
      <c r="AD543" t="s">
        <v>5923</v>
      </c>
      <c r="AE543">
        <v>44</v>
      </c>
      <c r="AF543" t="s">
        <v>7101</v>
      </c>
      <c r="AG543" t="s">
        <v>3745</v>
      </c>
      <c r="AH543">
        <v>5</v>
      </c>
      <c r="AI543">
        <v>1</v>
      </c>
      <c r="AJ543">
        <v>0</v>
      </c>
      <c r="AK543">
        <v>80.06</v>
      </c>
      <c r="AN543" t="s">
        <v>7138</v>
      </c>
      <c r="AO543">
        <v>10000</v>
      </c>
      <c r="AU543">
        <v>0.5</v>
      </c>
      <c r="AV543" t="s">
        <v>122</v>
      </c>
      <c r="AW543" t="s">
        <v>7342</v>
      </c>
      <c r="AX543" t="s">
        <v>7377</v>
      </c>
    </row>
    <row r="544" spans="1:50">
      <c r="A544" s="1">
        <f>HYPERLINK("https://lsnyc.legalserver.org/matter/dynamic-profile/view/1863662","18-1863662")</f>
        <v>0</v>
      </c>
      <c r="B544" t="s">
        <v>62</v>
      </c>
      <c r="C544" t="s">
        <v>104</v>
      </c>
      <c r="D544" t="s">
        <v>242</v>
      </c>
      <c r="E544" t="s">
        <v>271</v>
      </c>
      <c r="F544" t="s">
        <v>967</v>
      </c>
      <c r="G544" t="s">
        <v>1656</v>
      </c>
      <c r="H544" t="s">
        <v>2631</v>
      </c>
      <c r="I544">
        <v>21</v>
      </c>
      <c r="J544" t="s">
        <v>3604</v>
      </c>
      <c r="K544">
        <v>10034</v>
      </c>
      <c r="L544" t="s">
        <v>3610</v>
      </c>
      <c r="M544" t="s">
        <v>3610</v>
      </c>
      <c r="O544" t="s">
        <v>4209</v>
      </c>
      <c r="P544" t="s">
        <v>4245</v>
      </c>
      <c r="Q544" t="s">
        <v>4249</v>
      </c>
      <c r="R544" t="s">
        <v>4258</v>
      </c>
      <c r="S544" t="s">
        <v>3611</v>
      </c>
      <c r="U544" t="s">
        <v>4268</v>
      </c>
      <c r="W544" t="s">
        <v>557</v>
      </c>
      <c r="X544">
        <v>1200</v>
      </c>
      <c r="Y544" t="s">
        <v>4351</v>
      </c>
      <c r="Z544" t="s">
        <v>4365</v>
      </c>
      <c r="AA544" t="s">
        <v>4377</v>
      </c>
      <c r="AB544" t="s">
        <v>4837</v>
      </c>
      <c r="AD544" t="s">
        <v>5987</v>
      </c>
      <c r="AE544">
        <v>25</v>
      </c>
      <c r="AF544" t="s">
        <v>7104</v>
      </c>
      <c r="AG544" t="s">
        <v>3745</v>
      </c>
      <c r="AH544">
        <v>27</v>
      </c>
      <c r="AI544">
        <v>2</v>
      </c>
      <c r="AJ544">
        <v>0</v>
      </c>
      <c r="AK544">
        <v>80.19</v>
      </c>
      <c r="AN544" t="s">
        <v>7139</v>
      </c>
      <c r="AO544">
        <v>13200</v>
      </c>
      <c r="AU544">
        <v>8.9</v>
      </c>
      <c r="AV544" t="s">
        <v>271</v>
      </c>
      <c r="AW544" t="s">
        <v>7366</v>
      </c>
    </row>
    <row r="545" spans="1:50">
      <c r="A545" s="1">
        <f>HYPERLINK("https://lsnyc.legalserver.org/matter/dynamic-profile/view/0764880","14-0764880")</f>
        <v>0</v>
      </c>
      <c r="B545" t="s">
        <v>95</v>
      </c>
      <c r="C545" t="s">
        <v>104</v>
      </c>
      <c r="D545" t="s">
        <v>423</v>
      </c>
      <c r="E545" t="s">
        <v>637</v>
      </c>
      <c r="F545" t="s">
        <v>1031</v>
      </c>
      <c r="G545" t="s">
        <v>1913</v>
      </c>
      <c r="H545" t="s">
        <v>2792</v>
      </c>
      <c r="I545">
        <v>35</v>
      </c>
      <c r="J545" t="s">
        <v>3604</v>
      </c>
      <c r="K545">
        <v>10033</v>
      </c>
      <c r="L545" t="s">
        <v>3609</v>
      </c>
      <c r="M545" t="s">
        <v>3609</v>
      </c>
      <c r="N545" t="s">
        <v>3821</v>
      </c>
      <c r="O545" t="s">
        <v>4210</v>
      </c>
      <c r="P545" t="s">
        <v>4241</v>
      </c>
      <c r="Q545" t="s">
        <v>4255</v>
      </c>
      <c r="R545" t="s">
        <v>4258</v>
      </c>
      <c r="S545" t="s">
        <v>3611</v>
      </c>
      <c r="T545" t="s">
        <v>4259</v>
      </c>
      <c r="U545" t="s">
        <v>4268</v>
      </c>
      <c r="X545">
        <v>0</v>
      </c>
      <c r="Y545" t="s">
        <v>4351</v>
      </c>
      <c r="AA545" t="s">
        <v>4375</v>
      </c>
      <c r="AB545" t="s">
        <v>4838</v>
      </c>
      <c r="AD545" t="s">
        <v>6224</v>
      </c>
      <c r="AE545">
        <v>0</v>
      </c>
      <c r="AH545">
        <v>0</v>
      </c>
      <c r="AI545">
        <v>1</v>
      </c>
      <c r="AJ545">
        <v>0</v>
      </c>
      <c r="AK545">
        <v>80.20999999999999</v>
      </c>
      <c r="AN545" t="s">
        <v>7139</v>
      </c>
      <c r="AO545">
        <v>9360</v>
      </c>
      <c r="AU545">
        <v>845.26</v>
      </c>
      <c r="AV545" t="s">
        <v>681</v>
      </c>
      <c r="AW545" t="s">
        <v>7370</v>
      </c>
    </row>
    <row r="546" spans="1:50">
      <c r="A546" s="1">
        <f>HYPERLINK("https://lsnyc.legalserver.org/matter/dynamic-profile/view/1900474","19-1900474")</f>
        <v>0</v>
      </c>
      <c r="B546" t="s">
        <v>61</v>
      </c>
      <c r="C546" t="s">
        <v>105</v>
      </c>
      <c r="D546" t="s">
        <v>424</v>
      </c>
      <c r="F546" t="s">
        <v>881</v>
      </c>
      <c r="G546" t="s">
        <v>1588</v>
      </c>
      <c r="H546" t="s">
        <v>2793</v>
      </c>
      <c r="I546" t="s">
        <v>3339</v>
      </c>
      <c r="J546" t="s">
        <v>3604</v>
      </c>
      <c r="K546">
        <v>10034</v>
      </c>
      <c r="L546" t="s">
        <v>3610</v>
      </c>
      <c r="M546" t="s">
        <v>3609</v>
      </c>
      <c r="O546" t="s">
        <v>4219</v>
      </c>
      <c r="P546" t="s">
        <v>4242</v>
      </c>
      <c r="R546" t="s">
        <v>4258</v>
      </c>
      <c r="S546" t="s">
        <v>3611</v>
      </c>
      <c r="U546" t="s">
        <v>4268</v>
      </c>
      <c r="W546" t="s">
        <v>424</v>
      </c>
      <c r="X546">
        <v>215.56</v>
      </c>
      <c r="Y546" t="s">
        <v>4351</v>
      </c>
      <c r="Z546" t="s">
        <v>4357</v>
      </c>
      <c r="AB546" t="s">
        <v>4839</v>
      </c>
      <c r="AD546" t="s">
        <v>6225</v>
      </c>
      <c r="AE546">
        <v>21</v>
      </c>
      <c r="AF546" t="s">
        <v>7101</v>
      </c>
      <c r="AG546" t="s">
        <v>7118</v>
      </c>
      <c r="AH546">
        <v>25</v>
      </c>
      <c r="AI546">
        <v>1</v>
      </c>
      <c r="AJ546">
        <v>0</v>
      </c>
      <c r="AK546">
        <v>80.22</v>
      </c>
      <c r="AN546" t="s">
        <v>7139</v>
      </c>
      <c r="AO546">
        <v>10020</v>
      </c>
      <c r="AU546">
        <v>3.2</v>
      </c>
      <c r="AV546" t="s">
        <v>683</v>
      </c>
      <c r="AW546" t="s">
        <v>7342</v>
      </c>
      <c r="AX546" t="s">
        <v>7377</v>
      </c>
    </row>
    <row r="547" spans="1:50">
      <c r="A547" s="1">
        <f>HYPERLINK("https://lsnyc.legalserver.org/matter/dynamic-profile/view/1878390","18-1878390")</f>
        <v>0</v>
      </c>
      <c r="B547" t="s">
        <v>70</v>
      </c>
      <c r="C547" t="s">
        <v>105</v>
      </c>
      <c r="D547" t="s">
        <v>110</v>
      </c>
      <c r="F547" t="s">
        <v>838</v>
      </c>
      <c r="G547" t="s">
        <v>1914</v>
      </c>
      <c r="H547" t="s">
        <v>2794</v>
      </c>
      <c r="I547" t="s">
        <v>3420</v>
      </c>
      <c r="J547" t="s">
        <v>3604</v>
      </c>
      <c r="K547">
        <v>10029</v>
      </c>
      <c r="L547" t="s">
        <v>3610</v>
      </c>
      <c r="M547" t="s">
        <v>3610</v>
      </c>
      <c r="N547" t="s">
        <v>3822</v>
      </c>
      <c r="O547" t="s">
        <v>4209</v>
      </c>
      <c r="P547" t="s">
        <v>4241</v>
      </c>
      <c r="R547" t="s">
        <v>4258</v>
      </c>
      <c r="S547" t="s">
        <v>3610</v>
      </c>
      <c r="U547" t="s">
        <v>4268</v>
      </c>
      <c r="V547" t="s">
        <v>4274</v>
      </c>
      <c r="W547" t="s">
        <v>417</v>
      </c>
      <c r="X547">
        <v>3958</v>
      </c>
      <c r="Y547" t="s">
        <v>4351</v>
      </c>
      <c r="Z547" t="s">
        <v>4352</v>
      </c>
      <c r="AB547" t="s">
        <v>4840</v>
      </c>
      <c r="AD547" t="s">
        <v>6226</v>
      </c>
      <c r="AE547">
        <v>758</v>
      </c>
      <c r="AF547" t="s">
        <v>7106</v>
      </c>
      <c r="AG547" t="s">
        <v>7116</v>
      </c>
      <c r="AH547">
        <v>38</v>
      </c>
      <c r="AI547">
        <v>1</v>
      </c>
      <c r="AJ547">
        <v>0</v>
      </c>
      <c r="AK547">
        <v>80.45999999999999</v>
      </c>
      <c r="AN547" t="s">
        <v>7138</v>
      </c>
      <c r="AO547">
        <v>9768</v>
      </c>
      <c r="AU547">
        <v>29.75</v>
      </c>
      <c r="AV547" t="s">
        <v>663</v>
      </c>
      <c r="AW547" t="s">
        <v>7369</v>
      </c>
      <c r="AX547" t="s">
        <v>7377</v>
      </c>
    </row>
    <row r="548" spans="1:50">
      <c r="A548" s="1">
        <f>HYPERLINK("https://lsnyc.legalserver.org/matter/dynamic-profile/view/1836411","17-1836411")</f>
        <v>0</v>
      </c>
      <c r="B548" t="s">
        <v>56</v>
      </c>
      <c r="C548" t="s">
        <v>105</v>
      </c>
      <c r="D548" t="s">
        <v>418</v>
      </c>
      <c r="F548" t="s">
        <v>718</v>
      </c>
      <c r="G548" t="s">
        <v>1915</v>
      </c>
      <c r="H548" t="s">
        <v>2534</v>
      </c>
      <c r="I548" t="s">
        <v>3365</v>
      </c>
      <c r="J548" t="s">
        <v>3604</v>
      </c>
      <c r="K548">
        <v>10040</v>
      </c>
      <c r="L548" t="s">
        <v>3610</v>
      </c>
      <c r="M548" t="s">
        <v>3609</v>
      </c>
      <c r="O548" t="s">
        <v>4213</v>
      </c>
      <c r="P548" t="s">
        <v>4243</v>
      </c>
      <c r="R548" t="s">
        <v>4258</v>
      </c>
      <c r="S548" t="s">
        <v>3610</v>
      </c>
      <c r="U548" t="s">
        <v>4268</v>
      </c>
      <c r="W548" t="s">
        <v>4282</v>
      </c>
      <c r="X548">
        <v>10085</v>
      </c>
      <c r="Y548" t="s">
        <v>4351</v>
      </c>
      <c r="Z548" t="s">
        <v>4352</v>
      </c>
      <c r="AB548" t="s">
        <v>4841</v>
      </c>
      <c r="AC548" t="s">
        <v>5821</v>
      </c>
      <c r="AD548" t="s">
        <v>6227</v>
      </c>
      <c r="AE548">
        <v>45</v>
      </c>
      <c r="AF548" t="s">
        <v>7101</v>
      </c>
      <c r="AG548" t="s">
        <v>3745</v>
      </c>
      <c r="AH548">
        <v>20</v>
      </c>
      <c r="AI548">
        <v>2</v>
      </c>
      <c r="AJ548">
        <v>1</v>
      </c>
      <c r="AK548">
        <v>80.51000000000001</v>
      </c>
      <c r="AL548" t="s">
        <v>246</v>
      </c>
      <c r="AN548" t="s">
        <v>7139</v>
      </c>
      <c r="AO548">
        <v>16440</v>
      </c>
      <c r="AU548">
        <v>0.21</v>
      </c>
      <c r="AV548" t="s">
        <v>612</v>
      </c>
      <c r="AW548" t="s">
        <v>7341</v>
      </c>
    </row>
    <row r="549" spans="1:50">
      <c r="A549" s="1">
        <f>HYPERLINK("https://lsnyc.legalserver.org/matter/dynamic-profile/view/1885146","18-1885146")</f>
        <v>0</v>
      </c>
      <c r="B549" t="s">
        <v>52</v>
      </c>
      <c r="C549" t="s">
        <v>104</v>
      </c>
      <c r="D549" t="s">
        <v>425</v>
      </c>
      <c r="E549" t="s">
        <v>113</v>
      </c>
      <c r="F549" t="s">
        <v>760</v>
      </c>
      <c r="G549" t="s">
        <v>1916</v>
      </c>
      <c r="H549" t="s">
        <v>2795</v>
      </c>
      <c r="I549" t="s">
        <v>3289</v>
      </c>
      <c r="J549" t="s">
        <v>3604</v>
      </c>
      <c r="K549">
        <v>10034</v>
      </c>
      <c r="L549" t="s">
        <v>3610</v>
      </c>
      <c r="M549" t="s">
        <v>3610</v>
      </c>
      <c r="O549" t="s">
        <v>4219</v>
      </c>
      <c r="P549" t="s">
        <v>4242</v>
      </c>
      <c r="Q549" t="s">
        <v>4250</v>
      </c>
      <c r="R549" t="s">
        <v>4258</v>
      </c>
      <c r="S549" t="s">
        <v>3611</v>
      </c>
      <c r="U549" t="s">
        <v>4268</v>
      </c>
      <c r="W549" t="s">
        <v>425</v>
      </c>
      <c r="X549">
        <v>776</v>
      </c>
      <c r="Y549" t="s">
        <v>4351</v>
      </c>
      <c r="Z549" t="s">
        <v>4354</v>
      </c>
      <c r="AA549" t="s">
        <v>4373</v>
      </c>
      <c r="AB549" t="s">
        <v>4842</v>
      </c>
      <c r="AE549">
        <v>0</v>
      </c>
      <c r="AF549" t="s">
        <v>7101</v>
      </c>
      <c r="AG549" t="s">
        <v>3745</v>
      </c>
      <c r="AH549">
        <v>36</v>
      </c>
      <c r="AI549">
        <v>1</v>
      </c>
      <c r="AJ549">
        <v>0</v>
      </c>
      <c r="AK549">
        <v>80.56</v>
      </c>
      <c r="AN549" t="s">
        <v>7138</v>
      </c>
      <c r="AO549">
        <v>9780</v>
      </c>
      <c r="AU549">
        <v>2.7</v>
      </c>
      <c r="AV549" t="s">
        <v>351</v>
      </c>
      <c r="AW549" t="s">
        <v>7342</v>
      </c>
    </row>
    <row r="550" spans="1:50">
      <c r="A550" s="1">
        <f>HYPERLINK("https://lsnyc.legalserver.org/matter/dynamic-profile/view/1884424","18-1884424")</f>
        <v>0</v>
      </c>
      <c r="B550" t="s">
        <v>62</v>
      </c>
      <c r="C550" t="s">
        <v>104</v>
      </c>
      <c r="D550" t="s">
        <v>175</v>
      </c>
      <c r="E550" t="s">
        <v>145</v>
      </c>
      <c r="F550" t="s">
        <v>1032</v>
      </c>
      <c r="G550" t="s">
        <v>1917</v>
      </c>
      <c r="H550" t="s">
        <v>2796</v>
      </c>
      <c r="I550">
        <v>24</v>
      </c>
      <c r="J550" t="s">
        <v>3604</v>
      </c>
      <c r="K550">
        <v>10034</v>
      </c>
      <c r="L550" t="s">
        <v>3610</v>
      </c>
      <c r="M550" t="s">
        <v>3610</v>
      </c>
      <c r="O550" t="s">
        <v>4209</v>
      </c>
      <c r="P550" t="s">
        <v>4242</v>
      </c>
      <c r="Q550" t="s">
        <v>4250</v>
      </c>
      <c r="R550" t="s">
        <v>4258</v>
      </c>
      <c r="S550" t="s">
        <v>3611</v>
      </c>
      <c r="U550" t="s">
        <v>4268</v>
      </c>
      <c r="W550" t="s">
        <v>175</v>
      </c>
      <c r="X550">
        <v>730.5599999999999</v>
      </c>
      <c r="Y550" t="s">
        <v>4351</v>
      </c>
      <c r="Z550" t="s">
        <v>4354</v>
      </c>
      <c r="AA550" t="s">
        <v>4373</v>
      </c>
      <c r="AB550" t="s">
        <v>4843</v>
      </c>
      <c r="AD550" t="s">
        <v>6228</v>
      </c>
      <c r="AE550">
        <v>30</v>
      </c>
      <c r="AF550" t="s">
        <v>7101</v>
      </c>
      <c r="AG550" t="s">
        <v>3745</v>
      </c>
      <c r="AH550">
        <v>40</v>
      </c>
      <c r="AI550">
        <v>1</v>
      </c>
      <c r="AJ550">
        <v>0</v>
      </c>
      <c r="AK550">
        <v>80.66</v>
      </c>
      <c r="AN550" t="s">
        <v>7138</v>
      </c>
      <c r="AO550">
        <v>9792</v>
      </c>
      <c r="AU550">
        <v>1.6</v>
      </c>
      <c r="AV550" t="s">
        <v>145</v>
      </c>
      <c r="AW550" t="s">
        <v>7342</v>
      </c>
    </row>
    <row r="551" spans="1:50">
      <c r="A551" s="1">
        <f>HYPERLINK("https://lsnyc.legalserver.org/matter/dynamic-profile/view/1901270","19-1901270")</f>
        <v>0</v>
      </c>
      <c r="B551" t="s">
        <v>64</v>
      </c>
      <c r="C551" t="s">
        <v>105</v>
      </c>
      <c r="D551" t="s">
        <v>426</v>
      </c>
      <c r="F551" t="s">
        <v>1033</v>
      </c>
      <c r="G551" t="s">
        <v>1867</v>
      </c>
      <c r="H551" t="s">
        <v>2642</v>
      </c>
      <c r="I551" t="s">
        <v>3333</v>
      </c>
      <c r="J551" t="s">
        <v>3604</v>
      </c>
      <c r="K551">
        <v>10034</v>
      </c>
      <c r="L551" t="s">
        <v>3609</v>
      </c>
      <c r="M551" t="s">
        <v>3609</v>
      </c>
      <c r="O551" t="s">
        <v>4211</v>
      </c>
      <c r="P551" t="s">
        <v>4245</v>
      </c>
      <c r="R551" t="s">
        <v>4258</v>
      </c>
      <c r="S551" t="s">
        <v>3611</v>
      </c>
      <c r="U551" t="s">
        <v>4268</v>
      </c>
      <c r="V551" t="s">
        <v>4274</v>
      </c>
      <c r="W551" t="s">
        <v>456</v>
      </c>
      <c r="X551">
        <v>632.42</v>
      </c>
      <c r="Y551" t="s">
        <v>4351</v>
      </c>
      <c r="Z551" t="s">
        <v>4354</v>
      </c>
      <c r="AB551" t="s">
        <v>4844</v>
      </c>
      <c r="AD551" t="s">
        <v>6229</v>
      </c>
      <c r="AE551">
        <v>49</v>
      </c>
      <c r="AF551" t="s">
        <v>7101</v>
      </c>
      <c r="AG551" t="s">
        <v>7116</v>
      </c>
      <c r="AH551">
        <v>35</v>
      </c>
      <c r="AI551">
        <v>1</v>
      </c>
      <c r="AJ551">
        <v>0</v>
      </c>
      <c r="AK551">
        <v>80.7</v>
      </c>
      <c r="AN551" t="s">
        <v>7139</v>
      </c>
      <c r="AO551">
        <v>10080</v>
      </c>
      <c r="AU551">
        <v>3.85</v>
      </c>
      <c r="AV551" t="s">
        <v>529</v>
      </c>
      <c r="AW551" t="s">
        <v>64</v>
      </c>
    </row>
    <row r="552" spans="1:50">
      <c r="A552" s="1">
        <f>HYPERLINK("https://lsnyc.legalserver.org/matter/dynamic-profile/view/1888678","19-1888678")</f>
        <v>0</v>
      </c>
      <c r="B552" t="s">
        <v>61</v>
      </c>
      <c r="C552" t="s">
        <v>105</v>
      </c>
      <c r="D552" t="s">
        <v>113</v>
      </c>
      <c r="F552" t="s">
        <v>1034</v>
      </c>
      <c r="G552" t="s">
        <v>1911</v>
      </c>
      <c r="H552" t="s">
        <v>2556</v>
      </c>
      <c r="I552">
        <v>43</v>
      </c>
      <c r="J552" t="s">
        <v>3604</v>
      </c>
      <c r="K552">
        <v>10034</v>
      </c>
      <c r="L552" t="s">
        <v>3610</v>
      </c>
      <c r="M552" t="s">
        <v>3610</v>
      </c>
      <c r="N552" t="s">
        <v>3739</v>
      </c>
      <c r="O552" t="s">
        <v>4213</v>
      </c>
      <c r="P552" t="s">
        <v>4241</v>
      </c>
      <c r="R552" t="s">
        <v>4258</v>
      </c>
      <c r="S552" t="s">
        <v>3610</v>
      </c>
      <c r="U552" t="s">
        <v>4268</v>
      </c>
      <c r="W552" t="s">
        <v>113</v>
      </c>
      <c r="X552">
        <v>1547</v>
      </c>
      <c r="Y552" t="s">
        <v>4351</v>
      </c>
      <c r="Z552" t="s">
        <v>4354</v>
      </c>
      <c r="AB552" t="s">
        <v>4845</v>
      </c>
      <c r="AD552" t="s">
        <v>6230</v>
      </c>
      <c r="AE552">
        <v>25</v>
      </c>
      <c r="AF552" t="s">
        <v>7101</v>
      </c>
      <c r="AG552" t="s">
        <v>3745</v>
      </c>
      <c r="AH552">
        <v>8</v>
      </c>
      <c r="AI552">
        <v>2</v>
      </c>
      <c r="AJ552">
        <v>2</v>
      </c>
      <c r="AK552">
        <v>80.78</v>
      </c>
      <c r="AN552" t="s">
        <v>7139</v>
      </c>
      <c r="AO552">
        <v>20800</v>
      </c>
      <c r="AU552">
        <v>0.5</v>
      </c>
      <c r="AV552" t="s">
        <v>113</v>
      </c>
      <c r="AW552" t="s">
        <v>7342</v>
      </c>
    </row>
    <row r="553" spans="1:50">
      <c r="A553" s="1">
        <f>HYPERLINK("https://lsnyc.legalserver.org/matter/dynamic-profile/view/1897751","19-1897751")</f>
        <v>0</v>
      </c>
      <c r="B553" t="s">
        <v>53</v>
      </c>
      <c r="C553" t="s">
        <v>105</v>
      </c>
      <c r="D553" t="s">
        <v>146</v>
      </c>
      <c r="F553" t="s">
        <v>1035</v>
      </c>
      <c r="G553" t="s">
        <v>1918</v>
      </c>
      <c r="H553" t="s">
        <v>2797</v>
      </c>
      <c r="I553" t="s">
        <v>3320</v>
      </c>
      <c r="J553" t="s">
        <v>3604</v>
      </c>
      <c r="K553">
        <v>10035</v>
      </c>
      <c r="L553" t="s">
        <v>3610</v>
      </c>
      <c r="M553" t="s">
        <v>3610</v>
      </c>
      <c r="O553" t="s">
        <v>4211</v>
      </c>
      <c r="P553" t="s">
        <v>4245</v>
      </c>
      <c r="R553" t="s">
        <v>4258</v>
      </c>
      <c r="S553" t="s">
        <v>3610</v>
      </c>
      <c r="U553" t="s">
        <v>4268</v>
      </c>
      <c r="V553" t="s">
        <v>4274</v>
      </c>
      <c r="W553" t="s">
        <v>319</v>
      </c>
      <c r="X553">
        <v>2500</v>
      </c>
      <c r="Y553" t="s">
        <v>4351</v>
      </c>
      <c r="Z553" t="s">
        <v>4361</v>
      </c>
      <c r="AB553" t="s">
        <v>4846</v>
      </c>
      <c r="AD553" t="s">
        <v>6231</v>
      </c>
      <c r="AE553">
        <v>60</v>
      </c>
      <c r="AF553" t="s">
        <v>7101</v>
      </c>
      <c r="AG553" t="s">
        <v>7116</v>
      </c>
      <c r="AH553">
        <v>14</v>
      </c>
      <c r="AI553">
        <v>1</v>
      </c>
      <c r="AJ553">
        <v>0</v>
      </c>
      <c r="AK553">
        <v>80.8</v>
      </c>
      <c r="AN553" t="s">
        <v>7139</v>
      </c>
      <c r="AO553">
        <v>10092</v>
      </c>
      <c r="AU553">
        <v>0</v>
      </c>
      <c r="AW553" t="s">
        <v>7341</v>
      </c>
    </row>
    <row r="554" spans="1:50">
      <c r="A554" s="1">
        <f>HYPERLINK("https://lsnyc.legalserver.org/matter/dynamic-profile/view/1879909","18-1879909")</f>
        <v>0</v>
      </c>
      <c r="B554" t="s">
        <v>64</v>
      </c>
      <c r="C554" t="s">
        <v>105</v>
      </c>
      <c r="D554" t="s">
        <v>334</v>
      </c>
      <c r="F554" t="s">
        <v>1036</v>
      </c>
      <c r="G554" t="s">
        <v>1919</v>
      </c>
      <c r="H554" t="s">
        <v>2576</v>
      </c>
      <c r="I554" t="s">
        <v>3421</v>
      </c>
      <c r="J554" t="s">
        <v>3604</v>
      </c>
      <c r="K554">
        <v>10040</v>
      </c>
      <c r="L554" t="s">
        <v>3610</v>
      </c>
      <c r="M554" t="s">
        <v>3611</v>
      </c>
      <c r="O554" t="s">
        <v>4218</v>
      </c>
      <c r="P554" t="s">
        <v>4241</v>
      </c>
      <c r="R554" t="s">
        <v>4258</v>
      </c>
      <c r="S554" t="s">
        <v>3610</v>
      </c>
      <c r="U554" t="s">
        <v>4268</v>
      </c>
      <c r="W554" t="s">
        <v>334</v>
      </c>
      <c r="X554">
        <v>959</v>
      </c>
      <c r="Y554" t="s">
        <v>4351</v>
      </c>
      <c r="Z554" t="s">
        <v>4357</v>
      </c>
      <c r="AB554" t="s">
        <v>4847</v>
      </c>
      <c r="AD554" t="s">
        <v>6232</v>
      </c>
      <c r="AE554">
        <v>88</v>
      </c>
      <c r="AF554" t="s">
        <v>7101</v>
      </c>
      <c r="AG554" t="s">
        <v>7118</v>
      </c>
      <c r="AH554">
        <v>37</v>
      </c>
      <c r="AI554">
        <v>1</v>
      </c>
      <c r="AJ554">
        <v>0</v>
      </c>
      <c r="AK554">
        <v>81.05</v>
      </c>
      <c r="AN554" t="s">
        <v>7139</v>
      </c>
      <c r="AO554">
        <v>9840</v>
      </c>
      <c r="AU554">
        <v>0</v>
      </c>
      <c r="AW554" t="s">
        <v>7342</v>
      </c>
    </row>
    <row r="555" spans="1:50">
      <c r="A555" s="1">
        <f>HYPERLINK("https://lsnyc.legalserver.org/matter/dynamic-profile/view/1885153","18-1885153")</f>
        <v>0</v>
      </c>
      <c r="B555" t="s">
        <v>52</v>
      </c>
      <c r="C555" t="s">
        <v>104</v>
      </c>
      <c r="D555" t="s">
        <v>425</v>
      </c>
      <c r="E555" t="s">
        <v>113</v>
      </c>
      <c r="F555" t="s">
        <v>733</v>
      </c>
      <c r="G555" t="s">
        <v>1920</v>
      </c>
      <c r="H555" t="s">
        <v>2798</v>
      </c>
      <c r="I555" t="s">
        <v>3314</v>
      </c>
      <c r="J555" t="s">
        <v>3604</v>
      </c>
      <c r="K555">
        <v>10034</v>
      </c>
      <c r="L555" t="s">
        <v>3610</v>
      </c>
      <c r="M555" t="s">
        <v>3610</v>
      </c>
      <c r="O555" t="s">
        <v>4211</v>
      </c>
      <c r="P555" t="s">
        <v>4242</v>
      </c>
      <c r="Q555" t="s">
        <v>4250</v>
      </c>
      <c r="R555" t="s">
        <v>4258</v>
      </c>
      <c r="S555" t="s">
        <v>3611</v>
      </c>
      <c r="U555" t="s">
        <v>4268</v>
      </c>
      <c r="W555" t="s">
        <v>425</v>
      </c>
      <c r="X555">
        <v>1208.23</v>
      </c>
      <c r="Y555" t="s">
        <v>4351</v>
      </c>
      <c r="Z555" t="s">
        <v>4354</v>
      </c>
      <c r="AA555" t="s">
        <v>4373</v>
      </c>
      <c r="AB555" t="s">
        <v>4848</v>
      </c>
      <c r="AE555">
        <v>0</v>
      </c>
      <c r="AF555" t="s">
        <v>7101</v>
      </c>
      <c r="AG555" t="s">
        <v>3745</v>
      </c>
      <c r="AH555">
        <v>12</v>
      </c>
      <c r="AI555">
        <v>1</v>
      </c>
      <c r="AJ555">
        <v>0</v>
      </c>
      <c r="AK555">
        <v>81.05</v>
      </c>
      <c r="AN555" t="s">
        <v>7138</v>
      </c>
      <c r="AO555">
        <v>9840</v>
      </c>
      <c r="AU555">
        <v>1.6</v>
      </c>
      <c r="AV555" t="s">
        <v>109</v>
      </c>
      <c r="AW555" t="s">
        <v>7342</v>
      </c>
    </row>
    <row r="556" spans="1:50">
      <c r="A556" s="1">
        <f>HYPERLINK("https://lsnyc.legalserver.org/matter/dynamic-profile/view/1863774","18-1863774")</f>
        <v>0</v>
      </c>
      <c r="B556" t="s">
        <v>63</v>
      </c>
      <c r="C556" t="s">
        <v>105</v>
      </c>
      <c r="D556" t="s">
        <v>160</v>
      </c>
      <c r="F556" t="s">
        <v>733</v>
      </c>
      <c r="G556" t="s">
        <v>1574</v>
      </c>
      <c r="H556" t="s">
        <v>2487</v>
      </c>
      <c r="I556" t="s">
        <v>3293</v>
      </c>
      <c r="J556" t="s">
        <v>3604</v>
      </c>
      <c r="K556">
        <v>10033</v>
      </c>
      <c r="L556" t="s">
        <v>3610</v>
      </c>
      <c r="M556" t="s">
        <v>3609</v>
      </c>
      <c r="N556" t="s">
        <v>3823</v>
      </c>
      <c r="O556" t="s">
        <v>4220</v>
      </c>
      <c r="P556" t="s">
        <v>4241</v>
      </c>
      <c r="R556" t="s">
        <v>4258</v>
      </c>
      <c r="S556" t="s">
        <v>3610</v>
      </c>
      <c r="U556" t="s">
        <v>4268</v>
      </c>
      <c r="W556" t="s">
        <v>160</v>
      </c>
      <c r="X556">
        <v>778</v>
      </c>
      <c r="Y556" t="s">
        <v>4351</v>
      </c>
      <c r="Z556" t="s">
        <v>4357</v>
      </c>
      <c r="AB556" t="s">
        <v>4849</v>
      </c>
      <c r="AD556" t="s">
        <v>6233</v>
      </c>
      <c r="AE556">
        <v>24</v>
      </c>
      <c r="AF556" t="s">
        <v>7101</v>
      </c>
      <c r="AG556" t="s">
        <v>3745</v>
      </c>
      <c r="AH556">
        <v>43</v>
      </c>
      <c r="AI556">
        <v>1</v>
      </c>
      <c r="AJ556">
        <v>0</v>
      </c>
      <c r="AK556">
        <v>81.05</v>
      </c>
      <c r="AL556" t="s">
        <v>496</v>
      </c>
      <c r="AN556" t="s">
        <v>7139</v>
      </c>
      <c r="AO556">
        <v>9840</v>
      </c>
      <c r="AU556">
        <v>0</v>
      </c>
      <c r="AW556" t="s">
        <v>7342</v>
      </c>
    </row>
    <row r="557" spans="1:50">
      <c r="A557" s="1">
        <f>HYPERLINK("https://lsnyc.legalserver.org/matter/dynamic-profile/view/1863789","18-1863789")</f>
        <v>0</v>
      </c>
      <c r="B557" t="s">
        <v>63</v>
      </c>
      <c r="C557" t="s">
        <v>105</v>
      </c>
      <c r="D557" t="s">
        <v>160</v>
      </c>
      <c r="F557" t="s">
        <v>979</v>
      </c>
      <c r="G557" t="s">
        <v>1911</v>
      </c>
      <c r="H557" t="s">
        <v>2487</v>
      </c>
      <c r="I557" t="s">
        <v>3365</v>
      </c>
      <c r="J557" t="s">
        <v>3604</v>
      </c>
      <c r="K557">
        <v>10033</v>
      </c>
      <c r="L557" t="s">
        <v>3610</v>
      </c>
      <c r="M557" t="s">
        <v>3609</v>
      </c>
      <c r="O557" t="s">
        <v>4220</v>
      </c>
      <c r="P557" t="s">
        <v>4243</v>
      </c>
      <c r="R557" t="s">
        <v>4258</v>
      </c>
      <c r="S557" t="s">
        <v>3610</v>
      </c>
      <c r="U557" t="s">
        <v>4268</v>
      </c>
      <c r="W557" t="s">
        <v>160</v>
      </c>
      <c r="X557">
        <v>310</v>
      </c>
      <c r="Y557" t="s">
        <v>4351</v>
      </c>
      <c r="Z557" t="s">
        <v>4357</v>
      </c>
      <c r="AB557" t="s">
        <v>4850</v>
      </c>
      <c r="AD557" t="s">
        <v>6234</v>
      </c>
      <c r="AE557">
        <v>20</v>
      </c>
      <c r="AF557" t="s">
        <v>7101</v>
      </c>
      <c r="AG557" t="s">
        <v>3745</v>
      </c>
      <c r="AH557">
        <v>20</v>
      </c>
      <c r="AI557">
        <v>1</v>
      </c>
      <c r="AJ557">
        <v>0</v>
      </c>
      <c r="AK557">
        <v>81.05</v>
      </c>
      <c r="AL557" t="s">
        <v>496</v>
      </c>
      <c r="AN557" t="s">
        <v>7139</v>
      </c>
      <c r="AO557">
        <v>9840</v>
      </c>
      <c r="AU557">
        <v>0</v>
      </c>
      <c r="AW557" t="s">
        <v>7342</v>
      </c>
    </row>
    <row r="558" spans="1:50">
      <c r="A558" s="1">
        <f>HYPERLINK("https://lsnyc.legalserver.org/matter/dynamic-profile/view/1863764","18-1863764")</f>
        <v>0</v>
      </c>
      <c r="B558" t="s">
        <v>53</v>
      </c>
      <c r="C558" t="s">
        <v>105</v>
      </c>
      <c r="D558" t="s">
        <v>160</v>
      </c>
      <c r="F558" t="s">
        <v>733</v>
      </c>
      <c r="G558" t="s">
        <v>1921</v>
      </c>
      <c r="H558" t="s">
        <v>2508</v>
      </c>
      <c r="I558">
        <v>714</v>
      </c>
      <c r="J558" t="s">
        <v>3604</v>
      </c>
      <c r="K558">
        <v>10029</v>
      </c>
      <c r="L558" t="s">
        <v>3610</v>
      </c>
      <c r="M558" t="s">
        <v>3610</v>
      </c>
      <c r="N558" t="s">
        <v>3642</v>
      </c>
      <c r="O558" t="s">
        <v>4213</v>
      </c>
      <c r="P558" t="s">
        <v>4241</v>
      </c>
      <c r="R558" t="s">
        <v>4258</v>
      </c>
      <c r="S558" t="s">
        <v>3610</v>
      </c>
      <c r="U558" t="s">
        <v>4268</v>
      </c>
      <c r="V558" t="s">
        <v>4274</v>
      </c>
      <c r="W558" t="s">
        <v>242</v>
      </c>
      <c r="X558">
        <v>0</v>
      </c>
      <c r="Y558" t="s">
        <v>4351</v>
      </c>
      <c r="Z558" t="s">
        <v>4352</v>
      </c>
      <c r="AB558" t="s">
        <v>4851</v>
      </c>
      <c r="AE558">
        <v>108</v>
      </c>
      <c r="AF558" t="s">
        <v>7106</v>
      </c>
      <c r="AG558" t="s">
        <v>7116</v>
      </c>
      <c r="AH558">
        <v>28</v>
      </c>
      <c r="AI558">
        <v>1</v>
      </c>
      <c r="AJ558">
        <v>0</v>
      </c>
      <c r="AK558">
        <v>81.05</v>
      </c>
      <c r="AN558" t="s">
        <v>7138</v>
      </c>
      <c r="AO558">
        <v>9840</v>
      </c>
      <c r="AU558">
        <v>0.35</v>
      </c>
      <c r="AV558" t="s">
        <v>320</v>
      </c>
      <c r="AW558" t="s">
        <v>7341</v>
      </c>
    </row>
    <row r="559" spans="1:50">
      <c r="A559" s="1">
        <f>HYPERLINK("https://lsnyc.legalserver.org/matter/dynamic-profile/view/1872358","18-1872358")</f>
        <v>0</v>
      </c>
      <c r="B559" t="s">
        <v>55</v>
      </c>
      <c r="C559" t="s">
        <v>104</v>
      </c>
      <c r="D559" t="s">
        <v>310</v>
      </c>
      <c r="E559" t="s">
        <v>329</v>
      </c>
      <c r="F559" t="s">
        <v>1037</v>
      </c>
      <c r="G559" t="s">
        <v>1922</v>
      </c>
      <c r="H559" t="s">
        <v>2799</v>
      </c>
      <c r="I559">
        <v>8</v>
      </c>
      <c r="J559" t="s">
        <v>3604</v>
      </c>
      <c r="K559">
        <v>10029</v>
      </c>
      <c r="L559" t="s">
        <v>3610</v>
      </c>
      <c r="M559" t="s">
        <v>3610</v>
      </c>
      <c r="N559" t="s">
        <v>3824</v>
      </c>
      <c r="O559" t="s">
        <v>4209</v>
      </c>
      <c r="P559" t="s">
        <v>4245</v>
      </c>
      <c r="Q559" t="s">
        <v>4249</v>
      </c>
      <c r="R559" t="s">
        <v>4258</v>
      </c>
      <c r="S559" t="s">
        <v>3611</v>
      </c>
      <c r="U559" t="s">
        <v>4268</v>
      </c>
      <c r="V559" t="s">
        <v>4274</v>
      </c>
      <c r="W559" t="s">
        <v>493</v>
      </c>
      <c r="X559">
        <v>1250</v>
      </c>
      <c r="Y559" t="s">
        <v>4351</v>
      </c>
      <c r="Z559" t="s">
        <v>4353</v>
      </c>
      <c r="AA559" t="s">
        <v>4377</v>
      </c>
      <c r="AB559" t="s">
        <v>4852</v>
      </c>
      <c r="AD559" t="s">
        <v>6235</v>
      </c>
      <c r="AE559">
        <v>25</v>
      </c>
      <c r="AF559" t="s">
        <v>7105</v>
      </c>
      <c r="AG559" t="s">
        <v>7116</v>
      </c>
      <c r="AH559">
        <v>16</v>
      </c>
      <c r="AI559">
        <v>1</v>
      </c>
      <c r="AJ559">
        <v>0</v>
      </c>
      <c r="AK559">
        <v>81.05</v>
      </c>
      <c r="AN559" t="s">
        <v>7138</v>
      </c>
      <c r="AO559">
        <v>9840</v>
      </c>
      <c r="AU559">
        <v>2.65</v>
      </c>
      <c r="AV559" t="s">
        <v>254</v>
      </c>
      <c r="AW559" t="s">
        <v>7344</v>
      </c>
    </row>
    <row r="560" spans="1:50">
      <c r="A560" s="1">
        <f>HYPERLINK("https://lsnyc.legalserver.org/matter/dynamic-profile/view/0825897","17-0825897")</f>
        <v>0</v>
      </c>
      <c r="B560" t="s">
        <v>80</v>
      </c>
      <c r="C560" t="s">
        <v>105</v>
      </c>
      <c r="D560" t="s">
        <v>172</v>
      </c>
      <c r="F560" t="s">
        <v>1038</v>
      </c>
      <c r="G560" t="s">
        <v>1807</v>
      </c>
      <c r="H560" t="s">
        <v>2564</v>
      </c>
      <c r="I560" t="s">
        <v>3311</v>
      </c>
      <c r="J560" t="s">
        <v>3604</v>
      </c>
      <c r="K560">
        <v>10002</v>
      </c>
      <c r="L560" t="s">
        <v>3610</v>
      </c>
      <c r="M560" t="s">
        <v>3609</v>
      </c>
      <c r="N560" t="s">
        <v>3825</v>
      </c>
      <c r="O560" t="s">
        <v>4210</v>
      </c>
      <c r="P560" t="s">
        <v>4241</v>
      </c>
      <c r="R560" t="s">
        <v>4258</v>
      </c>
      <c r="T560" t="s">
        <v>4259</v>
      </c>
      <c r="U560" t="s">
        <v>4268</v>
      </c>
      <c r="W560" t="s">
        <v>234</v>
      </c>
      <c r="X560">
        <v>879.29</v>
      </c>
      <c r="Y560" t="s">
        <v>4351</v>
      </c>
      <c r="Z560" t="s">
        <v>4368</v>
      </c>
      <c r="AB560" t="s">
        <v>4853</v>
      </c>
      <c r="AD560" t="s">
        <v>6236</v>
      </c>
      <c r="AE560">
        <v>0</v>
      </c>
      <c r="AF560" t="s">
        <v>7101</v>
      </c>
      <c r="AG560" t="s">
        <v>3745</v>
      </c>
      <c r="AH560">
        <v>25</v>
      </c>
      <c r="AI560">
        <v>2</v>
      </c>
      <c r="AJ560">
        <v>0</v>
      </c>
      <c r="AK560">
        <v>81.15000000000001</v>
      </c>
      <c r="AN560" t="s">
        <v>7138</v>
      </c>
      <c r="AO560">
        <v>13000</v>
      </c>
      <c r="AU560">
        <v>51.4</v>
      </c>
      <c r="AV560" t="s">
        <v>467</v>
      </c>
      <c r="AW560" t="s">
        <v>7371</v>
      </c>
    </row>
    <row r="561" spans="1:50">
      <c r="A561" s="1">
        <f>HYPERLINK("https://lsnyc.legalserver.org/matter/dynamic-profile/view/1885148","18-1885148")</f>
        <v>0</v>
      </c>
      <c r="B561" t="s">
        <v>52</v>
      </c>
      <c r="C561" t="s">
        <v>104</v>
      </c>
      <c r="D561" t="s">
        <v>425</v>
      </c>
      <c r="E561" t="s">
        <v>214</v>
      </c>
      <c r="F561" t="s">
        <v>1039</v>
      </c>
      <c r="G561" t="s">
        <v>1694</v>
      </c>
      <c r="H561" t="s">
        <v>2800</v>
      </c>
      <c r="I561">
        <v>1</v>
      </c>
      <c r="J561" t="s">
        <v>3604</v>
      </c>
      <c r="K561">
        <v>10033</v>
      </c>
      <c r="L561" t="s">
        <v>3610</v>
      </c>
      <c r="M561" t="s">
        <v>3610</v>
      </c>
      <c r="O561" t="s">
        <v>4211</v>
      </c>
      <c r="P561" t="s">
        <v>4242</v>
      </c>
      <c r="Q561" t="s">
        <v>4250</v>
      </c>
      <c r="R561" t="s">
        <v>4258</v>
      </c>
      <c r="S561" t="s">
        <v>3611</v>
      </c>
      <c r="U561" t="s">
        <v>4268</v>
      </c>
      <c r="W561" t="s">
        <v>425</v>
      </c>
      <c r="X561">
        <v>600</v>
      </c>
      <c r="Y561" t="s">
        <v>4351</v>
      </c>
      <c r="Z561" t="s">
        <v>4354</v>
      </c>
      <c r="AA561" t="s">
        <v>4373</v>
      </c>
      <c r="AB561" t="s">
        <v>4854</v>
      </c>
      <c r="AD561" t="s">
        <v>6237</v>
      </c>
      <c r="AE561">
        <v>0</v>
      </c>
      <c r="AF561" t="s">
        <v>7101</v>
      </c>
      <c r="AG561" t="s">
        <v>3745</v>
      </c>
      <c r="AH561">
        <v>10</v>
      </c>
      <c r="AI561">
        <v>2</v>
      </c>
      <c r="AJ561">
        <v>2</v>
      </c>
      <c r="AK561">
        <v>81.20999999999999</v>
      </c>
      <c r="AN561" t="s">
        <v>7138</v>
      </c>
      <c r="AO561">
        <v>20384</v>
      </c>
      <c r="AU561">
        <v>0.7</v>
      </c>
      <c r="AV561" t="s">
        <v>335</v>
      </c>
      <c r="AW561" t="s">
        <v>7342</v>
      </c>
    </row>
    <row r="562" spans="1:50">
      <c r="A562" s="1">
        <f>HYPERLINK("https://lsnyc.legalserver.org/matter/dynamic-profile/view/1842412","17-1842412")</f>
        <v>0</v>
      </c>
      <c r="B562" t="s">
        <v>51</v>
      </c>
      <c r="C562" t="s">
        <v>104</v>
      </c>
      <c r="D562" t="s">
        <v>427</v>
      </c>
      <c r="E562" t="s">
        <v>293</v>
      </c>
      <c r="F562" t="s">
        <v>1025</v>
      </c>
      <c r="G562" t="s">
        <v>1923</v>
      </c>
      <c r="H562" t="s">
        <v>2510</v>
      </c>
      <c r="I562" t="s">
        <v>3306</v>
      </c>
      <c r="J562" t="s">
        <v>3604</v>
      </c>
      <c r="K562">
        <v>10029</v>
      </c>
      <c r="L562" t="s">
        <v>3610</v>
      </c>
      <c r="M562" t="s">
        <v>3610</v>
      </c>
      <c r="O562" t="s">
        <v>4211</v>
      </c>
      <c r="P562" t="s">
        <v>4244</v>
      </c>
      <c r="Q562" t="s">
        <v>4249</v>
      </c>
      <c r="R562" t="s">
        <v>4258</v>
      </c>
      <c r="S562" t="s">
        <v>3611</v>
      </c>
      <c r="U562" t="s">
        <v>4268</v>
      </c>
      <c r="V562" t="s">
        <v>4274</v>
      </c>
      <c r="W562" t="s">
        <v>427</v>
      </c>
      <c r="X562">
        <v>1288.01</v>
      </c>
      <c r="Y562" t="s">
        <v>4351</v>
      </c>
      <c r="Z562" t="s">
        <v>4354</v>
      </c>
      <c r="AA562" t="s">
        <v>4377</v>
      </c>
      <c r="AB562" t="s">
        <v>4855</v>
      </c>
      <c r="AD562" t="s">
        <v>6238</v>
      </c>
      <c r="AE562">
        <v>17</v>
      </c>
      <c r="AF562" t="s">
        <v>7101</v>
      </c>
      <c r="AG562" t="s">
        <v>7116</v>
      </c>
      <c r="AH562">
        <v>17</v>
      </c>
      <c r="AI562">
        <v>1</v>
      </c>
      <c r="AJ562">
        <v>0</v>
      </c>
      <c r="AK562">
        <v>81.29000000000001</v>
      </c>
      <c r="AN562" t="s">
        <v>7139</v>
      </c>
      <c r="AO562">
        <v>9804</v>
      </c>
      <c r="AU562">
        <v>3.3</v>
      </c>
      <c r="AV562" t="s">
        <v>541</v>
      </c>
      <c r="AW562" t="s">
        <v>7341</v>
      </c>
    </row>
    <row r="563" spans="1:50">
      <c r="A563" s="1">
        <f>HYPERLINK("https://lsnyc.legalserver.org/matter/dynamic-profile/view/1860321","18-1860321")</f>
        <v>0</v>
      </c>
      <c r="B563" t="s">
        <v>63</v>
      </c>
      <c r="C563" t="s">
        <v>105</v>
      </c>
      <c r="D563" t="s">
        <v>428</v>
      </c>
      <c r="F563" t="s">
        <v>1040</v>
      </c>
      <c r="G563" t="s">
        <v>1588</v>
      </c>
      <c r="H563" t="s">
        <v>2801</v>
      </c>
      <c r="I563">
        <v>16</v>
      </c>
      <c r="J563" t="s">
        <v>3604</v>
      </c>
      <c r="K563">
        <v>10032</v>
      </c>
      <c r="L563" t="s">
        <v>3610</v>
      </c>
      <c r="M563" t="s">
        <v>3609</v>
      </c>
      <c r="P563" t="s">
        <v>4241</v>
      </c>
      <c r="R563" t="s">
        <v>4258</v>
      </c>
      <c r="S563" t="s">
        <v>3611</v>
      </c>
      <c r="U563" t="s">
        <v>4268</v>
      </c>
      <c r="W563" t="s">
        <v>428</v>
      </c>
      <c r="X563">
        <v>1142.3</v>
      </c>
      <c r="Y563" t="s">
        <v>4351</v>
      </c>
      <c r="Z563" t="s">
        <v>4354</v>
      </c>
      <c r="AB563" t="s">
        <v>4469</v>
      </c>
      <c r="AD563" t="s">
        <v>6239</v>
      </c>
      <c r="AE563">
        <v>20</v>
      </c>
      <c r="AF563" t="s">
        <v>7101</v>
      </c>
      <c r="AG563" t="s">
        <v>3745</v>
      </c>
      <c r="AH563">
        <v>25</v>
      </c>
      <c r="AI563">
        <v>3</v>
      </c>
      <c r="AJ563">
        <v>2</v>
      </c>
      <c r="AK563">
        <v>81.31</v>
      </c>
      <c r="AN563" t="s">
        <v>7139</v>
      </c>
      <c r="AO563">
        <v>23400</v>
      </c>
      <c r="AU563">
        <v>17</v>
      </c>
      <c r="AV563" t="s">
        <v>7289</v>
      </c>
      <c r="AW563" t="s">
        <v>7342</v>
      </c>
    </row>
    <row r="564" spans="1:50">
      <c r="A564" s="1">
        <f>HYPERLINK("https://lsnyc.legalserver.org/matter/dynamic-profile/view/1836398","17-1836398")</f>
        <v>0</v>
      </c>
      <c r="B564" t="s">
        <v>56</v>
      </c>
      <c r="C564" t="s">
        <v>105</v>
      </c>
      <c r="D564" t="s">
        <v>418</v>
      </c>
      <c r="F564" t="s">
        <v>727</v>
      </c>
      <c r="G564" t="s">
        <v>1754</v>
      </c>
      <c r="H564" t="s">
        <v>2534</v>
      </c>
      <c r="I564" t="s">
        <v>3287</v>
      </c>
      <c r="J564" t="s">
        <v>3604</v>
      </c>
      <c r="K564">
        <v>10040</v>
      </c>
      <c r="L564" t="s">
        <v>3609</v>
      </c>
      <c r="M564" t="s">
        <v>3609</v>
      </c>
      <c r="O564" t="s">
        <v>4213</v>
      </c>
      <c r="P564" t="s">
        <v>4243</v>
      </c>
      <c r="R564" t="s">
        <v>4258</v>
      </c>
      <c r="S564" t="s">
        <v>3610</v>
      </c>
      <c r="U564" t="s">
        <v>4268</v>
      </c>
      <c r="W564" t="s">
        <v>4282</v>
      </c>
      <c r="X564">
        <v>0</v>
      </c>
      <c r="Y564" t="s">
        <v>4351</v>
      </c>
      <c r="Z564" t="s">
        <v>4352</v>
      </c>
      <c r="AB564" t="s">
        <v>4856</v>
      </c>
      <c r="AD564" t="s">
        <v>6240</v>
      </c>
      <c r="AE564">
        <v>45</v>
      </c>
      <c r="AF564" t="s">
        <v>7101</v>
      </c>
      <c r="AG564" t="s">
        <v>3745</v>
      </c>
      <c r="AH564">
        <v>35</v>
      </c>
      <c r="AI564">
        <v>1</v>
      </c>
      <c r="AJ564">
        <v>0</v>
      </c>
      <c r="AK564">
        <v>81.39</v>
      </c>
      <c r="AN564" t="s">
        <v>7139</v>
      </c>
      <c r="AO564">
        <v>9816</v>
      </c>
      <c r="AU564">
        <v>2.46</v>
      </c>
      <c r="AV564" t="s">
        <v>612</v>
      </c>
      <c r="AW564" t="s">
        <v>7341</v>
      </c>
    </row>
    <row r="565" spans="1:50">
      <c r="A565" s="1">
        <f>HYPERLINK("https://lsnyc.legalserver.org/matter/dynamic-profile/view/1857872","18-1857872")</f>
        <v>0</v>
      </c>
      <c r="B565" t="s">
        <v>51</v>
      </c>
      <c r="C565" t="s">
        <v>104</v>
      </c>
      <c r="D565" t="s">
        <v>379</v>
      </c>
      <c r="E565" t="s">
        <v>293</v>
      </c>
      <c r="F565" t="s">
        <v>719</v>
      </c>
      <c r="G565" t="s">
        <v>1924</v>
      </c>
      <c r="H565" t="s">
        <v>2802</v>
      </c>
      <c r="I565" t="s">
        <v>3375</v>
      </c>
      <c r="J565" t="s">
        <v>3604</v>
      </c>
      <c r="K565">
        <v>10035</v>
      </c>
      <c r="L565" t="s">
        <v>3610</v>
      </c>
      <c r="M565" t="s">
        <v>3610</v>
      </c>
      <c r="O565" t="s">
        <v>4211</v>
      </c>
      <c r="P565" t="s">
        <v>4242</v>
      </c>
      <c r="Q565" t="s">
        <v>4250</v>
      </c>
      <c r="R565" t="s">
        <v>4258</v>
      </c>
      <c r="S565" t="s">
        <v>3611</v>
      </c>
      <c r="U565" t="s">
        <v>4268</v>
      </c>
      <c r="V565" t="s">
        <v>4274</v>
      </c>
      <c r="W565" t="s">
        <v>379</v>
      </c>
      <c r="X565">
        <v>1421</v>
      </c>
      <c r="Y565" t="s">
        <v>4351</v>
      </c>
      <c r="Z565" t="s">
        <v>4357</v>
      </c>
      <c r="AA565" t="s">
        <v>4373</v>
      </c>
      <c r="AB565" t="s">
        <v>4857</v>
      </c>
      <c r="AD565" t="s">
        <v>6241</v>
      </c>
      <c r="AE565">
        <v>32</v>
      </c>
      <c r="AF565" t="s">
        <v>7101</v>
      </c>
      <c r="AG565" t="s">
        <v>7116</v>
      </c>
      <c r="AH565">
        <v>8</v>
      </c>
      <c r="AI565">
        <v>2</v>
      </c>
      <c r="AJ565">
        <v>1</v>
      </c>
      <c r="AK565">
        <v>81.39</v>
      </c>
      <c r="AN565" t="s">
        <v>7138</v>
      </c>
      <c r="AO565">
        <v>22140</v>
      </c>
      <c r="AU565">
        <v>2.5</v>
      </c>
      <c r="AV565" t="s">
        <v>7313</v>
      </c>
      <c r="AW565" t="s">
        <v>7341</v>
      </c>
    </row>
    <row r="566" spans="1:50">
      <c r="A566" s="1">
        <f>HYPERLINK("https://lsnyc.legalserver.org/matter/dynamic-profile/view/0793777","15-0793777")</f>
        <v>0</v>
      </c>
      <c r="B566" t="s">
        <v>63</v>
      </c>
      <c r="C566" t="s">
        <v>105</v>
      </c>
      <c r="D566" t="s">
        <v>429</v>
      </c>
      <c r="F566" t="s">
        <v>1041</v>
      </c>
      <c r="G566" t="s">
        <v>1754</v>
      </c>
      <c r="H566" t="s">
        <v>2803</v>
      </c>
      <c r="I566" t="s">
        <v>3362</v>
      </c>
      <c r="J566" t="s">
        <v>3604</v>
      </c>
      <c r="K566">
        <v>10034</v>
      </c>
      <c r="L566" t="s">
        <v>3609</v>
      </c>
      <c r="M566" t="s">
        <v>3609</v>
      </c>
      <c r="O566" t="s">
        <v>4211</v>
      </c>
      <c r="P566" t="s">
        <v>4242</v>
      </c>
      <c r="R566" t="s">
        <v>4258</v>
      </c>
      <c r="S566" t="s">
        <v>3611</v>
      </c>
      <c r="U566" t="s">
        <v>4268</v>
      </c>
      <c r="X566">
        <v>692</v>
      </c>
      <c r="Y566" t="s">
        <v>4351</v>
      </c>
      <c r="Z566" t="s">
        <v>4354</v>
      </c>
      <c r="AB566" t="s">
        <v>4858</v>
      </c>
      <c r="AD566" t="s">
        <v>6242</v>
      </c>
      <c r="AE566">
        <v>46</v>
      </c>
      <c r="AF566" t="s">
        <v>7101</v>
      </c>
      <c r="AH566">
        <v>9</v>
      </c>
      <c r="AI566">
        <v>1</v>
      </c>
      <c r="AJ566">
        <v>0</v>
      </c>
      <c r="AK566">
        <v>81.56</v>
      </c>
      <c r="AN566" t="s">
        <v>7139</v>
      </c>
      <c r="AO566">
        <v>9600</v>
      </c>
      <c r="AU566">
        <v>0.75</v>
      </c>
      <c r="AV566" t="s">
        <v>429</v>
      </c>
      <c r="AW566" t="s">
        <v>57</v>
      </c>
    </row>
    <row r="567" spans="1:50">
      <c r="A567" s="1">
        <f>HYPERLINK("https://lsnyc.legalserver.org/matter/dynamic-profile/view/1844227","17-1844227")</f>
        <v>0</v>
      </c>
      <c r="B567" t="s">
        <v>64</v>
      </c>
      <c r="C567" t="s">
        <v>104</v>
      </c>
      <c r="D567" t="s">
        <v>430</v>
      </c>
      <c r="E567" t="s">
        <v>335</v>
      </c>
      <c r="F567" t="s">
        <v>1042</v>
      </c>
      <c r="G567" t="s">
        <v>1925</v>
      </c>
      <c r="H567" t="s">
        <v>2642</v>
      </c>
      <c r="I567" t="s">
        <v>3355</v>
      </c>
      <c r="J567" t="s">
        <v>3604</v>
      </c>
      <c r="K567">
        <v>10034</v>
      </c>
      <c r="L567" t="s">
        <v>3610</v>
      </c>
      <c r="M567" t="s">
        <v>3609</v>
      </c>
      <c r="O567" t="s">
        <v>4211</v>
      </c>
      <c r="P567" t="s">
        <v>4244</v>
      </c>
      <c r="Q567" t="s">
        <v>4254</v>
      </c>
      <c r="R567" t="s">
        <v>4258</v>
      </c>
      <c r="S567" t="s">
        <v>3611</v>
      </c>
      <c r="U567" t="s">
        <v>4268</v>
      </c>
      <c r="W567" t="s">
        <v>428</v>
      </c>
      <c r="X567">
        <v>689.36</v>
      </c>
      <c r="Y567" t="s">
        <v>4351</v>
      </c>
      <c r="Z567" t="s">
        <v>4354</v>
      </c>
      <c r="AA567" t="s">
        <v>4385</v>
      </c>
      <c r="AB567" t="s">
        <v>4859</v>
      </c>
      <c r="AD567" t="s">
        <v>6243</v>
      </c>
      <c r="AE567">
        <v>49</v>
      </c>
      <c r="AF567" t="s">
        <v>7101</v>
      </c>
      <c r="AG567" t="s">
        <v>3745</v>
      </c>
      <c r="AH567">
        <v>12</v>
      </c>
      <c r="AI567">
        <v>1</v>
      </c>
      <c r="AJ567">
        <v>0</v>
      </c>
      <c r="AK567">
        <v>81.59</v>
      </c>
      <c r="AN567" t="s">
        <v>7139</v>
      </c>
      <c r="AO567">
        <v>9840</v>
      </c>
      <c r="AU567">
        <v>12.7</v>
      </c>
      <c r="AV567" t="s">
        <v>274</v>
      </c>
      <c r="AW567" t="s">
        <v>7342</v>
      </c>
    </row>
    <row r="568" spans="1:50">
      <c r="A568" s="1">
        <f>HYPERLINK("https://lsnyc.legalserver.org/matter/dynamic-profile/view/1850915","17-1850915")</f>
        <v>0</v>
      </c>
      <c r="B568" t="s">
        <v>53</v>
      </c>
      <c r="C568" t="s">
        <v>104</v>
      </c>
      <c r="D568" t="s">
        <v>222</v>
      </c>
      <c r="E568" t="s">
        <v>260</v>
      </c>
      <c r="F568" t="s">
        <v>1043</v>
      </c>
      <c r="G568" t="s">
        <v>1926</v>
      </c>
      <c r="H568" t="s">
        <v>2556</v>
      </c>
      <c r="I568">
        <v>32</v>
      </c>
      <c r="J568" t="s">
        <v>3604</v>
      </c>
      <c r="K568">
        <v>10034</v>
      </c>
      <c r="L568" t="s">
        <v>3610</v>
      </c>
      <c r="M568" t="s">
        <v>3609</v>
      </c>
      <c r="N568" t="s">
        <v>3826</v>
      </c>
      <c r="O568" t="s">
        <v>4219</v>
      </c>
      <c r="P568" t="s">
        <v>4241</v>
      </c>
      <c r="Q568" t="s">
        <v>4253</v>
      </c>
      <c r="R568" t="s">
        <v>4258</v>
      </c>
      <c r="S568" t="s">
        <v>3611</v>
      </c>
      <c r="U568" t="s">
        <v>4268</v>
      </c>
      <c r="W568" t="s">
        <v>309</v>
      </c>
      <c r="X568">
        <v>845.14</v>
      </c>
      <c r="Y568" t="s">
        <v>4351</v>
      </c>
      <c r="Z568" t="s">
        <v>4354</v>
      </c>
      <c r="AA568" t="s">
        <v>4387</v>
      </c>
      <c r="AB568" t="s">
        <v>4860</v>
      </c>
      <c r="AD568" t="s">
        <v>6244</v>
      </c>
      <c r="AE568">
        <v>25</v>
      </c>
      <c r="AF568" t="s">
        <v>7101</v>
      </c>
      <c r="AG568" t="s">
        <v>3745</v>
      </c>
      <c r="AH568">
        <v>45</v>
      </c>
      <c r="AI568">
        <v>1</v>
      </c>
      <c r="AJ568">
        <v>0</v>
      </c>
      <c r="AK568">
        <v>81.59</v>
      </c>
      <c r="AN568" t="s">
        <v>7139</v>
      </c>
      <c r="AO568">
        <v>9840</v>
      </c>
      <c r="AU568">
        <v>13.3</v>
      </c>
      <c r="AV568" t="s">
        <v>603</v>
      </c>
      <c r="AW568" t="s">
        <v>7342</v>
      </c>
    </row>
    <row r="569" spans="1:50">
      <c r="A569" s="1">
        <f>HYPERLINK("https://lsnyc.legalserver.org/matter/dynamic-profile/view/1835019","17-1835019")</f>
        <v>0</v>
      </c>
      <c r="B569" t="s">
        <v>63</v>
      </c>
      <c r="C569" t="s">
        <v>105</v>
      </c>
      <c r="D569" t="s">
        <v>431</v>
      </c>
      <c r="F569" t="s">
        <v>733</v>
      </c>
      <c r="G569" t="s">
        <v>1574</v>
      </c>
      <c r="H569" t="s">
        <v>2487</v>
      </c>
      <c r="I569" t="s">
        <v>3293</v>
      </c>
      <c r="J569" t="s">
        <v>3604</v>
      </c>
      <c r="K569">
        <v>10033</v>
      </c>
      <c r="L569" t="s">
        <v>3610</v>
      </c>
      <c r="M569" t="s">
        <v>3609</v>
      </c>
      <c r="O569" t="s">
        <v>4220</v>
      </c>
      <c r="P569" t="s">
        <v>4244</v>
      </c>
      <c r="R569" t="s">
        <v>4258</v>
      </c>
      <c r="S569" t="s">
        <v>3610</v>
      </c>
      <c r="U569" t="s">
        <v>4268</v>
      </c>
      <c r="W569" t="s">
        <v>191</v>
      </c>
      <c r="X569">
        <v>778</v>
      </c>
      <c r="Y569" t="s">
        <v>4351</v>
      </c>
      <c r="Z569" t="s">
        <v>4359</v>
      </c>
      <c r="AD569" t="s">
        <v>6233</v>
      </c>
      <c r="AE569">
        <v>24</v>
      </c>
      <c r="AF569" t="s">
        <v>7101</v>
      </c>
      <c r="AH569">
        <v>43</v>
      </c>
      <c r="AI569">
        <v>1</v>
      </c>
      <c r="AJ569">
        <v>0</v>
      </c>
      <c r="AK569">
        <v>81.59</v>
      </c>
      <c r="AL569" t="s">
        <v>496</v>
      </c>
      <c r="AN569" t="s">
        <v>7139</v>
      </c>
      <c r="AO569">
        <v>9840</v>
      </c>
      <c r="AU569">
        <v>0</v>
      </c>
      <c r="AW569" t="s">
        <v>63</v>
      </c>
    </row>
    <row r="570" spans="1:50">
      <c r="A570" s="1">
        <f>HYPERLINK("https://lsnyc.legalserver.org/matter/dynamic-profile/view/1834650","17-1834650")</f>
        <v>0</v>
      </c>
      <c r="B570" t="s">
        <v>63</v>
      </c>
      <c r="C570" t="s">
        <v>104</v>
      </c>
      <c r="D570" t="s">
        <v>308</v>
      </c>
      <c r="E570" t="s">
        <v>108</v>
      </c>
      <c r="F570" t="s">
        <v>979</v>
      </c>
      <c r="G570" t="s">
        <v>1911</v>
      </c>
      <c r="H570" t="s">
        <v>2487</v>
      </c>
      <c r="I570" t="s">
        <v>3365</v>
      </c>
      <c r="J570" t="s">
        <v>3604</v>
      </c>
      <c r="K570">
        <v>10033</v>
      </c>
      <c r="L570" t="s">
        <v>3610</v>
      </c>
      <c r="M570" t="s">
        <v>3610</v>
      </c>
      <c r="N570" t="s">
        <v>3731</v>
      </c>
      <c r="O570" t="s">
        <v>4213</v>
      </c>
      <c r="P570" t="s">
        <v>4241</v>
      </c>
      <c r="Q570" t="s">
        <v>4248</v>
      </c>
      <c r="R570" t="s">
        <v>4258</v>
      </c>
      <c r="S570" t="s">
        <v>3610</v>
      </c>
      <c r="U570" t="s">
        <v>4268</v>
      </c>
      <c r="W570" t="s">
        <v>431</v>
      </c>
      <c r="X570">
        <v>0</v>
      </c>
      <c r="Y570" t="s">
        <v>4351</v>
      </c>
      <c r="Z570" t="s">
        <v>4352</v>
      </c>
      <c r="AA570" t="s">
        <v>4379</v>
      </c>
      <c r="AB570" t="s">
        <v>4850</v>
      </c>
      <c r="AD570" t="s">
        <v>6234</v>
      </c>
      <c r="AE570">
        <v>24</v>
      </c>
      <c r="AF570" t="s">
        <v>7101</v>
      </c>
      <c r="AG570" t="s">
        <v>7116</v>
      </c>
      <c r="AH570">
        <v>20</v>
      </c>
      <c r="AI570">
        <v>1</v>
      </c>
      <c r="AJ570">
        <v>0</v>
      </c>
      <c r="AK570">
        <v>81.59</v>
      </c>
      <c r="AL570" t="s">
        <v>496</v>
      </c>
      <c r="AN570" t="s">
        <v>7139</v>
      </c>
      <c r="AO570">
        <v>9840</v>
      </c>
      <c r="AU570">
        <v>0.1</v>
      </c>
      <c r="AV570" t="s">
        <v>108</v>
      </c>
      <c r="AW570" t="s">
        <v>7341</v>
      </c>
    </row>
    <row r="571" spans="1:50">
      <c r="A571" s="1">
        <f>HYPERLINK("https://lsnyc.legalserver.org/matter/dynamic-profile/view/1834986","17-1834986")</f>
        <v>0</v>
      </c>
      <c r="B571" t="s">
        <v>63</v>
      </c>
      <c r="C571" t="s">
        <v>104</v>
      </c>
      <c r="D571" t="s">
        <v>431</v>
      </c>
      <c r="E571" t="s">
        <v>108</v>
      </c>
      <c r="F571" t="s">
        <v>733</v>
      </c>
      <c r="G571" t="s">
        <v>1574</v>
      </c>
      <c r="H571" t="s">
        <v>2487</v>
      </c>
      <c r="I571" t="s">
        <v>3293</v>
      </c>
      <c r="J571" t="s">
        <v>3604</v>
      </c>
      <c r="K571">
        <v>10033</v>
      </c>
      <c r="L571" t="s">
        <v>3610</v>
      </c>
      <c r="M571" t="s">
        <v>3609</v>
      </c>
      <c r="N571" t="s">
        <v>3827</v>
      </c>
      <c r="O571" t="s">
        <v>4213</v>
      </c>
      <c r="P571" t="s">
        <v>4241</v>
      </c>
      <c r="Q571" t="s">
        <v>4248</v>
      </c>
      <c r="R571" t="s">
        <v>4258</v>
      </c>
      <c r="S571" t="s">
        <v>3610</v>
      </c>
      <c r="U571" t="s">
        <v>4268</v>
      </c>
      <c r="W571" t="s">
        <v>191</v>
      </c>
      <c r="X571">
        <v>778</v>
      </c>
      <c r="Y571" t="s">
        <v>4351</v>
      </c>
      <c r="Z571" t="s">
        <v>4359</v>
      </c>
      <c r="AA571" t="s">
        <v>4379</v>
      </c>
      <c r="AB571" t="s">
        <v>4849</v>
      </c>
      <c r="AD571" t="s">
        <v>6233</v>
      </c>
      <c r="AE571">
        <v>24</v>
      </c>
      <c r="AF571" t="s">
        <v>7101</v>
      </c>
      <c r="AG571" t="s">
        <v>3745</v>
      </c>
      <c r="AH571">
        <v>43</v>
      </c>
      <c r="AI571">
        <v>1</v>
      </c>
      <c r="AJ571">
        <v>0</v>
      </c>
      <c r="AK571">
        <v>81.59</v>
      </c>
      <c r="AL571" t="s">
        <v>496</v>
      </c>
      <c r="AN571" t="s">
        <v>7139</v>
      </c>
      <c r="AO571">
        <v>9840</v>
      </c>
      <c r="AU571">
        <v>0.1</v>
      </c>
      <c r="AV571" t="s">
        <v>108</v>
      </c>
      <c r="AW571" t="s">
        <v>63</v>
      </c>
    </row>
    <row r="572" spans="1:50">
      <c r="A572" s="1">
        <f>HYPERLINK("https://lsnyc.legalserver.org/matter/dynamic-profile/view/1834655","17-1834655")</f>
        <v>0</v>
      </c>
      <c r="B572" t="s">
        <v>63</v>
      </c>
      <c r="C572" t="s">
        <v>105</v>
      </c>
      <c r="D572" t="s">
        <v>308</v>
      </c>
      <c r="F572" t="s">
        <v>979</v>
      </c>
      <c r="G572" t="s">
        <v>1911</v>
      </c>
      <c r="H572" t="s">
        <v>2487</v>
      </c>
      <c r="I572" t="s">
        <v>3365</v>
      </c>
      <c r="J572" t="s">
        <v>3604</v>
      </c>
      <c r="K572">
        <v>10033</v>
      </c>
      <c r="L572" t="s">
        <v>3610</v>
      </c>
      <c r="M572" t="s">
        <v>3609</v>
      </c>
      <c r="N572" t="s">
        <v>3732</v>
      </c>
      <c r="O572" t="s">
        <v>4211</v>
      </c>
      <c r="P572" t="s">
        <v>4244</v>
      </c>
      <c r="R572" t="s">
        <v>4258</v>
      </c>
      <c r="S572" t="s">
        <v>3610</v>
      </c>
      <c r="U572" t="s">
        <v>4268</v>
      </c>
      <c r="W572" t="s">
        <v>431</v>
      </c>
      <c r="X572">
        <v>0</v>
      </c>
      <c r="Y572" t="s">
        <v>4351</v>
      </c>
      <c r="Z572" t="s">
        <v>4352</v>
      </c>
      <c r="AB572" t="s">
        <v>4850</v>
      </c>
      <c r="AD572" t="s">
        <v>6234</v>
      </c>
      <c r="AE572">
        <v>24</v>
      </c>
      <c r="AF572" t="s">
        <v>7101</v>
      </c>
      <c r="AG572" t="s">
        <v>7116</v>
      </c>
      <c r="AH572">
        <v>20</v>
      </c>
      <c r="AI572">
        <v>1</v>
      </c>
      <c r="AJ572">
        <v>0</v>
      </c>
      <c r="AK572">
        <v>81.59</v>
      </c>
      <c r="AL572" t="s">
        <v>496</v>
      </c>
      <c r="AN572" t="s">
        <v>7139</v>
      </c>
      <c r="AO572">
        <v>9840</v>
      </c>
      <c r="AU572">
        <v>0</v>
      </c>
      <c r="AW572" t="s">
        <v>7341</v>
      </c>
    </row>
    <row r="573" spans="1:50">
      <c r="A573" s="1">
        <f>HYPERLINK("https://lsnyc.legalserver.org/matter/dynamic-profile/view/1867624","18-1867624")</f>
        <v>0</v>
      </c>
      <c r="B573" t="s">
        <v>70</v>
      </c>
      <c r="C573" t="s">
        <v>105</v>
      </c>
      <c r="D573" t="s">
        <v>432</v>
      </c>
      <c r="F573" t="s">
        <v>1014</v>
      </c>
      <c r="G573" t="s">
        <v>1927</v>
      </c>
      <c r="H573" t="s">
        <v>2804</v>
      </c>
      <c r="I573">
        <v>18</v>
      </c>
      <c r="J573" t="s">
        <v>3604</v>
      </c>
      <c r="K573">
        <v>10035</v>
      </c>
      <c r="L573" t="s">
        <v>3610</v>
      </c>
      <c r="M573" t="s">
        <v>3610</v>
      </c>
      <c r="N573" t="s">
        <v>3828</v>
      </c>
      <c r="O573" t="s">
        <v>4209</v>
      </c>
      <c r="P573" t="s">
        <v>4241</v>
      </c>
      <c r="R573" t="s">
        <v>4258</v>
      </c>
      <c r="S573" t="s">
        <v>3611</v>
      </c>
      <c r="U573" t="s">
        <v>4268</v>
      </c>
      <c r="W573" t="s">
        <v>432</v>
      </c>
      <c r="X573">
        <v>1687.14</v>
      </c>
      <c r="Y573" t="s">
        <v>4351</v>
      </c>
      <c r="Z573" t="s">
        <v>4354</v>
      </c>
      <c r="AB573" t="s">
        <v>4861</v>
      </c>
      <c r="AD573" t="s">
        <v>6245</v>
      </c>
      <c r="AE573">
        <v>35</v>
      </c>
      <c r="AF573" t="s">
        <v>7106</v>
      </c>
      <c r="AG573" t="s">
        <v>7116</v>
      </c>
      <c r="AH573">
        <v>18</v>
      </c>
      <c r="AI573">
        <v>1</v>
      </c>
      <c r="AJ573">
        <v>0</v>
      </c>
      <c r="AK573">
        <v>81.65000000000001</v>
      </c>
      <c r="AN573" t="s">
        <v>7139</v>
      </c>
      <c r="AO573">
        <v>9912</v>
      </c>
      <c r="AU573">
        <v>49.5</v>
      </c>
      <c r="AV573" t="s">
        <v>667</v>
      </c>
      <c r="AW573" t="s">
        <v>7341</v>
      </c>
    </row>
    <row r="574" spans="1:50">
      <c r="A574" s="1">
        <f>HYPERLINK("https://lsnyc.legalserver.org/matter/dynamic-profile/view/1834730","17-1834730")</f>
        <v>0</v>
      </c>
      <c r="B574" t="s">
        <v>61</v>
      </c>
      <c r="C574" t="s">
        <v>104</v>
      </c>
      <c r="D574" t="s">
        <v>433</v>
      </c>
      <c r="E574" t="s">
        <v>662</v>
      </c>
      <c r="F574" t="s">
        <v>1044</v>
      </c>
      <c r="G574" t="s">
        <v>1928</v>
      </c>
      <c r="H574" t="s">
        <v>2631</v>
      </c>
      <c r="I574">
        <v>42</v>
      </c>
      <c r="J574" t="s">
        <v>3604</v>
      </c>
      <c r="K574">
        <v>10034</v>
      </c>
      <c r="L574" t="s">
        <v>3610</v>
      </c>
      <c r="M574" t="s">
        <v>3609</v>
      </c>
      <c r="N574" t="s">
        <v>3829</v>
      </c>
      <c r="O574" t="s">
        <v>4210</v>
      </c>
      <c r="P574" t="s">
        <v>4241</v>
      </c>
      <c r="Q574" t="s">
        <v>4248</v>
      </c>
      <c r="R574" t="s">
        <v>4258</v>
      </c>
      <c r="S574" t="s">
        <v>3611</v>
      </c>
      <c r="U574" t="s">
        <v>4268</v>
      </c>
      <c r="W574" t="s">
        <v>133</v>
      </c>
      <c r="X574">
        <v>870</v>
      </c>
      <c r="Y574" t="s">
        <v>4351</v>
      </c>
      <c r="Z574" t="s">
        <v>4361</v>
      </c>
      <c r="AA574" t="s">
        <v>4375</v>
      </c>
      <c r="AB574" t="s">
        <v>4862</v>
      </c>
      <c r="AD574" t="s">
        <v>6246</v>
      </c>
      <c r="AE574">
        <v>25</v>
      </c>
      <c r="AF574" t="s">
        <v>7101</v>
      </c>
      <c r="AG574" t="s">
        <v>3745</v>
      </c>
      <c r="AH574">
        <v>11</v>
      </c>
      <c r="AI574">
        <v>3</v>
      </c>
      <c r="AJ574">
        <v>0</v>
      </c>
      <c r="AK574">
        <v>81.68000000000001</v>
      </c>
      <c r="AN574" t="s">
        <v>7139</v>
      </c>
      <c r="AO574">
        <v>16680</v>
      </c>
      <c r="AU574">
        <v>38.7</v>
      </c>
      <c r="AV574" t="s">
        <v>274</v>
      </c>
      <c r="AW574" t="s">
        <v>7357</v>
      </c>
    </row>
    <row r="575" spans="1:50">
      <c r="A575" s="1">
        <f>HYPERLINK("https://lsnyc.legalserver.org/matter/dynamic-profile/view/1893170","19-1893170")</f>
        <v>0</v>
      </c>
      <c r="B575" t="s">
        <v>56</v>
      </c>
      <c r="C575" t="s">
        <v>105</v>
      </c>
      <c r="D575" t="s">
        <v>277</v>
      </c>
      <c r="F575" t="s">
        <v>767</v>
      </c>
      <c r="G575" t="s">
        <v>1929</v>
      </c>
      <c r="H575" t="s">
        <v>2616</v>
      </c>
      <c r="I575" t="s">
        <v>3343</v>
      </c>
      <c r="J575" t="s">
        <v>3604</v>
      </c>
      <c r="K575">
        <v>10033</v>
      </c>
      <c r="L575" t="s">
        <v>3610</v>
      </c>
      <c r="M575" t="s">
        <v>3610</v>
      </c>
      <c r="O575" t="s">
        <v>4209</v>
      </c>
      <c r="P575" t="s">
        <v>4241</v>
      </c>
      <c r="R575" t="s">
        <v>4258</v>
      </c>
      <c r="S575" t="s">
        <v>3611</v>
      </c>
      <c r="U575" t="s">
        <v>4268</v>
      </c>
      <c r="W575" t="s">
        <v>277</v>
      </c>
      <c r="X575">
        <v>798</v>
      </c>
      <c r="Y575" t="s">
        <v>4351</v>
      </c>
      <c r="Z575" t="s">
        <v>4354</v>
      </c>
      <c r="AB575" t="s">
        <v>4863</v>
      </c>
      <c r="AD575" t="s">
        <v>6247</v>
      </c>
      <c r="AE575">
        <v>39</v>
      </c>
      <c r="AF575" t="s">
        <v>7101</v>
      </c>
      <c r="AG575" t="s">
        <v>3745</v>
      </c>
      <c r="AH575">
        <v>43</v>
      </c>
      <c r="AI575">
        <v>1</v>
      </c>
      <c r="AJ575">
        <v>0</v>
      </c>
      <c r="AK575">
        <v>81.76000000000001</v>
      </c>
      <c r="AN575" t="s">
        <v>7138</v>
      </c>
      <c r="AO575">
        <v>10212</v>
      </c>
      <c r="AU575">
        <v>43.8</v>
      </c>
      <c r="AV575" t="s">
        <v>612</v>
      </c>
      <c r="AW575" t="s">
        <v>7342</v>
      </c>
      <c r="AX575" t="s">
        <v>7377</v>
      </c>
    </row>
    <row r="576" spans="1:50">
      <c r="A576" s="1">
        <f>HYPERLINK("https://lsnyc.legalserver.org/matter/dynamic-profile/view/1902778","19-1902778")</f>
        <v>0</v>
      </c>
      <c r="B576" t="s">
        <v>56</v>
      </c>
      <c r="C576" t="s">
        <v>105</v>
      </c>
      <c r="D576" t="s">
        <v>131</v>
      </c>
      <c r="F576" t="s">
        <v>767</v>
      </c>
      <c r="G576" t="s">
        <v>1929</v>
      </c>
      <c r="H576" t="s">
        <v>2616</v>
      </c>
      <c r="I576" t="s">
        <v>3343</v>
      </c>
      <c r="J576" t="s">
        <v>3604</v>
      </c>
      <c r="K576">
        <v>10033</v>
      </c>
      <c r="L576" t="s">
        <v>3610</v>
      </c>
      <c r="M576" t="s">
        <v>3609</v>
      </c>
      <c r="O576" t="s">
        <v>4215</v>
      </c>
      <c r="P576" t="s">
        <v>4245</v>
      </c>
      <c r="R576" t="s">
        <v>4258</v>
      </c>
      <c r="S576" t="s">
        <v>3611</v>
      </c>
      <c r="U576" t="s">
        <v>4272</v>
      </c>
      <c r="W576" t="s">
        <v>131</v>
      </c>
      <c r="X576">
        <v>798</v>
      </c>
      <c r="Y576" t="s">
        <v>4351</v>
      </c>
      <c r="Z576" t="s">
        <v>4357</v>
      </c>
      <c r="AB576" t="s">
        <v>4863</v>
      </c>
      <c r="AD576" t="s">
        <v>6247</v>
      </c>
      <c r="AE576">
        <v>39</v>
      </c>
      <c r="AF576" t="s">
        <v>7101</v>
      </c>
      <c r="AG576" t="s">
        <v>7122</v>
      </c>
      <c r="AH576">
        <v>43</v>
      </c>
      <c r="AI576">
        <v>1</v>
      </c>
      <c r="AJ576">
        <v>0</v>
      </c>
      <c r="AK576">
        <v>81.76000000000001</v>
      </c>
      <c r="AN576" t="s">
        <v>7138</v>
      </c>
      <c r="AO576">
        <v>10212</v>
      </c>
      <c r="AU576">
        <v>0</v>
      </c>
      <c r="AW576" t="s">
        <v>7342</v>
      </c>
      <c r="AX576" t="s">
        <v>7377</v>
      </c>
    </row>
    <row r="577" spans="1:50">
      <c r="A577" s="1">
        <f>HYPERLINK("https://lsnyc.legalserver.org/matter/dynamic-profile/view/1844283","17-1844283")</f>
        <v>0</v>
      </c>
      <c r="B577" t="s">
        <v>62</v>
      </c>
      <c r="C577" t="s">
        <v>105</v>
      </c>
      <c r="D577" t="s">
        <v>430</v>
      </c>
      <c r="F577" t="s">
        <v>1022</v>
      </c>
      <c r="G577" t="s">
        <v>1930</v>
      </c>
      <c r="H577" t="s">
        <v>2712</v>
      </c>
      <c r="I577" t="s">
        <v>3341</v>
      </c>
      <c r="J577" t="s">
        <v>3604</v>
      </c>
      <c r="K577">
        <v>10040</v>
      </c>
      <c r="L577" t="s">
        <v>3610</v>
      </c>
      <c r="M577" t="s">
        <v>3609</v>
      </c>
      <c r="O577" t="s">
        <v>4213</v>
      </c>
      <c r="P577" t="s">
        <v>4244</v>
      </c>
      <c r="R577" t="s">
        <v>4258</v>
      </c>
      <c r="S577" t="s">
        <v>3610</v>
      </c>
      <c r="U577" t="s">
        <v>4268</v>
      </c>
      <c r="W577" t="s">
        <v>430</v>
      </c>
      <c r="X577">
        <v>715.12</v>
      </c>
      <c r="Y577" t="s">
        <v>4351</v>
      </c>
      <c r="Z577" t="s">
        <v>4354</v>
      </c>
      <c r="AB577" t="s">
        <v>4864</v>
      </c>
      <c r="AD577" t="s">
        <v>6248</v>
      </c>
      <c r="AE577">
        <v>42</v>
      </c>
      <c r="AF577" t="s">
        <v>7101</v>
      </c>
      <c r="AG577" t="s">
        <v>7116</v>
      </c>
      <c r="AH577">
        <v>37</v>
      </c>
      <c r="AI577">
        <v>1</v>
      </c>
      <c r="AJ577">
        <v>0</v>
      </c>
      <c r="AK577">
        <v>81.79000000000001</v>
      </c>
      <c r="AL577" t="s">
        <v>183</v>
      </c>
      <c r="AN577" t="s">
        <v>7139</v>
      </c>
      <c r="AO577">
        <v>9864</v>
      </c>
      <c r="AU577">
        <v>13.9</v>
      </c>
      <c r="AV577" t="s">
        <v>486</v>
      </c>
      <c r="AW577" t="s">
        <v>7342</v>
      </c>
    </row>
    <row r="578" spans="1:50">
      <c r="A578" s="1">
        <f>HYPERLINK("https://lsnyc.legalserver.org/matter/dynamic-profile/view/1839731","17-1839731")</f>
        <v>0</v>
      </c>
      <c r="B578" t="s">
        <v>62</v>
      </c>
      <c r="C578" t="s">
        <v>105</v>
      </c>
      <c r="D578" t="s">
        <v>434</v>
      </c>
      <c r="F578" t="s">
        <v>1022</v>
      </c>
      <c r="G578" t="s">
        <v>1930</v>
      </c>
      <c r="H578" t="s">
        <v>2712</v>
      </c>
      <c r="J578" t="s">
        <v>3604</v>
      </c>
      <c r="K578">
        <v>10040</v>
      </c>
      <c r="L578" t="s">
        <v>3610</v>
      </c>
      <c r="M578" t="s">
        <v>3609</v>
      </c>
      <c r="O578" t="s">
        <v>4211</v>
      </c>
      <c r="P578" t="s">
        <v>4241</v>
      </c>
      <c r="R578" t="s">
        <v>4258</v>
      </c>
      <c r="S578" t="s">
        <v>3611</v>
      </c>
      <c r="U578" t="s">
        <v>4268</v>
      </c>
      <c r="W578" t="s">
        <v>379</v>
      </c>
      <c r="X578">
        <v>181</v>
      </c>
      <c r="Y578" t="s">
        <v>4351</v>
      </c>
      <c r="Z578" t="s">
        <v>4359</v>
      </c>
      <c r="AB578" t="s">
        <v>4864</v>
      </c>
      <c r="AD578" t="s">
        <v>6248</v>
      </c>
      <c r="AE578">
        <v>0</v>
      </c>
      <c r="AG578" t="s">
        <v>7116</v>
      </c>
      <c r="AH578">
        <v>37</v>
      </c>
      <c r="AI578">
        <v>1</v>
      </c>
      <c r="AJ578">
        <v>0</v>
      </c>
      <c r="AK578">
        <v>81.79000000000001</v>
      </c>
      <c r="AN578" t="s">
        <v>7139</v>
      </c>
      <c r="AO578">
        <v>9864</v>
      </c>
      <c r="AU578">
        <v>5.45</v>
      </c>
      <c r="AV578" t="s">
        <v>426</v>
      </c>
      <c r="AW578" t="s">
        <v>7342</v>
      </c>
    </row>
    <row r="579" spans="1:50">
      <c r="A579" s="1">
        <f>HYPERLINK("https://lsnyc.legalserver.org/matter/dynamic-profile/view/1864503","18-1864503")</f>
        <v>0</v>
      </c>
      <c r="B579" t="s">
        <v>67</v>
      </c>
      <c r="C579" t="s">
        <v>105</v>
      </c>
      <c r="D579" t="s">
        <v>157</v>
      </c>
      <c r="F579" t="s">
        <v>1045</v>
      </c>
      <c r="G579" t="s">
        <v>1931</v>
      </c>
      <c r="H579" t="s">
        <v>2508</v>
      </c>
      <c r="I579">
        <v>511</v>
      </c>
      <c r="J579" t="s">
        <v>3604</v>
      </c>
      <c r="K579">
        <v>10029</v>
      </c>
      <c r="L579" t="s">
        <v>3610</v>
      </c>
      <c r="M579" t="s">
        <v>3610</v>
      </c>
      <c r="N579" t="s">
        <v>3642</v>
      </c>
      <c r="O579" t="s">
        <v>4213</v>
      </c>
      <c r="P579" t="s">
        <v>4241</v>
      </c>
      <c r="R579" t="s">
        <v>4258</v>
      </c>
      <c r="S579" t="s">
        <v>3610</v>
      </c>
      <c r="U579" t="s">
        <v>4268</v>
      </c>
      <c r="V579" t="s">
        <v>4274</v>
      </c>
      <c r="W579" t="s">
        <v>157</v>
      </c>
      <c r="X579">
        <v>0</v>
      </c>
      <c r="Y579" t="s">
        <v>4351</v>
      </c>
      <c r="Z579" t="s">
        <v>4352</v>
      </c>
      <c r="AB579" t="s">
        <v>4865</v>
      </c>
      <c r="AD579" t="s">
        <v>6249</v>
      </c>
      <c r="AE579">
        <v>108</v>
      </c>
      <c r="AF579" t="s">
        <v>7106</v>
      </c>
      <c r="AG579" t="s">
        <v>7116</v>
      </c>
      <c r="AH579">
        <v>33</v>
      </c>
      <c r="AI579">
        <v>2</v>
      </c>
      <c r="AJ579">
        <v>1</v>
      </c>
      <c r="AK579">
        <v>81.81</v>
      </c>
      <c r="AN579" t="s">
        <v>7138</v>
      </c>
      <c r="AO579">
        <v>17000</v>
      </c>
      <c r="AU579">
        <v>1.05</v>
      </c>
      <c r="AV579" t="s">
        <v>502</v>
      </c>
      <c r="AW579" t="s">
        <v>7341</v>
      </c>
    </row>
    <row r="580" spans="1:50">
      <c r="A580" s="1">
        <f>HYPERLINK("https://lsnyc.legalserver.org/matter/dynamic-profile/view/1874345","18-1874345")</f>
        <v>0</v>
      </c>
      <c r="B580" t="s">
        <v>80</v>
      </c>
      <c r="C580" t="s">
        <v>104</v>
      </c>
      <c r="D580" t="s">
        <v>435</v>
      </c>
      <c r="E580" t="s">
        <v>675</v>
      </c>
      <c r="F580" t="s">
        <v>1045</v>
      </c>
      <c r="G580" t="s">
        <v>1931</v>
      </c>
      <c r="H580" t="s">
        <v>2508</v>
      </c>
      <c r="I580">
        <v>511</v>
      </c>
      <c r="J580" t="s">
        <v>3604</v>
      </c>
      <c r="K580">
        <v>10029</v>
      </c>
      <c r="L580" t="s">
        <v>3610</v>
      </c>
      <c r="M580" t="s">
        <v>3610</v>
      </c>
      <c r="N580" t="s">
        <v>3830</v>
      </c>
      <c r="O580" t="s">
        <v>4209</v>
      </c>
      <c r="P580" t="s">
        <v>4245</v>
      </c>
      <c r="Q580" t="s">
        <v>4249</v>
      </c>
      <c r="R580" t="s">
        <v>4258</v>
      </c>
      <c r="S580" t="s">
        <v>3611</v>
      </c>
      <c r="U580" t="s">
        <v>4268</v>
      </c>
      <c r="W580" t="s">
        <v>435</v>
      </c>
      <c r="X580">
        <v>0</v>
      </c>
      <c r="Y580" t="s">
        <v>4351</v>
      </c>
      <c r="Z580" t="s">
        <v>4354</v>
      </c>
      <c r="AA580" t="s">
        <v>4373</v>
      </c>
      <c r="AB580" t="s">
        <v>4865</v>
      </c>
      <c r="AD580" t="s">
        <v>6249</v>
      </c>
      <c r="AE580">
        <v>108</v>
      </c>
      <c r="AF580" t="s">
        <v>7106</v>
      </c>
      <c r="AG580" t="s">
        <v>7116</v>
      </c>
      <c r="AH580">
        <v>33</v>
      </c>
      <c r="AI580">
        <v>2</v>
      </c>
      <c r="AJ580">
        <v>1</v>
      </c>
      <c r="AK580">
        <v>81.81</v>
      </c>
      <c r="AN580" t="s">
        <v>7138</v>
      </c>
      <c r="AO580">
        <v>17000</v>
      </c>
      <c r="AU580">
        <v>3.2</v>
      </c>
      <c r="AV580" t="s">
        <v>306</v>
      </c>
      <c r="AW580" t="s">
        <v>7341</v>
      </c>
    </row>
    <row r="581" spans="1:50">
      <c r="A581" s="1">
        <f>HYPERLINK("https://lsnyc.legalserver.org/matter/dynamic-profile/view/1857869","18-1857869")</f>
        <v>0</v>
      </c>
      <c r="B581" t="s">
        <v>55</v>
      </c>
      <c r="C581" t="s">
        <v>104</v>
      </c>
      <c r="D581" t="s">
        <v>379</v>
      </c>
      <c r="E581" t="s">
        <v>303</v>
      </c>
      <c r="F581" t="s">
        <v>960</v>
      </c>
      <c r="G581" t="s">
        <v>1840</v>
      </c>
      <c r="H581" t="s">
        <v>2721</v>
      </c>
      <c r="I581">
        <v>20</v>
      </c>
      <c r="J581" t="s">
        <v>3604</v>
      </c>
      <c r="K581">
        <v>10029</v>
      </c>
      <c r="L581" t="s">
        <v>3610</v>
      </c>
      <c r="M581" t="s">
        <v>3610</v>
      </c>
      <c r="O581" t="s">
        <v>4221</v>
      </c>
      <c r="P581" t="s">
        <v>4244</v>
      </c>
      <c r="Q581" t="s">
        <v>4251</v>
      </c>
      <c r="R581" t="s">
        <v>4258</v>
      </c>
      <c r="S581" t="s">
        <v>3611</v>
      </c>
      <c r="U581" t="s">
        <v>4268</v>
      </c>
      <c r="V581" t="s">
        <v>4274</v>
      </c>
      <c r="W581" t="s">
        <v>379</v>
      </c>
      <c r="X581">
        <v>812.49</v>
      </c>
      <c r="Y581" t="s">
        <v>4351</v>
      </c>
      <c r="Z581" t="s">
        <v>4357</v>
      </c>
      <c r="AA581" t="s">
        <v>4377</v>
      </c>
      <c r="AB581" t="s">
        <v>4723</v>
      </c>
      <c r="AD581" t="s">
        <v>6124</v>
      </c>
      <c r="AE581">
        <v>22</v>
      </c>
      <c r="AF581" t="s">
        <v>7101</v>
      </c>
      <c r="AG581" t="s">
        <v>7118</v>
      </c>
      <c r="AH581">
        <v>37</v>
      </c>
      <c r="AI581">
        <v>3</v>
      </c>
      <c r="AJ581">
        <v>2</v>
      </c>
      <c r="AK581">
        <v>81.89</v>
      </c>
      <c r="AN581" t="s">
        <v>7139</v>
      </c>
      <c r="AO581">
        <v>34368</v>
      </c>
      <c r="AP581" t="s">
        <v>7175</v>
      </c>
      <c r="AU581">
        <v>4</v>
      </c>
      <c r="AV581" t="s">
        <v>345</v>
      </c>
      <c r="AW581" t="s">
        <v>7341</v>
      </c>
    </row>
    <row r="582" spans="1:50">
      <c r="A582" s="1">
        <f>HYPERLINK("https://lsnyc.legalserver.org/matter/dynamic-profile/view/1872441","18-1872441")</f>
        <v>0</v>
      </c>
      <c r="B582" t="s">
        <v>64</v>
      </c>
      <c r="C582" t="s">
        <v>104</v>
      </c>
      <c r="D582" t="s">
        <v>137</v>
      </c>
      <c r="E582" t="s">
        <v>441</v>
      </c>
      <c r="F582" t="s">
        <v>995</v>
      </c>
      <c r="G582" t="s">
        <v>1932</v>
      </c>
      <c r="H582" t="s">
        <v>2805</v>
      </c>
      <c r="I582" t="s">
        <v>3341</v>
      </c>
      <c r="J582" t="s">
        <v>3604</v>
      </c>
      <c r="K582">
        <v>10034</v>
      </c>
      <c r="L582" t="s">
        <v>3610</v>
      </c>
      <c r="M582" t="s">
        <v>3610</v>
      </c>
      <c r="O582" t="s">
        <v>4209</v>
      </c>
      <c r="P582" t="s">
        <v>4242</v>
      </c>
      <c r="Q582" t="s">
        <v>4250</v>
      </c>
      <c r="R582" t="s">
        <v>4258</v>
      </c>
      <c r="S582" t="s">
        <v>3611</v>
      </c>
      <c r="U582" t="s">
        <v>4268</v>
      </c>
      <c r="W582" t="s">
        <v>137</v>
      </c>
      <c r="X582">
        <v>983.47</v>
      </c>
      <c r="Y582" t="s">
        <v>4351</v>
      </c>
      <c r="Z582" t="s">
        <v>4354</v>
      </c>
      <c r="AA582" t="s">
        <v>4373</v>
      </c>
      <c r="AB582" t="s">
        <v>4866</v>
      </c>
      <c r="AD582" t="s">
        <v>6250</v>
      </c>
      <c r="AE582">
        <v>48</v>
      </c>
      <c r="AF582" t="s">
        <v>7101</v>
      </c>
      <c r="AG582" t="s">
        <v>7118</v>
      </c>
      <c r="AH582">
        <v>26</v>
      </c>
      <c r="AI582">
        <v>1</v>
      </c>
      <c r="AJ582">
        <v>0</v>
      </c>
      <c r="AK582">
        <v>82.04000000000001</v>
      </c>
      <c r="AN582" t="s">
        <v>7138</v>
      </c>
      <c r="AO582">
        <v>9960</v>
      </c>
      <c r="AU582">
        <v>1.65</v>
      </c>
      <c r="AV582" t="s">
        <v>441</v>
      </c>
      <c r="AW582" t="s">
        <v>7342</v>
      </c>
    </row>
    <row r="583" spans="1:50">
      <c r="A583" s="1">
        <f>HYPERLINK("https://lsnyc.legalserver.org/matter/dynamic-profile/view/1899751","19-1899751")</f>
        <v>0</v>
      </c>
      <c r="B583" t="s">
        <v>56</v>
      </c>
      <c r="C583" t="s">
        <v>105</v>
      </c>
      <c r="D583" t="s">
        <v>285</v>
      </c>
      <c r="F583" t="s">
        <v>704</v>
      </c>
      <c r="G583" t="s">
        <v>1933</v>
      </c>
      <c r="H583" t="s">
        <v>2709</v>
      </c>
      <c r="I583" t="s">
        <v>3422</v>
      </c>
      <c r="J583" t="s">
        <v>3604</v>
      </c>
      <c r="K583">
        <v>10034</v>
      </c>
      <c r="L583" t="s">
        <v>3610</v>
      </c>
      <c r="M583" t="s">
        <v>3609</v>
      </c>
      <c r="O583" t="s">
        <v>4209</v>
      </c>
      <c r="P583" t="s">
        <v>4242</v>
      </c>
      <c r="R583" t="s">
        <v>4258</v>
      </c>
      <c r="S583" t="s">
        <v>3610</v>
      </c>
      <c r="U583" t="s">
        <v>4268</v>
      </c>
      <c r="W583" t="s">
        <v>285</v>
      </c>
      <c r="X583">
        <v>856</v>
      </c>
      <c r="Y583" t="s">
        <v>4351</v>
      </c>
      <c r="Z583" t="s">
        <v>4354</v>
      </c>
      <c r="AB583" t="s">
        <v>4867</v>
      </c>
      <c r="AD583" t="s">
        <v>6251</v>
      </c>
      <c r="AE583">
        <v>44</v>
      </c>
      <c r="AF583" t="s">
        <v>7101</v>
      </c>
      <c r="AG583" t="s">
        <v>7116</v>
      </c>
      <c r="AH583">
        <v>44</v>
      </c>
      <c r="AI583">
        <v>1</v>
      </c>
      <c r="AJ583">
        <v>0</v>
      </c>
      <c r="AK583">
        <v>82.23999999999999</v>
      </c>
      <c r="AN583" t="s">
        <v>7138</v>
      </c>
      <c r="AO583">
        <v>10272</v>
      </c>
      <c r="AU583">
        <v>0.01</v>
      </c>
      <c r="AV583" t="s">
        <v>131</v>
      </c>
      <c r="AW583" t="s">
        <v>7342</v>
      </c>
      <c r="AX583" t="s">
        <v>7377</v>
      </c>
    </row>
    <row r="584" spans="1:50">
      <c r="A584" s="1">
        <f>HYPERLINK("https://lsnyc.legalserver.org/matter/dynamic-profile/view/1863012","18-1863012")</f>
        <v>0</v>
      </c>
      <c r="B584" t="s">
        <v>53</v>
      </c>
      <c r="C584" t="s">
        <v>105</v>
      </c>
      <c r="D584" t="s">
        <v>314</v>
      </c>
      <c r="F584" t="s">
        <v>1046</v>
      </c>
      <c r="G584" t="s">
        <v>1694</v>
      </c>
      <c r="H584" t="s">
        <v>2508</v>
      </c>
      <c r="I584">
        <v>204</v>
      </c>
      <c r="J584" t="s">
        <v>3604</v>
      </c>
      <c r="K584">
        <v>10029</v>
      </c>
      <c r="L584" t="s">
        <v>3610</v>
      </c>
      <c r="M584" t="s">
        <v>3610</v>
      </c>
      <c r="N584" t="s">
        <v>3642</v>
      </c>
      <c r="O584" t="s">
        <v>4213</v>
      </c>
      <c r="P584" t="s">
        <v>4241</v>
      </c>
      <c r="R584" t="s">
        <v>4258</v>
      </c>
      <c r="S584" t="s">
        <v>3610</v>
      </c>
      <c r="U584" t="s">
        <v>4268</v>
      </c>
      <c r="V584" t="s">
        <v>4274</v>
      </c>
      <c r="W584" t="s">
        <v>495</v>
      </c>
      <c r="X584">
        <v>2670</v>
      </c>
      <c r="Y584" t="s">
        <v>4351</v>
      </c>
      <c r="Z584" t="s">
        <v>4352</v>
      </c>
      <c r="AB584" t="s">
        <v>4868</v>
      </c>
      <c r="AD584" t="s">
        <v>6252</v>
      </c>
      <c r="AE584">
        <v>108</v>
      </c>
      <c r="AF584" t="s">
        <v>7106</v>
      </c>
      <c r="AG584" t="s">
        <v>7116</v>
      </c>
      <c r="AH584">
        <v>32</v>
      </c>
      <c r="AI584">
        <v>1</v>
      </c>
      <c r="AJ584">
        <v>0</v>
      </c>
      <c r="AK584">
        <v>82.23999999999999</v>
      </c>
      <c r="AN584" t="s">
        <v>7139</v>
      </c>
      <c r="AO584">
        <v>9984</v>
      </c>
      <c r="AU584">
        <v>0.25</v>
      </c>
      <c r="AV584" t="s">
        <v>688</v>
      </c>
      <c r="AW584" t="s">
        <v>7341</v>
      </c>
    </row>
    <row r="585" spans="1:50">
      <c r="A585" s="1">
        <f>HYPERLINK("https://lsnyc.legalserver.org/matter/dynamic-profile/view/0821680","16-0821680")</f>
        <v>0</v>
      </c>
      <c r="B585" t="s">
        <v>53</v>
      </c>
      <c r="C585" t="s">
        <v>105</v>
      </c>
      <c r="D585" t="s">
        <v>436</v>
      </c>
      <c r="F585" t="s">
        <v>1047</v>
      </c>
      <c r="G585" t="s">
        <v>1913</v>
      </c>
      <c r="H585" t="s">
        <v>2806</v>
      </c>
      <c r="I585">
        <v>44</v>
      </c>
      <c r="J585" t="s">
        <v>3604</v>
      </c>
      <c r="K585">
        <v>10033</v>
      </c>
      <c r="L585" t="s">
        <v>3610</v>
      </c>
      <c r="M585" t="s">
        <v>3609</v>
      </c>
      <c r="O585" t="s">
        <v>4220</v>
      </c>
      <c r="P585" t="s">
        <v>4245</v>
      </c>
      <c r="R585" t="s">
        <v>4258</v>
      </c>
      <c r="S585" t="s">
        <v>3611</v>
      </c>
      <c r="U585" t="s">
        <v>4268</v>
      </c>
      <c r="W585" t="s">
        <v>4308</v>
      </c>
      <c r="X585">
        <v>1968.47</v>
      </c>
      <c r="Y585" t="s">
        <v>4351</v>
      </c>
      <c r="Z585" t="s">
        <v>4361</v>
      </c>
      <c r="AB585" t="s">
        <v>4869</v>
      </c>
      <c r="AD585" t="s">
        <v>6253</v>
      </c>
      <c r="AE585">
        <v>24</v>
      </c>
      <c r="AF585" t="s">
        <v>7101</v>
      </c>
      <c r="AG585" t="s">
        <v>3745</v>
      </c>
      <c r="AH585">
        <v>5</v>
      </c>
      <c r="AI585">
        <v>2</v>
      </c>
      <c r="AJ585">
        <v>3</v>
      </c>
      <c r="AK585">
        <v>82.28</v>
      </c>
      <c r="AL585" t="s">
        <v>621</v>
      </c>
      <c r="AN585" t="s">
        <v>7139</v>
      </c>
      <c r="AO585">
        <v>23400</v>
      </c>
      <c r="AU585">
        <v>28.41</v>
      </c>
      <c r="AV585" t="s">
        <v>4302</v>
      </c>
      <c r="AW585" t="s">
        <v>7341</v>
      </c>
    </row>
    <row r="586" spans="1:50">
      <c r="A586" s="1">
        <f>HYPERLINK("https://lsnyc.legalserver.org/matter/dynamic-profile/view/1882024","18-1882024")</f>
        <v>0</v>
      </c>
      <c r="B586" t="s">
        <v>61</v>
      </c>
      <c r="C586" t="s">
        <v>105</v>
      </c>
      <c r="D586" t="s">
        <v>437</v>
      </c>
      <c r="F586" t="s">
        <v>1048</v>
      </c>
      <c r="G586" t="s">
        <v>1934</v>
      </c>
      <c r="H586" t="s">
        <v>2631</v>
      </c>
      <c r="I586">
        <v>35</v>
      </c>
      <c r="J586" t="s">
        <v>3604</v>
      </c>
      <c r="K586">
        <v>10034</v>
      </c>
      <c r="L586" t="s">
        <v>3610</v>
      </c>
      <c r="M586" t="s">
        <v>3610</v>
      </c>
      <c r="N586" t="s">
        <v>3831</v>
      </c>
      <c r="O586" t="s">
        <v>4213</v>
      </c>
      <c r="P586" t="s">
        <v>4241</v>
      </c>
      <c r="R586" t="s">
        <v>4258</v>
      </c>
      <c r="S586" t="s">
        <v>3611</v>
      </c>
      <c r="U586" t="s">
        <v>4268</v>
      </c>
      <c r="W586" t="s">
        <v>306</v>
      </c>
      <c r="X586">
        <v>891.88</v>
      </c>
      <c r="Y586" t="s">
        <v>4351</v>
      </c>
      <c r="Z586" t="s">
        <v>4357</v>
      </c>
      <c r="AB586" t="s">
        <v>4870</v>
      </c>
      <c r="AD586" t="s">
        <v>6254</v>
      </c>
      <c r="AE586">
        <v>25</v>
      </c>
      <c r="AF586" t="s">
        <v>7101</v>
      </c>
      <c r="AG586" t="s">
        <v>7116</v>
      </c>
      <c r="AH586">
        <v>40</v>
      </c>
      <c r="AI586">
        <v>1</v>
      </c>
      <c r="AJ586">
        <v>0</v>
      </c>
      <c r="AK586">
        <v>82.31</v>
      </c>
      <c r="AN586" t="s">
        <v>7147</v>
      </c>
      <c r="AO586">
        <v>9992.4</v>
      </c>
      <c r="AU586">
        <v>33.6</v>
      </c>
      <c r="AV586" t="s">
        <v>148</v>
      </c>
      <c r="AW586" t="s">
        <v>7342</v>
      </c>
    </row>
    <row r="587" spans="1:50">
      <c r="A587" s="1">
        <f>HYPERLINK("https://lsnyc.legalserver.org/matter/dynamic-profile/view/1882020","18-1882020")</f>
        <v>0</v>
      </c>
      <c r="B587" t="s">
        <v>61</v>
      </c>
      <c r="C587" t="s">
        <v>105</v>
      </c>
      <c r="D587" t="s">
        <v>437</v>
      </c>
      <c r="F587" t="s">
        <v>1048</v>
      </c>
      <c r="G587" t="s">
        <v>1934</v>
      </c>
      <c r="H587" t="s">
        <v>2631</v>
      </c>
      <c r="I587">
        <v>35</v>
      </c>
      <c r="J587" t="s">
        <v>3604</v>
      </c>
      <c r="K587">
        <v>10034</v>
      </c>
      <c r="L587" t="s">
        <v>3610</v>
      </c>
      <c r="M587" t="s">
        <v>3610</v>
      </c>
      <c r="O587" t="s">
        <v>4231</v>
      </c>
      <c r="P587" t="s">
        <v>4244</v>
      </c>
      <c r="R587" t="s">
        <v>4258</v>
      </c>
      <c r="S587" t="s">
        <v>3611</v>
      </c>
      <c r="U587" t="s">
        <v>4268</v>
      </c>
      <c r="W587" t="s">
        <v>306</v>
      </c>
      <c r="X587">
        <v>892.88</v>
      </c>
      <c r="Y587" t="s">
        <v>4351</v>
      </c>
      <c r="Z587" t="s">
        <v>4357</v>
      </c>
      <c r="AB587" t="s">
        <v>4870</v>
      </c>
      <c r="AD587" t="s">
        <v>6254</v>
      </c>
      <c r="AE587">
        <v>25</v>
      </c>
      <c r="AF587" t="s">
        <v>7101</v>
      </c>
      <c r="AG587" t="s">
        <v>7116</v>
      </c>
      <c r="AH587">
        <v>40</v>
      </c>
      <c r="AI587">
        <v>1</v>
      </c>
      <c r="AJ587">
        <v>0</v>
      </c>
      <c r="AK587">
        <v>82.31</v>
      </c>
      <c r="AN587" t="s">
        <v>7147</v>
      </c>
      <c r="AO587">
        <v>9992.4</v>
      </c>
      <c r="AU587">
        <v>7.3</v>
      </c>
      <c r="AV587" t="s">
        <v>7286</v>
      </c>
      <c r="AW587" t="s">
        <v>7342</v>
      </c>
      <c r="AX587" t="s">
        <v>7377</v>
      </c>
    </row>
    <row r="588" spans="1:50">
      <c r="A588" s="1">
        <f>HYPERLINK("https://lsnyc.legalserver.org/matter/dynamic-profile/view/1891381","19-1891381")</f>
        <v>0</v>
      </c>
      <c r="B588" t="s">
        <v>61</v>
      </c>
      <c r="C588" t="s">
        <v>105</v>
      </c>
      <c r="D588" t="s">
        <v>438</v>
      </c>
      <c r="F588" t="s">
        <v>1049</v>
      </c>
      <c r="G588" t="s">
        <v>1935</v>
      </c>
      <c r="H588" t="s">
        <v>2807</v>
      </c>
      <c r="I588" t="s">
        <v>3325</v>
      </c>
      <c r="J588" t="s">
        <v>3604</v>
      </c>
      <c r="K588">
        <v>10034</v>
      </c>
      <c r="L588" t="s">
        <v>3610</v>
      </c>
      <c r="M588" t="s">
        <v>3610</v>
      </c>
      <c r="O588" t="s">
        <v>4217</v>
      </c>
      <c r="P588" t="s">
        <v>4245</v>
      </c>
      <c r="R588" t="s">
        <v>4258</v>
      </c>
      <c r="S588" t="s">
        <v>3611</v>
      </c>
      <c r="U588" t="s">
        <v>4268</v>
      </c>
      <c r="W588" t="s">
        <v>438</v>
      </c>
      <c r="X588">
        <v>2300</v>
      </c>
      <c r="Y588" t="s">
        <v>4351</v>
      </c>
      <c r="Z588" t="s">
        <v>4357</v>
      </c>
      <c r="AB588" t="s">
        <v>4871</v>
      </c>
      <c r="AD588" t="s">
        <v>6255</v>
      </c>
      <c r="AE588">
        <v>22</v>
      </c>
      <c r="AF588" t="s">
        <v>7101</v>
      </c>
      <c r="AG588" t="s">
        <v>7118</v>
      </c>
      <c r="AH588">
        <v>11</v>
      </c>
      <c r="AI588">
        <v>1</v>
      </c>
      <c r="AJ588">
        <v>1</v>
      </c>
      <c r="AK588">
        <v>82.31999999999999</v>
      </c>
      <c r="AN588" t="s">
        <v>7138</v>
      </c>
      <c r="AO588">
        <v>13920</v>
      </c>
      <c r="AU588">
        <v>10</v>
      </c>
      <c r="AV588" t="s">
        <v>680</v>
      </c>
      <c r="AW588" t="s">
        <v>7342</v>
      </c>
    </row>
    <row r="589" spans="1:50">
      <c r="A589" s="1">
        <f>HYPERLINK("https://lsnyc.legalserver.org/matter/dynamic-profile/view/1889081","19-1889081")</f>
        <v>0</v>
      </c>
      <c r="B589" t="s">
        <v>52</v>
      </c>
      <c r="C589" t="s">
        <v>104</v>
      </c>
      <c r="D589" t="s">
        <v>145</v>
      </c>
      <c r="E589" t="s">
        <v>540</v>
      </c>
      <c r="F589" t="s">
        <v>936</v>
      </c>
      <c r="G589" t="s">
        <v>1817</v>
      </c>
      <c r="H589" t="s">
        <v>2699</v>
      </c>
      <c r="I589" t="s">
        <v>3306</v>
      </c>
      <c r="J589" t="s">
        <v>3604</v>
      </c>
      <c r="K589">
        <v>10034</v>
      </c>
      <c r="L589" t="s">
        <v>3610</v>
      </c>
      <c r="M589" t="s">
        <v>3610</v>
      </c>
      <c r="O589" t="s">
        <v>4211</v>
      </c>
      <c r="P589" t="s">
        <v>4242</v>
      </c>
      <c r="Q589" t="s">
        <v>4250</v>
      </c>
      <c r="R589" t="s">
        <v>4258</v>
      </c>
      <c r="U589" t="s">
        <v>4268</v>
      </c>
      <c r="V589" t="s">
        <v>4274</v>
      </c>
      <c r="W589" t="s">
        <v>145</v>
      </c>
      <c r="X589">
        <v>871.59</v>
      </c>
      <c r="Y589" t="s">
        <v>4351</v>
      </c>
      <c r="Z589" t="s">
        <v>4357</v>
      </c>
      <c r="AA589" t="s">
        <v>4373</v>
      </c>
      <c r="AB589" t="s">
        <v>4692</v>
      </c>
      <c r="AD589" t="s">
        <v>6097</v>
      </c>
      <c r="AE589">
        <v>0</v>
      </c>
      <c r="AF589" t="s">
        <v>7101</v>
      </c>
      <c r="AG589" t="s">
        <v>3745</v>
      </c>
      <c r="AH589">
        <v>12</v>
      </c>
      <c r="AI589">
        <v>1</v>
      </c>
      <c r="AJ589">
        <v>0</v>
      </c>
      <c r="AK589">
        <v>82.34</v>
      </c>
      <c r="AN589" t="s">
        <v>7139</v>
      </c>
      <c r="AO589">
        <v>10284</v>
      </c>
      <c r="AU589">
        <v>1.5</v>
      </c>
      <c r="AV589" t="s">
        <v>521</v>
      </c>
      <c r="AW589" t="s">
        <v>7342</v>
      </c>
    </row>
    <row r="590" spans="1:50">
      <c r="A590" s="1">
        <f>HYPERLINK("https://lsnyc.legalserver.org/matter/dynamic-profile/view/0809828","16-0809828")</f>
        <v>0</v>
      </c>
      <c r="B590" t="s">
        <v>72</v>
      </c>
      <c r="C590" t="s">
        <v>105</v>
      </c>
      <c r="D590" t="s">
        <v>439</v>
      </c>
      <c r="F590" t="s">
        <v>1050</v>
      </c>
      <c r="G590" t="s">
        <v>1936</v>
      </c>
      <c r="H590" t="s">
        <v>2808</v>
      </c>
      <c r="I590" t="s">
        <v>3294</v>
      </c>
      <c r="J590" t="s">
        <v>3604</v>
      </c>
      <c r="K590">
        <v>10035</v>
      </c>
      <c r="L590" t="s">
        <v>3610</v>
      </c>
      <c r="M590" t="s">
        <v>3609</v>
      </c>
      <c r="N590" t="s">
        <v>3832</v>
      </c>
      <c r="O590" t="s">
        <v>4210</v>
      </c>
      <c r="P590" t="s">
        <v>4241</v>
      </c>
      <c r="R590" t="s">
        <v>4258</v>
      </c>
      <c r="S590" t="s">
        <v>3611</v>
      </c>
      <c r="U590" t="s">
        <v>4268</v>
      </c>
      <c r="W590" t="s">
        <v>439</v>
      </c>
      <c r="X590">
        <v>0</v>
      </c>
      <c r="Y590" t="s">
        <v>4351</v>
      </c>
      <c r="Z590" t="s">
        <v>4357</v>
      </c>
      <c r="AB590" t="s">
        <v>4872</v>
      </c>
      <c r="AD590" t="s">
        <v>6256</v>
      </c>
      <c r="AE590">
        <v>42</v>
      </c>
      <c r="AF590" t="s">
        <v>7106</v>
      </c>
      <c r="AG590" t="s">
        <v>7116</v>
      </c>
      <c r="AH590">
        <v>40</v>
      </c>
      <c r="AI590">
        <v>5</v>
      </c>
      <c r="AJ590">
        <v>1</v>
      </c>
      <c r="AK590">
        <v>82.36</v>
      </c>
      <c r="AN590" t="s">
        <v>7138</v>
      </c>
      <c r="AO590">
        <v>36528</v>
      </c>
      <c r="AU590">
        <v>53.3</v>
      </c>
      <c r="AV590" t="s">
        <v>528</v>
      </c>
      <c r="AW590" t="s">
        <v>51</v>
      </c>
      <c r="AX590" t="s">
        <v>7377</v>
      </c>
    </row>
    <row r="591" spans="1:50">
      <c r="A591" s="1">
        <f>HYPERLINK("https://lsnyc.legalserver.org/matter/dynamic-profile/view/1877861","18-1877861")</f>
        <v>0</v>
      </c>
      <c r="B591" t="s">
        <v>61</v>
      </c>
      <c r="C591" t="s">
        <v>105</v>
      </c>
      <c r="D591" t="s">
        <v>440</v>
      </c>
      <c r="F591" t="s">
        <v>983</v>
      </c>
      <c r="G591" t="s">
        <v>1863</v>
      </c>
      <c r="H591" t="s">
        <v>2742</v>
      </c>
      <c r="I591" t="s">
        <v>3285</v>
      </c>
      <c r="J591" t="s">
        <v>3604</v>
      </c>
      <c r="K591">
        <v>10035</v>
      </c>
      <c r="L591" t="s">
        <v>3610</v>
      </c>
      <c r="M591" t="s">
        <v>3610</v>
      </c>
      <c r="N591" t="s">
        <v>3833</v>
      </c>
      <c r="O591" t="s">
        <v>4213</v>
      </c>
      <c r="P591" t="s">
        <v>4241</v>
      </c>
      <c r="R591" t="s">
        <v>4258</v>
      </c>
      <c r="S591" t="s">
        <v>3611</v>
      </c>
      <c r="U591" t="s">
        <v>4268</v>
      </c>
      <c r="W591" t="s">
        <v>167</v>
      </c>
      <c r="X591">
        <v>1000</v>
      </c>
      <c r="Y591" t="s">
        <v>4351</v>
      </c>
      <c r="Z591" t="s">
        <v>4357</v>
      </c>
      <c r="AB591" t="s">
        <v>4764</v>
      </c>
      <c r="AD591" t="s">
        <v>6160</v>
      </c>
      <c r="AE591">
        <v>7</v>
      </c>
      <c r="AF591" t="s">
        <v>7101</v>
      </c>
      <c r="AG591" t="s">
        <v>3745</v>
      </c>
      <c r="AH591">
        <v>8</v>
      </c>
      <c r="AI591">
        <v>1</v>
      </c>
      <c r="AJ591">
        <v>0</v>
      </c>
      <c r="AK591">
        <v>82.37</v>
      </c>
      <c r="AN591" t="s">
        <v>7138</v>
      </c>
      <c r="AO591">
        <v>10000</v>
      </c>
      <c r="AU591">
        <v>33.4</v>
      </c>
      <c r="AV591" t="s">
        <v>683</v>
      </c>
      <c r="AW591" t="s">
        <v>7341</v>
      </c>
    </row>
    <row r="592" spans="1:50">
      <c r="A592" s="1">
        <f>HYPERLINK("https://lsnyc.legalserver.org/matter/dynamic-profile/view/1872059","18-1872059")</f>
        <v>0</v>
      </c>
      <c r="B592" t="s">
        <v>53</v>
      </c>
      <c r="C592" t="s">
        <v>104</v>
      </c>
      <c r="D592" t="s">
        <v>212</v>
      </c>
      <c r="E592" t="s">
        <v>396</v>
      </c>
      <c r="F592" t="s">
        <v>853</v>
      </c>
      <c r="G592" t="s">
        <v>1729</v>
      </c>
      <c r="H592" t="s">
        <v>2531</v>
      </c>
      <c r="I592" t="s">
        <v>3291</v>
      </c>
      <c r="J592" t="s">
        <v>3604</v>
      </c>
      <c r="K592">
        <v>10035</v>
      </c>
      <c r="L592" t="s">
        <v>3610</v>
      </c>
      <c r="M592" t="s">
        <v>3610</v>
      </c>
      <c r="N592" t="s">
        <v>3834</v>
      </c>
      <c r="O592" t="s">
        <v>4209</v>
      </c>
      <c r="P592" t="s">
        <v>4241</v>
      </c>
      <c r="Q592" t="s">
        <v>4248</v>
      </c>
      <c r="R592" t="s">
        <v>4258</v>
      </c>
      <c r="S592" t="s">
        <v>3611</v>
      </c>
      <c r="U592" t="s">
        <v>4268</v>
      </c>
      <c r="V592" t="s">
        <v>4274</v>
      </c>
      <c r="W592" t="s">
        <v>212</v>
      </c>
      <c r="X592">
        <v>858.95</v>
      </c>
      <c r="Y592" t="s">
        <v>4351</v>
      </c>
      <c r="Z592" t="s">
        <v>4357</v>
      </c>
      <c r="AA592" t="s">
        <v>4374</v>
      </c>
      <c r="AB592" t="s">
        <v>4576</v>
      </c>
      <c r="AD592" t="s">
        <v>6001</v>
      </c>
      <c r="AE592">
        <v>35</v>
      </c>
      <c r="AF592" t="s">
        <v>7101</v>
      </c>
      <c r="AG592" t="s">
        <v>3745</v>
      </c>
      <c r="AH592">
        <v>24</v>
      </c>
      <c r="AI592">
        <v>1</v>
      </c>
      <c r="AJ592">
        <v>0</v>
      </c>
      <c r="AK592">
        <v>82.37</v>
      </c>
      <c r="AN592" t="s">
        <v>7139</v>
      </c>
      <c r="AO592">
        <v>10000</v>
      </c>
      <c r="AQ592" t="s">
        <v>7196</v>
      </c>
      <c r="AR592" t="s">
        <v>7205</v>
      </c>
      <c r="AS592" t="s">
        <v>7231</v>
      </c>
      <c r="AT592" t="s">
        <v>7256</v>
      </c>
      <c r="AU592">
        <v>16.5</v>
      </c>
      <c r="AV592" t="s">
        <v>143</v>
      </c>
      <c r="AW592" t="s">
        <v>7341</v>
      </c>
      <c r="AX592" t="s">
        <v>7377</v>
      </c>
    </row>
    <row r="593" spans="1:50">
      <c r="A593" s="1">
        <f>HYPERLINK("https://lsnyc.legalserver.org/matter/dynamic-profile/view/1882662","18-1882662")</f>
        <v>0</v>
      </c>
      <c r="B593" t="s">
        <v>56</v>
      </c>
      <c r="C593" t="s">
        <v>104</v>
      </c>
      <c r="D593" t="s">
        <v>192</v>
      </c>
      <c r="E593" t="s">
        <v>636</v>
      </c>
      <c r="F593" t="s">
        <v>1051</v>
      </c>
      <c r="G593" t="s">
        <v>1937</v>
      </c>
      <c r="H593" t="s">
        <v>2809</v>
      </c>
      <c r="I593">
        <v>51</v>
      </c>
      <c r="J593" t="s">
        <v>3604</v>
      </c>
      <c r="K593">
        <v>10034</v>
      </c>
      <c r="L593" t="s">
        <v>3610</v>
      </c>
      <c r="M593" t="s">
        <v>3610</v>
      </c>
      <c r="P593" t="s">
        <v>4242</v>
      </c>
      <c r="Q593" t="s">
        <v>4250</v>
      </c>
      <c r="R593" t="s">
        <v>4258</v>
      </c>
      <c r="S593" t="s">
        <v>3611</v>
      </c>
      <c r="U593" t="s">
        <v>4268</v>
      </c>
      <c r="W593" t="s">
        <v>192</v>
      </c>
      <c r="X593">
        <v>946.96</v>
      </c>
      <c r="Y593" t="s">
        <v>4351</v>
      </c>
      <c r="Z593" t="s">
        <v>4354</v>
      </c>
      <c r="AA593" t="s">
        <v>4373</v>
      </c>
      <c r="AB593" t="s">
        <v>4873</v>
      </c>
      <c r="AD593" t="s">
        <v>6257</v>
      </c>
      <c r="AE593">
        <v>0</v>
      </c>
      <c r="AF593" t="s">
        <v>7101</v>
      </c>
      <c r="AH593">
        <v>23</v>
      </c>
      <c r="AI593">
        <v>1</v>
      </c>
      <c r="AJ593">
        <v>0</v>
      </c>
      <c r="AK593">
        <v>82.37</v>
      </c>
      <c r="AN593" t="s">
        <v>7138</v>
      </c>
      <c r="AO593">
        <v>10000</v>
      </c>
      <c r="AU593">
        <v>0.1</v>
      </c>
      <c r="AV593" t="s">
        <v>686</v>
      </c>
      <c r="AW593" t="s">
        <v>7342</v>
      </c>
    </row>
    <row r="594" spans="1:50">
      <c r="A594" s="1">
        <f>HYPERLINK("https://lsnyc.legalserver.org/matter/dynamic-profile/view/1872583","18-1872583")</f>
        <v>0</v>
      </c>
      <c r="B594" t="s">
        <v>90</v>
      </c>
      <c r="C594" t="s">
        <v>105</v>
      </c>
      <c r="D594" t="s">
        <v>441</v>
      </c>
      <c r="F594" t="s">
        <v>1052</v>
      </c>
      <c r="G594" t="s">
        <v>1938</v>
      </c>
      <c r="H594" t="s">
        <v>2810</v>
      </c>
      <c r="I594" t="s">
        <v>3379</v>
      </c>
      <c r="J594" t="s">
        <v>3604</v>
      </c>
      <c r="K594">
        <v>10032</v>
      </c>
      <c r="L594" t="s">
        <v>3610</v>
      </c>
      <c r="M594" t="s">
        <v>3610</v>
      </c>
      <c r="O594" t="s">
        <v>4221</v>
      </c>
      <c r="P594" t="s">
        <v>4244</v>
      </c>
      <c r="R594" t="s">
        <v>4258</v>
      </c>
      <c r="S594" t="s">
        <v>3611</v>
      </c>
      <c r="U594" t="s">
        <v>4268</v>
      </c>
      <c r="W594" t="s">
        <v>441</v>
      </c>
      <c r="X594">
        <v>490.42</v>
      </c>
      <c r="Y594" t="s">
        <v>4351</v>
      </c>
      <c r="Z594" t="s">
        <v>4354</v>
      </c>
      <c r="AB594" t="s">
        <v>4874</v>
      </c>
      <c r="AD594" t="s">
        <v>6258</v>
      </c>
      <c r="AE594">
        <v>0</v>
      </c>
      <c r="AF594" t="s">
        <v>7101</v>
      </c>
      <c r="AG594" t="s">
        <v>3745</v>
      </c>
      <c r="AH594">
        <v>50</v>
      </c>
      <c r="AI594">
        <v>1</v>
      </c>
      <c r="AJ594">
        <v>0</v>
      </c>
      <c r="AK594">
        <v>82.37</v>
      </c>
      <c r="AN594" t="s">
        <v>7138</v>
      </c>
      <c r="AO594">
        <v>10000</v>
      </c>
      <c r="AU594">
        <v>15</v>
      </c>
      <c r="AV594" t="s">
        <v>196</v>
      </c>
      <c r="AW594" t="s">
        <v>7342</v>
      </c>
    </row>
    <row r="595" spans="1:50">
      <c r="A595" s="1">
        <f>HYPERLINK("https://lsnyc.legalserver.org/matter/dynamic-profile/view/1835605","17-1835605")</f>
        <v>0</v>
      </c>
      <c r="B595" t="s">
        <v>61</v>
      </c>
      <c r="C595" t="s">
        <v>105</v>
      </c>
      <c r="D595" t="s">
        <v>121</v>
      </c>
      <c r="F595" t="s">
        <v>704</v>
      </c>
      <c r="G595" t="s">
        <v>1574</v>
      </c>
      <c r="H595" t="s">
        <v>2474</v>
      </c>
      <c r="I595">
        <v>33</v>
      </c>
      <c r="J595" t="s">
        <v>3604</v>
      </c>
      <c r="K595">
        <v>10034</v>
      </c>
      <c r="L595" t="s">
        <v>3610</v>
      </c>
      <c r="M595" t="s">
        <v>3609</v>
      </c>
      <c r="N595" t="s">
        <v>3835</v>
      </c>
      <c r="O595" t="s">
        <v>4209</v>
      </c>
      <c r="P595" t="s">
        <v>4241</v>
      </c>
      <c r="R595" t="s">
        <v>4258</v>
      </c>
      <c r="S595" t="s">
        <v>3611</v>
      </c>
      <c r="U595" t="s">
        <v>4268</v>
      </c>
      <c r="W595" t="s">
        <v>133</v>
      </c>
      <c r="X595">
        <v>1150</v>
      </c>
      <c r="Y595" t="s">
        <v>4351</v>
      </c>
      <c r="Z595" t="s">
        <v>4354</v>
      </c>
      <c r="AB595" t="s">
        <v>4414</v>
      </c>
      <c r="AC595" t="s">
        <v>5822</v>
      </c>
      <c r="AD595" t="s">
        <v>5861</v>
      </c>
      <c r="AE595">
        <v>25</v>
      </c>
      <c r="AF595" t="s">
        <v>7101</v>
      </c>
      <c r="AG595" t="s">
        <v>7117</v>
      </c>
      <c r="AH595">
        <v>3</v>
      </c>
      <c r="AI595">
        <v>1</v>
      </c>
      <c r="AJ595">
        <v>4</v>
      </c>
      <c r="AK595">
        <v>82.38</v>
      </c>
      <c r="AN595" t="s">
        <v>7139</v>
      </c>
      <c r="AO595">
        <v>23710</v>
      </c>
      <c r="AU595">
        <v>53.1</v>
      </c>
      <c r="AV595" t="s">
        <v>657</v>
      </c>
      <c r="AW595" t="s">
        <v>7341</v>
      </c>
    </row>
    <row r="596" spans="1:50">
      <c r="A596" s="1">
        <f>HYPERLINK("https://lsnyc.legalserver.org/matter/dynamic-profile/view/1837354","17-1837354")</f>
        <v>0</v>
      </c>
      <c r="B596" t="s">
        <v>64</v>
      </c>
      <c r="C596" t="s">
        <v>104</v>
      </c>
      <c r="D596" t="s">
        <v>355</v>
      </c>
      <c r="E596" t="s">
        <v>137</v>
      </c>
      <c r="F596" t="s">
        <v>1053</v>
      </c>
      <c r="G596" t="s">
        <v>1624</v>
      </c>
      <c r="H596" t="s">
        <v>2811</v>
      </c>
      <c r="I596" t="s">
        <v>3287</v>
      </c>
      <c r="J596" t="s">
        <v>3604</v>
      </c>
      <c r="K596">
        <v>10034</v>
      </c>
      <c r="L596" t="s">
        <v>3610</v>
      </c>
      <c r="M596" t="s">
        <v>3609</v>
      </c>
      <c r="O596" t="s">
        <v>4211</v>
      </c>
      <c r="P596" t="s">
        <v>4244</v>
      </c>
      <c r="Q596" t="s">
        <v>4254</v>
      </c>
      <c r="R596" t="s">
        <v>4258</v>
      </c>
      <c r="U596" t="s">
        <v>4268</v>
      </c>
      <c r="W596" t="s">
        <v>355</v>
      </c>
      <c r="X596">
        <v>1216</v>
      </c>
      <c r="Y596" t="s">
        <v>4351</v>
      </c>
      <c r="Z596" t="s">
        <v>4354</v>
      </c>
      <c r="AA596" t="s">
        <v>4377</v>
      </c>
      <c r="AB596" t="s">
        <v>4875</v>
      </c>
      <c r="AC596" t="s">
        <v>5823</v>
      </c>
      <c r="AD596" t="s">
        <v>6259</v>
      </c>
      <c r="AE596">
        <v>55</v>
      </c>
      <c r="AF596" t="s">
        <v>7101</v>
      </c>
      <c r="AG596" t="s">
        <v>7116</v>
      </c>
      <c r="AH596">
        <v>0</v>
      </c>
      <c r="AI596">
        <v>1</v>
      </c>
      <c r="AJ596">
        <v>1</v>
      </c>
      <c r="AK596">
        <v>82.39</v>
      </c>
      <c r="AN596" t="s">
        <v>7139</v>
      </c>
      <c r="AO596">
        <v>13380</v>
      </c>
      <c r="AU596">
        <v>4.5</v>
      </c>
      <c r="AV596" t="s">
        <v>137</v>
      </c>
      <c r="AW596" t="s">
        <v>7341</v>
      </c>
    </row>
    <row r="597" spans="1:50">
      <c r="A597" s="1">
        <f>HYPERLINK("https://lsnyc.legalserver.org/matter/dynamic-profile/view/1893538","19-1893538")</f>
        <v>0</v>
      </c>
      <c r="B597" t="s">
        <v>60</v>
      </c>
      <c r="C597" t="s">
        <v>105</v>
      </c>
      <c r="D597" t="s">
        <v>352</v>
      </c>
      <c r="F597" t="s">
        <v>771</v>
      </c>
      <c r="G597" t="s">
        <v>1939</v>
      </c>
      <c r="H597" t="s">
        <v>2812</v>
      </c>
      <c r="I597" t="s">
        <v>3318</v>
      </c>
      <c r="J597" t="s">
        <v>3604</v>
      </c>
      <c r="K597">
        <v>10040</v>
      </c>
      <c r="L597" t="s">
        <v>3610</v>
      </c>
      <c r="M597" t="s">
        <v>3610</v>
      </c>
      <c r="O597" t="s">
        <v>4219</v>
      </c>
      <c r="P597" t="s">
        <v>4245</v>
      </c>
      <c r="R597" t="s">
        <v>4258</v>
      </c>
      <c r="U597" t="s">
        <v>4268</v>
      </c>
      <c r="W597" t="s">
        <v>352</v>
      </c>
      <c r="X597">
        <v>1095.99</v>
      </c>
      <c r="Y597" t="s">
        <v>4351</v>
      </c>
      <c r="Z597" t="s">
        <v>4354</v>
      </c>
      <c r="AB597" t="s">
        <v>4876</v>
      </c>
      <c r="AD597" t="s">
        <v>6260</v>
      </c>
      <c r="AE597">
        <v>25</v>
      </c>
      <c r="AF597" t="s">
        <v>7101</v>
      </c>
      <c r="AG597" t="s">
        <v>3745</v>
      </c>
      <c r="AH597">
        <v>35</v>
      </c>
      <c r="AI597">
        <v>1</v>
      </c>
      <c r="AJ597">
        <v>0</v>
      </c>
      <c r="AK597">
        <v>82.43000000000001</v>
      </c>
      <c r="AN597" t="s">
        <v>7139</v>
      </c>
      <c r="AO597">
        <v>10296</v>
      </c>
      <c r="AU597">
        <v>15</v>
      </c>
      <c r="AV597" t="s">
        <v>321</v>
      </c>
      <c r="AW597" t="s">
        <v>7342</v>
      </c>
    </row>
    <row r="598" spans="1:50">
      <c r="A598" s="1">
        <f>HYPERLINK("https://lsnyc.legalserver.org/matter/dynamic-profile/view/1892375","19-1892375")</f>
        <v>0</v>
      </c>
      <c r="B598" t="s">
        <v>64</v>
      </c>
      <c r="C598" t="s">
        <v>105</v>
      </c>
      <c r="D598" t="s">
        <v>442</v>
      </c>
      <c r="F598" t="s">
        <v>983</v>
      </c>
      <c r="G598" t="s">
        <v>1940</v>
      </c>
      <c r="H598" t="s">
        <v>2813</v>
      </c>
      <c r="I598" t="s">
        <v>3359</v>
      </c>
      <c r="J598" t="s">
        <v>3604</v>
      </c>
      <c r="K598">
        <v>10033</v>
      </c>
      <c r="L598" t="s">
        <v>3610</v>
      </c>
      <c r="M598" t="s">
        <v>3610</v>
      </c>
      <c r="N598" t="s">
        <v>3836</v>
      </c>
      <c r="P598" t="s">
        <v>4241</v>
      </c>
      <c r="R598" t="s">
        <v>4258</v>
      </c>
      <c r="S598" t="s">
        <v>3611</v>
      </c>
      <c r="U598" t="s">
        <v>4268</v>
      </c>
      <c r="W598" t="s">
        <v>442</v>
      </c>
      <c r="X598">
        <v>365</v>
      </c>
      <c r="Y598" t="s">
        <v>4351</v>
      </c>
      <c r="Z598" t="s">
        <v>4354</v>
      </c>
      <c r="AB598" t="s">
        <v>4877</v>
      </c>
      <c r="AD598" t="s">
        <v>6261</v>
      </c>
      <c r="AE598">
        <v>44</v>
      </c>
      <c r="AF598" t="s">
        <v>7101</v>
      </c>
      <c r="AH598">
        <v>34</v>
      </c>
      <c r="AI598">
        <v>1</v>
      </c>
      <c r="AJ598">
        <v>0</v>
      </c>
      <c r="AK598">
        <v>82.43000000000001</v>
      </c>
      <c r="AN598" t="s">
        <v>7139</v>
      </c>
      <c r="AO598">
        <v>10296</v>
      </c>
      <c r="AU598">
        <v>40</v>
      </c>
      <c r="AV598" t="s">
        <v>7293</v>
      </c>
      <c r="AW598" t="s">
        <v>7342</v>
      </c>
    </row>
    <row r="599" spans="1:50">
      <c r="A599" s="1">
        <f>HYPERLINK("https://lsnyc.legalserver.org/matter/dynamic-profile/view/1874673","18-1874673")</f>
        <v>0</v>
      </c>
      <c r="B599" t="s">
        <v>61</v>
      </c>
      <c r="C599" t="s">
        <v>105</v>
      </c>
      <c r="D599" t="s">
        <v>144</v>
      </c>
      <c r="F599" t="s">
        <v>855</v>
      </c>
      <c r="G599" t="s">
        <v>1749</v>
      </c>
      <c r="H599" t="s">
        <v>2734</v>
      </c>
      <c r="I599" t="s">
        <v>3279</v>
      </c>
      <c r="J599" t="s">
        <v>3604</v>
      </c>
      <c r="K599">
        <v>10040</v>
      </c>
      <c r="L599" t="s">
        <v>3610</v>
      </c>
      <c r="M599" t="s">
        <v>3610</v>
      </c>
      <c r="O599" t="s">
        <v>4213</v>
      </c>
      <c r="P599" t="s">
        <v>4245</v>
      </c>
      <c r="R599" t="s">
        <v>4258</v>
      </c>
      <c r="S599" t="s">
        <v>3611</v>
      </c>
      <c r="U599" t="s">
        <v>4268</v>
      </c>
      <c r="W599" t="s">
        <v>600</v>
      </c>
      <c r="X599">
        <v>165</v>
      </c>
      <c r="Y599" t="s">
        <v>4351</v>
      </c>
      <c r="Z599" t="s">
        <v>4357</v>
      </c>
      <c r="AB599" t="s">
        <v>4878</v>
      </c>
      <c r="AD599" t="s">
        <v>6262</v>
      </c>
      <c r="AE599">
        <v>43</v>
      </c>
      <c r="AF599" t="s">
        <v>7101</v>
      </c>
      <c r="AG599" t="s">
        <v>7116</v>
      </c>
      <c r="AH599">
        <v>13</v>
      </c>
      <c r="AI599">
        <v>1</v>
      </c>
      <c r="AJ599">
        <v>0</v>
      </c>
      <c r="AK599">
        <v>82.54000000000001</v>
      </c>
      <c r="AN599" t="s">
        <v>7138</v>
      </c>
      <c r="AO599">
        <v>10020</v>
      </c>
      <c r="AU599">
        <v>3.6</v>
      </c>
      <c r="AV599" t="s">
        <v>109</v>
      </c>
      <c r="AW599" t="s">
        <v>7342</v>
      </c>
      <c r="AX599" t="s">
        <v>7377</v>
      </c>
    </row>
    <row r="600" spans="1:50">
      <c r="A600" s="1">
        <f>HYPERLINK("https://lsnyc.legalserver.org/matter/dynamic-profile/view/1864531","18-1864531")</f>
        <v>0</v>
      </c>
      <c r="B600" t="s">
        <v>86</v>
      </c>
      <c r="C600" t="s">
        <v>104</v>
      </c>
      <c r="D600" t="s">
        <v>157</v>
      </c>
      <c r="E600" t="s">
        <v>442</v>
      </c>
      <c r="F600" t="s">
        <v>1054</v>
      </c>
      <c r="G600" t="s">
        <v>1891</v>
      </c>
      <c r="H600" t="s">
        <v>2814</v>
      </c>
      <c r="I600">
        <v>3</v>
      </c>
      <c r="J600" t="s">
        <v>3604</v>
      </c>
      <c r="K600">
        <v>10002</v>
      </c>
      <c r="L600" t="s">
        <v>3610</v>
      </c>
      <c r="M600" t="s">
        <v>3609</v>
      </c>
      <c r="N600" t="s">
        <v>3837</v>
      </c>
      <c r="O600" t="s">
        <v>4209</v>
      </c>
      <c r="P600" t="s">
        <v>4242</v>
      </c>
      <c r="Q600" t="s">
        <v>4250</v>
      </c>
      <c r="R600" t="s">
        <v>4258</v>
      </c>
      <c r="S600" t="s">
        <v>3611</v>
      </c>
      <c r="T600" t="s">
        <v>4259</v>
      </c>
      <c r="U600" t="s">
        <v>4268</v>
      </c>
      <c r="W600" t="s">
        <v>157</v>
      </c>
      <c r="X600">
        <v>1471.74</v>
      </c>
      <c r="Y600" t="s">
        <v>4351</v>
      </c>
      <c r="Z600" t="s">
        <v>4357</v>
      </c>
      <c r="AA600" t="s">
        <v>4373</v>
      </c>
      <c r="AB600" t="s">
        <v>4879</v>
      </c>
      <c r="AD600" t="s">
        <v>6263</v>
      </c>
      <c r="AE600">
        <v>15</v>
      </c>
      <c r="AF600" t="s">
        <v>7101</v>
      </c>
      <c r="AG600" t="s">
        <v>3745</v>
      </c>
      <c r="AH600">
        <v>0</v>
      </c>
      <c r="AI600">
        <v>2</v>
      </c>
      <c r="AJ600">
        <v>0</v>
      </c>
      <c r="AK600">
        <v>82.62</v>
      </c>
      <c r="AN600" t="s">
        <v>7143</v>
      </c>
      <c r="AO600">
        <v>38104</v>
      </c>
      <c r="AU600">
        <v>0.1</v>
      </c>
      <c r="AV600" t="s">
        <v>411</v>
      </c>
      <c r="AW600" t="s">
        <v>7344</v>
      </c>
    </row>
    <row r="601" spans="1:50">
      <c r="A601" s="1">
        <f>HYPERLINK("https://lsnyc.legalserver.org/matter/dynamic-profile/view/1901229","19-1901229")</f>
        <v>0</v>
      </c>
      <c r="B601" t="s">
        <v>75</v>
      </c>
      <c r="C601" t="s">
        <v>105</v>
      </c>
      <c r="D601" t="s">
        <v>426</v>
      </c>
      <c r="F601" t="s">
        <v>1055</v>
      </c>
      <c r="G601" t="s">
        <v>1941</v>
      </c>
      <c r="H601" t="s">
        <v>2815</v>
      </c>
      <c r="I601" t="s">
        <v>3365</v>
      </c>
      <c r="J601" t="s">
        <v>3604</v>
      </c>
      <c r="K601">
        <v>10003</v>
      </c>
      <c r="L601" t="s">
        <v>3610</v>
      </c>
      <c r="M601" t="s">
        <v>3609</v>
      </c>
      <c r="N601" t="s">
        <v>3838</v>
      </c>
      <c r="O601" t="s">
        <v>4210</v>
      </c>
      <c r="P601" t="s">
        <v>4246</v>
      </c>
      <c r="R601" t="s">
        <v>4258</v>
      </c>
      <c r="S601" t="s">
        <v>3611</v>
      </c>
      <c r="U601" t="s">
        <v>4268</v>
      </c>
      <c r="V601" t="s">
        <v>4274</v>
      </c>
      <c r="W601" t="s">
        <v>426</v>
      </c>
      <c r="X601">
        <v>910</v>
      </c>
      <c r="Y601" t="s">
        <v>4351</v>
      </c>
      <c r="Z601" t="s">
        <v>4353</v>
      </c>
      <c r="AB601" t="s">
        <v>4880</v>
      </c>
      <c r="AD601" t="s">
        <v>6264</v>
      </c>
      <c r="AE601">
        <v>50</v>
      </c>
      <c r="AF601" t="s">
        <v>7101</v>
      </c>
      <c r="AG601" t="s">
        <v>7118</v>
      </c>
      <c r="AH601">
        <v>41</v>
      </c>
      <c r="AI601">
        <v>1</v>
      </c>
      <c r="AJ601">
        <v>0</v>
      </c>
      <c r="AK601">
        <v>82.63</v>
      </c>
      <c r="AN601" t="s">
        <v>7138</v>
      </c>
      <c r="AO601">
        <v>10320</v>
      </c>
      <c r="AU601">
        <v>1.1</v>
      </c>
      <c r="AV601" t="s">
        <v>678</v>
      </c>
      <c r="AW601" t="s">
        <v>7341</v>
      </c>
      <c r="AX601" t="s">
        <v>7377</v>
      </c>
    </row>
    <row r="602" spans="1:50">
      <c r="A602" s="1">
        <f>HYPERLINK("https://lsnyc.legalserver.org/matter/dynamic-profile/view/1874636","18-1874636")</f>
        <v>0</v>
      </c>
      <c r="B602" t="s">
        <v>73</v>
      </c>
      <c r="C602" t="s">
        <v>104</v>
      </c>
      <c r="D602" t="s">
        <v>248</v>
      </c>
      <c r="E602" t="s">
        <v>360</v>
      </c>
      <c r="F602" t="s">
        <v>1056</v>
      </c>
      <c r="G602" t="s">
        <v>1942</v>
      </c>
      <c r="H602" t="s">
        <v>2816</v>
      </c>
      <c r="I602" t="s">
        <v>3356</v>
      </c>
      <c r="J602" t="s">
        <v>3604</v>
      </c>
      <c r="K602">
        <v>10040</v>
      </c>
      <c r="L602" t="s">
        <v>3610</v>
      </c>
      <c r="M602" t="s">
        <v>3609</v>
      </c>
      <c r="P602" t="s">
        <v>4246</v>
      </c>
      <c r="Q602" t="s">
        <v>4250</v>
      </c>
      <c r="R602" t="s">
        <v>4258</v>
      </c>
      <c r="S602" t="s">
        <v>3611</v>
      </c>
      <c r="U602" t="s">
        <v>4268</v>
      </c>
      <c r="X602">
        <v>1103.6</v>
      </c>
      <c r="Y602" t="s">
        <v>4351</v>
      </c>
      <c r="Z602" t="s">
        <v>4352</v>
      </c>
      <c r="AA602" t="s">
        <v>4373</v>
      </c>
      <c r="AE602">
        <v>0</v>
      </c>
      <c r="AF602" t="s">
        <v>7101</v>
      </c>
      <c r="AG602" t="s">
        <v>3745</v>
      </c>
      <c r="AH602">
        <v>30</v>
      </c>
      <c r="AI602">
        <v>1</v>
      </c>
      <c r="AJ602">
        <v>0</v>
      </c>
      <c r="AK602">
        <v>82.73</v>
      </c>
      <c r="AN602" t="s">
        <v>7139</v>
      </c>
      <c r="AO602">
        <v>10044</v>
      </c>
      <c r="AU602">
        <v>1</v>
      </c>
      <c r="AV602" t="s">
        <v>646</v>
      </c>
      <c r="AW602" t="s">
        <v>7342</v>
      </c>
    </row>
    <row r="603" spans="1:50">
      <c r="A603" s="1">
        <f>HYPERLINK("https://lsnyc.legalserver.org/matter/dynamic-profile/view/1870264","18-1870264")</f>
        <v>0</v>
      </c>
      <c r="B603" t="s">
        <v>68</v>
      </c>
      <c r="C603" t="s">
        <v>105</v>
      </c>
      <c r="D603" t="s">
        <v>443</v>
      </c>
      <c r="F603" t="s">
        <v>1023</v>
      </c>
      <c r="G603" t="s">
        <v>1904</v>
      </c>
      <c r="H603" t="s">
        <v>2782</v>
      </c>
      <c r="I603">
        <v>3</v>
      </c>
      <c r="J603" t="s">
        <v>3604</v>
      </c>
      <c r="K603">
        <v>10035</v>
      </c>
      <c r="L603" t="s">
        <v>3610</v>
      </c>
      <c r="M603" t="s">
        <v>3610</v>
      </c>
      <c r="N603" t="s">
        <v>3839</v>
      </c>
      <c r="O603" t="s">
        <v>4210</v>
      </c>
      <c r="P603" t="s">
        <v>4241</v>
      </c>
      <c r="R603" t="s">
        <v>4258</v>
      </c>
      <c r="S603" t="s">
        <v>3611</v>
      </c>
      <c r="U603" t="s">
        <v>4268</v>
      </c>
      <c r="V603" t="s">
        <v>4274</v>
      </c>
      <c r="W603" t="s">
        <v>212</v>
      </c>
      <c r="X603">
        <v>900</v>
      </c>
      <c r="Y603" t="s">
        <v>4351</v>
      </c>
      <c r="Z603" t="s">
        <v>4357</v>
      </c>
      <c r="AB603" t="s">
        <v>4823</v>
      </c>
      <c r="AD603" t="s">
        <v>6265</v>
      </c>
      <c r="AE603">
        <v>6</v>
      </c>
      <c r="AF603" t="s">
        <v>7101</v>
      </c>
      <c r="AG603" t="s">
        <v>7116</v>
      </c>
      <c r="AH603">
        <v>18</v>
      </c>
      <c r="AI603">
        <v>1</v>
      </c>
      <c r="AJ603">
        <v>0</v>
      </c>
      <c r="AK603">
        <v>82.73</v>
      </c>
      <c r="AN603" t="s">
        <v>7138</v>
      </c>
      <c r="AO603">
        <v>10044</v>
      </c>
      <c r="AP603" t="s">
        <v>7176</v>
      </c>
      <c r="AU603">
        <v>54.3</v>
      </c>
      <c r="AV603" t="s">
        <v>667</v>
      </c>
      <c r="AW603" t="s">
        <v>7361</v>
      </c>
      <c r="AX603" t="s">
        <v>7377</v>
      </c>
    </row>
    <row r="604" spans="1:50">
      <c r="A604" s="1">
        <f>HYPERLINK("https://lsnyc.legalserver.org/matter/dynamic-profile/view/1873294","18-1873294")</f>
        <v>0</v>
      </c>
      <c r="B604" t="s">
        <v>53</v>
      </c>
      <c r="C604" t="s">
        <v>104</v>
      </c>
      <c r="D604" t="s">
        <v>444</v>
      </c>
      <c r="E604" t="s">
        <v>676</v>
      </c>
      <c r="F604" t="s">
        <v>1057</v>
      </c>
      <c r="G604" t="s">
        <v>1943</v>
      </c>
      <c r="H604" t="s">
        <v>2783</v>
      </c>
      <c r="I604" t="s">
        <v>3423</v>
      </c>
      <c r="J604" t="s">
        <v>3604</v>
      </c>
      <c r="K604">
        <v>10035</v>
      </c>
      <c r="L604" t="s">
        <v>3610</v>
      </c>
      <c r="M604" t="s">
        <v>3610</v>
      </c>
      <c r="O604" t="s">
        <v>4234</v>
      </c>
      <c r="P604" t="s">
        <v>4243</v>
      </c>
      <c r="Q604" t="s">
        <v>4252</v>
      </c>
      <c r="R604" t="s">
        <v>4258</v>
      </c>
      <c r="S604" t="s">
        <v>3611</v>
      </c>
      <c r="U604" t="s">
        <v>4268</v>
      </c>
      <c r="V604" t="s">
        <v>4274</v>
      </c>
      <c r="W604" t="s">
        <v>173</v>
      </c>
      <c r="X604">
        <v>1293</v>
      </c>
      <c r="Y604" t="s">
        <v>4351</v>
      </c>
      <c r="Z604" t="s">
        <v>4228</v>
      </c>
      <c r="AA604" t="s">
        <v>4374</v>
      </c>
      <c r="AB604" t="s">
        <v>4881</v>
      </c>
      <c r="AD604" t="s">
        <v>6266</v>
      </c>
      <c r="AE604">
        <v>91</v>
      </c>
      <c r="AF604" t="s">
        <v>7101</v>
      </c>
      <c r="AG604" t="s">
        <v>7116</v>
      </c>
      <c r="AH604">
        <v>11</v>
      </c>
      <c r="AI604">
        <v>1</v>
      </c>
      <c r="AJ604">
        <v>0</v>
      </c>
      <c r="AK604">
        <v>82.73</v>
      </c>
      <c r="AN604" t="s">
        <v>7138</v>
      </c>
      <c r="AO604">
        <v>10044</v>
      </c>
      <c r="AP604" t="s">
        <v>7177</v>
      </c>
      <c r="AQ604" t="s">
        <v>7197</v>
      </c>
      <c r="AR604" t="s">
        <v>7213</v>
      </c>
      <c r="AS604" t="s">
        <v>7231</v>
      </c>
      <c r="AT604" t="s">
        <v>7257</v>
      </c>
      <c r="AU604">
        <v>29</v>
      </c>
      <c r="AV604" t="s">
        <v>4296</v>
      </c>
      <c r="AW604" t="s">
        <v>7358</v>
      </c>
      <c r="AX604" t="s">
        <v>7377</v>
      </c>
    </row>
    <row r="605" spans="1:50">
      <c r="A605" s="1">
        <f>HYPERLINK("https://lsnyc.legalserver.org/matter/dynamic-profile/view/1895763","19-1895763")</f>
        <v>0</v>
      </c>
      <c r="B605" t="s">
        <v>56</v>
      </c>
      <c r="C605" t="s">
        <v>104</v>
      </c>
      <c r="D605" t="s">
        <v>208</v>
      </c>
      <c r="E605" t="s">
        <v>659</v>
      </c>
      <c r="F605" t="s">
        <v>1058</v>
      </c>
      <c r="G605" t="s">
        <v>1825</v>
      </c>
      <c r="H605" t="s">
        <v>2479</v>
      </c>
      <c r="I605" t="s">
        <v>3314</v>
      </c>
      <c r="J605" t="s">
        <v>3604</v>
      </c>
      <c r="K605">
        <v>10034</v>
      </c>
      <c r="L605" t="s">
        <v>3610</v>
      </c>
      <c r="M605" t="s">
        <v>3610</v>
      </c>
      <c r="O605" t="s">
        <v>4211</v>
      </c>
      <c r="P605" t="s">
        <v>4242</v>
      </c>
      <c r="Q605" t="s">
        <v>4250</v>
      </c>
      <c r="R605" t="s">
        <v>4258</v>
      </c>
      <c r="S605" t="s">
        <v>3611</v>
      </c>
      <c r="U605" t="s">
        <v>4268</v>
      </c>
      <c r="V605" t="s">
        <v>4274</v>
      </c>
      <c r="W605" t="s">
        <v>253</v>
      </c>
      <c r="X605">
        <v>1263.3</v>
      </c>
      <c r="Y605" t="s">
        <v>4351</v>
      </c>
      <c r="Z605" t="s">
        <v>4354</v>
      </c>
      <c r="AA605" t="s">
        <v>4373</v>
      </c>
      <c r="AB605" t="s">
        <v>4882</v>
      </c>
      <c r="AD605" t="s">
        <v>6267</v>
      </c>
      <c r="AE605">
        <v>45</v>
      </c>
      <c r="AF605" t="s">
        <v>7104</v>
      </c>
      <c r="AG605" t="s">
        <v>3745</v>
      </c>
      <c r="AH605">
        <v>18</v>
      </c>
      <c r="AI605">
        <v>3</v>
      </c>
      <c r="AJ605">
        <v>2</v>
      </c>
      <c r="AK605">
        <v>82.73</v>
      </c>
      <c r="AN605" t="s">
        <v>7139</v>
      </c>
      <c r="AO605">
        <v>24960</v>
      </c>
      <c r="AU605">
        <v>2</v>
      </c>
      <c r="AV605" t="s">
        <v>253</v>
      </c>
      <c r="AW605" t="s">
        <v>7357</v>
      </c>
      <c r="AX605" t="s">
        <v>7377</v>
      </c>
    </row>
    <row r="606" spans="1:50">
      <c r="A606" s="1">
        <f>HYPERLINK("https://lsnyc.legalserver.org/matter/dynamic-profile/view/1869962","18-1869962")</f>
        <v>0</v>
      </c>
      <c r="B606" t="s">
        <v>61</v>
      </c>
      <c r="C606" t="s">
        <v>104</v>
      </c>
      <c r="D606" t="s">
        <v>445</v>
      </c>
      <c r="E606" t="s">
        <v>668</v>
      </c>
      <c r="F606" t="s">
        <v>717</v>
      </c>
      <c r="G606" t="s">
        <v>1711</v>
      </c>
      <c r="H606" t="s">
        <v>2599</v>
      </c>
      <c r="I606" t="s">
        <v>3345</v>
      </c>
      <c r="J606" t="s">
        <v>3604</v>
      </c>
      <c r="K606">
        <v>10034</v>
      </c>
      <c r="L606" t="s">
        <v>3610</v>
      </c>
      <c r="M606" t="s">
        <v>3610</v>
      </c>
      <c r="N606" t="s">
        <v>3840</v>
      </c>
      <c r="O606" t="s">
        <v>4209</v>
      </c>
      <c r="P606" t="s">
        <v>4245</v>
      </c>
      <c r="Q606" t="s">
        <v>4249</v>
      </c>
      <c r="R606" t="s">
        <v>4258</v>
      </c>
      <c r="S606" t="s">
        <v>3611</v>
      </c>
      <c r="T606" t="s">
        <v>4258</v>
      </c>
      <c r="U606" t="s">
        <v>4268</v>
      </c>
      <c r="V606" t="s">
        <v>4274</v>
      </c>
      <c r="W606" t="s">
        <v>4309</v>
      </c>
      <c r="X606">
        <v>1928.53</v>
      </c>
      <c r="Y606" t="s">
        <v>4351</v>
      </c>
      <c r="Z606" t="s">
        <v>4357</v>
      </c>
      <c r="AA606" t="s">
        <v>4373</v>
      </c>
      <c r="AB606" t="s">
        <v>4554</v>
      </c>
      <c r="AD606" t="s">
        <v>5979</v>
      </c>
      <c r="AE606">
        <v>38</v>
      </c>
      <c r="AF606" t="s">
        <v>7101</v>
      </c>
      <c r="AG606" t="s">
        <v>3745</v>
      </c>
      <c r="AH606">
        <v>6</v>
      </c>
      <c r="AI606">
        <v>1</v>
      </c>
      <c r="AJ606">
        <v>0</v>
      </c>
      <c r="AK606">
        <v>82.73</v>
      </c>
      <c r="AN606" t="s">
        <v>7138</v>
      </c>
      <c r="AO606">
        <v>10044</v>
      </c>
      <c r="AU606">
        <v>6.4</v>
      </c>
      <c r="AV606" t="s">
        <v>668</v>
      </c>
      <c r="AW606" t="s">
        <v>7346</v>
      </c>
      <c r="AX606" t="s">
        <v>7377</v>
      </c>
    </row>
    <row r="607" spans="1:50">
      <c r="A607" s="1">
        <f>HYPERLINK("https://lsnyc.legalserver.org/matter/dynamic-profile/view/1872463","18-1872463")</f>
        <v>0</v>
      </c>
      <c r="B607" t="s">
        <v>73</v>
      </c>
      <c r="C607" t="s">
        <v>104</v>
      </c>
      <c r="D607" t="s">
        <v>137</v>
      </c>
      <c r="E607" t="s">
        <v>343</v>
      </c>
      <c r="F607" t="s">
        <v>820</v>
      </c>
      <c r="G607" t="s">
        <v>1808</v>
      </c>
      <c r="H607" t="s">
        <v>2817</v>
      </c>
      <c r="I607" t="s">
        <v>3286</v>
      </c>
      <c r="J607" t="s">
        <v>3604</v>
      </c>
      <c r="K607">
        <v>10032</v>
      </c>
      <c r="L607" t="s">
        <v>3610</v>
      </c>
      <c r="M607" t="s">
        <v>3610</v>
      </c>
      <c r="O607" t="s">
        <v>4211</v>
      </c>
      <c r="P607" t="s">
        <v>4244</v>
      </c>
      <c r="Q607" t="s">
        <v>4250</v>
      </c>
      <c r="R607" t="s">
        <v>4258</v>
      </c>
      <c r="S607" t="s">
        <v>3611</v>
      </c>
      <c r="U607" t="s">
        <v>4268</v>
      </c>
      <c r="W607" t="s">
        <v>137</v>
      </c>
      <c r="X607">
        <v>872.58</v>
      </c>
      <c r="Y607" t="s">
        <v>4351</v>
      </c>
      <c r="Z607" t="s">
        <v>4354</v>
      </c>
      <c r="AA607" t="s">
        <v>4373</v>
      </c>
      <c r="AB607" t="s">
        <v>4883</v>
      </c>
      <c r="AD607" t="s">
        <v>6268</v>
      </c>
      <c r="AE607">
        <v>49</v>
      </c>
      <c r="AF607" t="s">
        <v>7101</v>
      </c>
      <c r="AG607" t="s">
        <v>7116</v>
      </c>
      <c r="AH607">
        <v>0</v>
      </c>
      <c r="AI607">
        <v>1</v>
      </c>
      <c r="AJ607">
        <v>0</v>
      </c>
      <c r="AK607">
        <v>82.73</v>
      </c>
      <c r="AN607" t="s">
        <v>7139</v>
      </c>
      <c r="AO607">
        <v>10044</v>
      </c>
      <c r="AU607">
        <v>3.1</v>
      </c>
      <c r="AV607" t="s">
        <v>343</v>
      </c>
      <c r="AW607" t="s">
        <v>7342</v>
      </c>
    </row>
    <row r="608" spans="1:50">
      <c r="A608" s="1">
        <f>HYPERLINK("https://lsnyc.legalserver.org/matter/dynamic-profile/view/1864490","18-1864490")</f>
        <v>0</v>
      </c>
      <c r="B608" t="s">
        <v>53</v>
      </c>
      <c r="C608" t="s">
        <v>105</v>
      </c>
      <c r="D608" t="s">
        <v>157</v>
      </c>
      <c r="F608" t="s">
        <v>1059</v>
      </c>
      <c r="G608" t="s">
        <v>1656</v>
      </c>
      <c r="H608" t="s">
        <v>2508</v>
      </c>
      <c r="I608">
        <v>701</v>
      </c>
      <c r="J608" t="s">
        <v>3604</v>
      </c>
      <c r="K608">
        <v>10029</v>
      </c>
      <c r="L608" t="s">
        <v>3610</v>
      </c>
      <c r="M608" t="s">
        <v>3610</v>
      </c>
      <c r="N608" t="s">
        <v>3642</v>
      </c>
      <c r="O608" t="s">
        <v>4213</v>
      </c>
      <c r="P608" t="s">
        <v>4241</v>
      </c>
      <c r="R608" t="s">
        <v>4258</v>
      </c>
      <c r="S608" t="s">
        <v>3610</v>
      </c>
      <c r="U608" t="s">
        <v>4268</v>
      </c>
      <c r="V608" t="s">
        <v>4274</v>
      </c>
      <c r="W608" t="s">
        <v>157</v>
      </c>
      <c r="X608">
        <v>0</v>
      </c>
      <c r="Y608" t="s">
        <v>4351</v>
      </c>
      <c r="Z608" t="s">
        <v>4352</v>
      </c>
      <c r="AB608" t="s">
        <v>4884</v>
      </c>
      <c r="AD608" t="s">
        <v>6269</v>
      </c>
      <c r="AE608">
        <v>108</v>
      </c>
      <c r="AF608" t="s">
        <v>7106</v>
      </c>
      <c r="AG608" t="s">
        <v>7116</v>
      </c>
      <c r="AH608">
        <v>31</v>
      </c>
      <c r="AI608">
        <v>1</v>
      </c>
      <c r="AJ608">
        <v>0</v>
      </c>
      <c r="AK608">
        <v>82.73</v>
      </c>
      <c r="AN608" t="s">
        <v>7139</v>
      </c>
      <c r="AO608">
        <v>10044</v>
      </c>
      <c r="AU608">
        <v>0.55</v>
      </c>
      <c r="AV608" t="s">
        <v>688</v>
      </c>
      <c r="AW608" t="s">
        <v>7341</v>
      </c>
    </row>
    <row r="609" spans="1:50">
      <c r="A609" s="1">
        <f>HYPERLINK("https://lsnyc.legalserver.org/matter/dynamic-profile/view/1864359","18-1864359")</f>
        <v>0</v>
      </c>
      <c r="B609" t="s">
        <v>97</v>
      </c>
      <c r="C609" t="s">
        <v>104</v>
      </c>
      <c r="D609" t="s">
        <v>162</v>
      </c>
      <c r="E609" t="s">
        <v>662</v>
      </c>
      <c r="F609" t="s">
        <v>733</v>
      </c>
      <c r="G609" t="s">
        <v>1846</v>
      </c>
      <c r="H609" t="s">
        <v>2818</v>
      </c>
      <c r="I609" t="s">
        <v>3304</v>
      </c>
      <c r="J609" t="s">
        <v>3604</v>
      </c>
      <c r="K609">
        <v>10002</v>
      </c>
      <c r="L609" t="s">
        <v>3610</v>
      </c>
      <c r="M609" t="s">
        <v>3609</v>
      </c>
      <c r="O609" t="s">
        <v>4211</v>
      </c>
      <c r="P609" t="s">
        <v>4242</v>
      </c>
      <c r="Q609" t="s">
        <v>4250</v>
      </c>
      <c r="R609" t="s">
        <v>4258</v>
      </c>
      <c r="U609" t="s">
        <v>4268</v>
      </c>
      <c r="W609" t="s">
        <v>278</v>
      </c>
      <c r="X609">
        <v>651.6</v>
      </c>
      <c r="Y609" t="s">
        <v>4351</v>
      </c>
      <c r="Z609" t="s">
        <v>4371</v>
      </c>
      <c r="AA609" t="s">
        <v>4373</v>
      </c>
      <c r="AB609" t="s">
        <v>4885</v>
      </c>
      <c r="AD609" t="s">
        <v>6270</v>
      </c>
      <c r="AE609">
        <v>0</v>
      </c>
      <c r="AF609" t="s">
        <v>7101</v>
      </c>
      <c r="AG609" t="s">
        <v>7118</v>
      </c>
      <c r="AH609">
        <v>40</v>
      </c>
      <c r="AI609">
        <v>1</v>
      </c>
      <c r="AJ609">
        <v>0</v>
      </c>
      <c r="AK609">
        <v>82.73</v>
      </c>
      <c r="AN609" t="s">
        <v>7139</v>
      </c>
      <c r="AO609">
        <v>10044</v>
      </c>
      <c r="AU609">
        <v>6.25</v>
      </c>
      <c r="AV609" t="s">
        <v>270</v>
      </c>
      <c r="AW609" t="s">
        <v>7344</v>
      </c>
    </row>
    <row r="610" spans="1:50">
      <c r="A610" s="1">
        <f>HYPERLINK("https://lsnyc.legalserver.org/matter/dynamic-profile/view/1863942","18-1863942")</f>
        <v>0</v>
      </c>
      <c r="B610" t="s">
        <v>53</v>
      </c>
      <c r="C610" t="s">
        <v>105</v>
      </c>
      <c r="D610" t="s">
        <v>347</v>
      </c>
      <c r="F610" t="s">
        <v>1060</v>
      </c>
      <c r="G610" t="s">
        <v>1913</v>
      </c>
      <c r="H610" t="s">
        <v>2508</v>
      </c>
      <c r="I610">
        <v>309</v>
      </c>
      <c r="J610" t="s">
        <v>3604</v>
      </c>
      <c r="K610">
        <v>10029</v>
      </c>
      <c r="L610" t="s">
        <v>3610</v>
      </c>
      <c r="M610" t="s">
        <v>3610</v>
      </c>
      <c r="N610" t="s">
        <v>3773</v>
      </c>
      <c r="O610" t="s">
        <v>4213</v>
      </c>
      <c r="P610" t="s">
        <v>4241</v>
      </c>
      <c r="R610" t="s">
        <v>4258</v>
      </c>
      <c r="S610" t="s">
        <v>3610</v>
      </c>
      <c r="U610" t="s">
        <v>4268</v>
      </c>
      <c r="V610" t="s">
        <v>4274</v>
      </c>
      <c r="W610" t="s">
        <v>347</v>
      </c>
      <c r="X610">
        <v>0</v>
      </c>
      <c r="Y610" t="s">
        <v>4351</v>
      </c>
      <c r="Z610" t="s">
        <v>4352</v>
      </c>
      <c r="AB610" t="s">
        <v>4886</v>
      </c>
      <c r="AD610" t="s">
        <v>6271</v>
      </c>
      <c r="AE610">
        <v>108</v>
      </c>
      <c r="AF610" t="s">
        <v>7106</v>
      </c>
      <c r="AG610" t="s">
        <v>7116</v>
      </c>
      <c r="AH610">
        <v>29</v>
      </c>
      <c r="AI610">
        <v>2</v>
      </c>
      <c r="AJ610">
        <v>0</v>
      </c>
      <c r="AK610">
        <v>82.81999999999999</v>
      </c>
      <c r="AN610" t="s">
        <v>7138</v>
      </c>
      <c r="AO610">
        <v>13632</v>
      </c>
      <c r="AU610">
        <v>0</v>
      </c>
      <c r="AW610" t="s">
        <v>7341</v>
      </c>
    </row>
    <row r="611" spans="1:50">
      <c r="A611" s="1">
        <f>HYPERLINK("https://lsnyc.legalserver.org/matter/dynamic-profile/view/0824327","17-0824327")</f>
        <v>0</v>
      </c>
      <c r="B611" t="s">
        <v>64</v>
      </c>
      <c r="C611" t="s">
        <v>105</v>
      </c>
      <c r="D611" t="s">
        <v>446</v>
      </c>
      <c r="F611" t="s">
        <v>1036</v>
      </c>
      <c r="G611" t="s">
        <v>1919</v>
      </c>
      <c r="H611" t="s">
        <v>2576</v>
      </c>
      <c r="I611" t="s">
        <v>3421</v>
      </c>
      <c r="J611" t="s">
        <v>3604</v>
      </c>
      <c r="K611">
        <v>10040</v>
      </c>
      <c r="L611" t="s">
        <v>3610</v>
      </c>
      <c r="M611" t="s">
        <v>3609</v>
      </c>
      <c r="N611" t="s">
        <v>3780</v>
      </c>
      <c r="O611" t="s">
        <v>4213</v>
      </c>
      <c r="P611" t="s">
        <v>4241</v>
      </c>
      <c r="R611" t="s">
        <v>4258</v>
      </c>
      <c r="S611" t="s">
        <v>3610</v>
      </c>
      <c r="U611" t="s">
        <v>4268</v>
      </c>
      <c r="W611" t="s">
        <v>4301</v>
      </c>
      <c r="X611">
        <v>959</v>
      </c>
      <c r="Y611" t="s">
        <v>4351</v>
      </c>
      <c r="Z611" t="s">
        <v>4352</v>
      </c>
      <c r="AB611" t="s">
        <v>4847</v>
      </c>
      <c r="AD611" t="s">
        <v>6232</v>
      </c>
      <c r="AE611">
        <v>83</v>
      </c>
      <c r="AF611" t="s">
        <v>7101</v>
      </c>
      <c r="AG611" t="s">
        <v>7118</v>
      </c>
      <c r="AH611">
        <v>37</v>
      </c>
      <c r="AI611">
        <v>1</v>
      </c>
      <c r="AJ611">
        <v>0</v>
      </c>
      <c r="AK611">
        <v>82.83</v>
      </c>
      <c r="AL611" t="s">
        <v>518</v>
      </c>
      <c r="AN611" t="s">
        <v>7139</v>
      </c>
      <c r="AO611">
        <v>9840</v>
      </c>
      <c r="AU611">
        <v>0</v>
      </c>
      <c r="AV611" t="s">
        <v>191</v>
      </c>
      <c r="AW611" t="s">
        <v>7341</v>
      </c>
    </row>
    <row r="612" spans="1:50">
      <c r="A612" s="1">
        <f>HYPERLINK("https://lsnyc.legalserver.org/matter/dynamic-profile/view/1851038","17-1851038")</f>
        <v>0</v>
      </c>
      <c r="B612" t="s">
        <v>61</v>
      </c>
      <c r="C612" t="s">
        <v>105</v>
      </c>
      <c r="D612" t="s">
        <v>286</v>
      </c>
      <c r="F612" t="s">
        <v>1048</v>
      </c>
      <c r="G612" t="s">
        <v>1934</v>
      </c>
      <c r="H612" t="s">
        <v>2631</v>
      </c>
      <c r="I612">
        <v>35</v>
      </c>
      <c r="J612" t="s">
        <v>3604</v>
      </c>
      <c r="K612">
        <v>10034</v>
      </c>
      <c r="L612" t="s">
        <v>3610</v>
      </c>
      <c r="M612" t="s">
        <v>3610</v>
      </c>
      <c r="N612" t="s">
        <v>3841</v>
      </c>
      <c r="O612" t="s">
        <v>4209</v>
      </c>
      <c r="P612" t="s">
        <v>4241</v>
      </c>
      <c r="R612" t="s">
        <v>4258</v>
      </c>
      <c r="S612" t="s">
        <v>3611</v>
      </c>
      <c r="U612" t="s">
        <v>4268</v>
      </c>
      <c r="V612" t="s">
        <v>4278</v>
      </c>
      <c r="W612" t="s">
        <v>286</v>
      </c>
      <c r="X612">
        <v>891.88</v>
      </c>
      <c r="Y612" t="s">
        <v>4351</v>
      </c>
      <c r="Z612" t="s">
        <v>4354</v>
      </c>
      <c r="AB612" t="s">
        <v>4870</v>
      </c>
      <c r="AD612" t="s">
        <v>6254</v>
      </c>
      <c r="AE612">
        <v>25</v>
      </c>
      <c r="AF612" t="s">
        <v>7101</v>
      </c>
      <c r="AG612" t="s">
        <v>7116</v>
      </c>
      <c r="AH612">
        <v>40</v>
      </c>
      <c r="AI612">
        <v>1</v>
      </c>
      <c r="AJ612">
        <v>0</v>
      </c>
      <c r="AK612">
        <v>82.86</v>
      </c>
      <c r="AN612" t="s">
        <v>7147</v>
      </c>
      <c r="AO612">
        <v>9992.4</v>
      </c>
      <c r="AR612" t="s">
        <v>7217</v>
      </c>
      <c r="AS612" t="s">
        <v>7231</v>
      </c>
      <c r="AT612" t="s">
        <v>7258</v>
      </c>
      <c r="AU612">
        <v>52</v>
      </c>
      <c r="AV612" t="s">
        <v>437</v>
      </c>
      <c r="AW612" t="s">
        <v>7342</v>
      </c>
    </row>
    <row r="613" spans="1:50">
      <c r="A613" s="1">
        <f>HYPERLINK("https://lsnyc.legalserver.org/matter/dynamic-profile/view/1883527","18-1883527")</f>
        <v>0</v>
      </c>
      <c r="B613" t="s">
        <v>69</v>
      </c>
      <c r="C613" t="s">
        <v>105</v>
      </c>
      <c r="D613" t="s">
        <v>447</v>
      </c>
      <c r="F613" t="s">
        <v>902</v>
      </c>
      <c r="G613" t="s">
        <v>1944</v>
      </c>
      <c r="H613" t="s">
        <v>2617</v>
      </c>
      <c r="I613" t="s">
        <v>3424</v>
      </c>
      <c r="J613" t="s">
        <v>3604</v>
      </c>
      <c r="K613">
        <v>10029</v>
      </c>
      <c r="L613" t="s">
        <v>3610</v>
      </c>
      <c r="M613" t="s">
        <v>3610</v>
      </c>
      <c r="N613" t="s">
        <v>3842</v>
      </c>
      <c r="O613" t="s">
        <v>4209</v>
      </c>
      <c r="P613" t="s">
        <v>4241</v>
      </c>
      <c r="R613" t="s">
        <v>4258</v>
      </c>
      <c r="S613" t="s">
        <v>3611</v>
      </c>
      <c r="U613" t="s">
        <v>4268</v>
      </c>
      <c r="V613" t="s">
        <v>4274</v>
      </c>
      <c r="W613" t="s">
        <v>657</v>
      </c>
      <c r="X613">
        <v>2944</v>
      </c>
      <c r="Y613" t="s">
        <v>4351</v>
      </c>
      <c r="Z613" t="s">
        <v>4228</v>
      </c>
      <c r="AB613" t="s">
        <v>4887</v>
      </c>
      <c r="AD613" t="s">
        <v>6272</v>
      </c>
      <c r="AE613">
        <v>700</v>
      </c>
      <c r="AF613" t="s">
        <v>7103</v>
      </c>
      <c r="AG613" t="s">
        <v>4228</v>
      </c>
      <c r="AH613">
        <v>35</v>
      </c>
      <c r="AI613">
        <v>4</v>
      </c>
      <c r="AJ613">
        <v>1</v>
      </c>
      <c r="AK613">
        <v>82.94</v>
      </c>
      <c r="AN613" t="s">
        <v>7138</v>
      </c>
      <c r="AO613">
        <v>24400</v>
      </c>
      <c r="AR613" t="s">
        <v>7218</v>
      </c>
      <c r="AU613">
        <v>72.56999999999999</v>
      </c>
      <c r="AV613" t="s">
        <v>143</v>
      </c>
      <c r="AW613" t="s">
        <v>7357</v>
      </c>
    </row>
    <row r="614" spans="1:50">
      <c r="A614" s="1">
        <f>HYPERLINK("https://lsnyc.legalserver.org/matter/dynamic-profile/view/1878954","18-1878954")</f>
        <v>0</v>
      </c>
      <c r="B614" t="s">
        <v>64</v>
      </c>
      <c r="C614" t="s">
        <v>105</v>
      </c>
      <c r="D614" t="s">
        <v>282</v>
      </c>
      <c r="F614" t="s">
        <v>862</v>
      </c>
      <c r="G614" t="s">
        <v>1945</v>
      </c>
      <c r="H614" t="s">
        <v>2819</v>
      </c>
      <c r="I614" t="s">
        <v>3425</v>
      </c>
      <c r="J614" t="s">
        <v>3604</v>
      </c>
      <c r="K614">
        <v>10040</v>
      </c>
      <c r="L614" t="s">
        <v>3610</v>
      </c>
      <c r="M614" t="s">
        <v>3610</v>
      </c>
      <c r="O614" t="s">
        <v>4218</v>
      </c>
      <c r="P614" t="s">
        <v>4241</v>
      </c>
      <c r="R614" t="s">
        <v>4258</v>
      </c>
      <c r="S614" t="s">
        <v>3610</v>
      </c>
      <c r="U614" t="s">
        <v>4268</v>
      </c>
      <c r="W614" t="s">
        <v>282</v>
      </c>
      <c r="X614">
        <v>1065</v>
      </c>
      <c r="Y614" t="s">
        <v>4351</v>
      </c>
      <c r="Z614" t="s">
        <v>4352</v>
      </c>
      <c r="AB614" t="s">
        <v>4888</v>
      </c>
      <c r="AD614" t="s">
        <v>6273</v>
      </c>
      <c r="AE614">
        <v>88</v>
      </c>
      <c r="AF614" t="s">
        <v>7101</v>
      </c>
      <c r="AG614" t="s">
        <v>7118</v>
      </c>
      <c r="AH614">
        <v>22</v>
      </c>
      <c r="AI614">
        <v>1</v>
      </c>
      <c r="AJ614">
        <v>0</v>
      </c>
      <c r="AK614">
        <v>83.03</v>
      </c>
      <c r="AN614" t="s">
        <v>7139</v>
      </c>
      <c r="AO614">
        <v>10080</v>
      </c>
      <c r="AU614">
        <v>0</v>
      </c>
      <c r="AW614" t="s">
        <v>7342</v>
      </c>
    </row>
    <row r="615" spans="1:50">
      <c r="A615" s="1">
        <f>HYPERLINK("https://lsnyc.legalserver.org/matter/dynamic-profile/view/0826279","17-0826279")</f>
        <v>0</v>
      </c>
      <c r="B615" t="s">
        <v>64</v>
      </c>
      <c r="C615" t="s">
        <v>105</v>
      </c>
      <c r="D615" t="s">
        <v>394</v>
      </c>
      <c r="F615" t="s">
        <v>1061</v>
      </c>
      <c r="G615" t="s">
        <v>1748</v>
      </c>
      <c r="H615" t="s">
        <v>2576</v>
      </c>
      <c r="I615" t="s">
        <v>3426</v>
      </c>
      <c r="J615" t="s">
        <v>3604</v>
      </c>
      <c r="K615">
        <v>10040</v>
      </c>
      <c r="L615" t="s">
        <v>3610</v>
      </c>
      <c r="M615" t="s">
        <v>3609</v>
      </c>
      <c r="N615" t="s">
        <v>3780</v>
      </c>
      <c r="O615" t="s">
        <v>4213</v>
      </c>
      <c r="P615" t="s">
        <v>4241</v>
      </c>
      <c r="R615" t="s">
        <v>4258</v>
      </c>
      <c r="S615" t="s">
        <v>3610</v>
      </c>
      <c r="U615" t="s">
        <v>4268</v>
      </c>
      <c r="W615" t="s">
        <v>4301</v>
      </c>
      <c r="X615">
        <v>865.75</v>
      </c>
      <c r="Y615" t="s">
        <v>4351</v>
      </c>
      <c r="Z615" t="s">
        <v>4352</v>
      </c>
      <c r="AB615" t="s">
        <v>4889</v>
      </c>
      <c r="AD615" t="s">
        <v>6274</v>
      </c>
      <c r="AE615">
        <v>83</v>
      </c>
      <c r="AF615" t="s">
        <v>7101</v>
      </c>
      <c r="AG615" t="s">
        <v>3745</v>
      </c>
      <c r="AH615">
        <v>25</v>
      </c>
      <c r="AI615">
        <v>1</v>
      </c>
      <c r="AJ615">
        <v>0</v>
      </c>
      <c r="AK615">
        <v>83.03</v>
      </c>
      <c r="AL615" t="s">
        <v>518</v>
      </c>
      <c r="AN615" t="s">
        <v>7139</v>
      </c>
      <c r="AO615">
        <v>9864</v>
      </c>
      <c r="AU615">
        <v>0</v>
      </c>
      <c r="AV615" t="s">
        <v>191</v>
      </c>
      <c r="AW615" t="s">
        <v>7341</v>
      </c>
    </row>
    <row r="616" spans="1:50">
      <c r="A616" s="1">
        <f>HYPERLINK("https://lsnyc.legalserver.org/matter/dynamic-profile/view/1888054","19-1888054")</f>
        <v>0</v>
      </c>
      <c r="B616" t="s">
        <v>63</v>
      </c>
      <c r="C616" t="s">
        <v>105</v>
      </c>
      <c r="D616" t="s">
        <v>303</v>
      </c>
      <c r="F616" t="s">
        <v>763</v>
      </c>
      <c r="G616" t="s">
        <v>1946</v>
      </c>
      <c r="H616" t="s">
        <v>2471</v>
      </c>
      <c r="I616" t="s">
        <v>3395</v>
      </c>
      <c r="J616" t="s">
        <v>3604</v>
      </c>
      <c r="K616">
        <v>10034</v>
      </c>
      <c r="L616" t="s">
        <v>3610</v>
      </c>
      <c r="M616" t="s">
        <v>3610</v>
      </c>
      <c r="O616" t="s">
        <v>4219</v>
      </c>
      <c r="P616" t="s">
        <v>4242</v>
      </c>
      <c r="R616" t="s">
        <v>4258</v>
      </c>
      <c r="S616" t="s">
        <v>3611</v>
      </c>
      <c r="U616" t="s">
        <v>4268</v>
      </c>
      <c r="W616" t="s">
        <v>303</v>
      </c>
      <c r="X616">
        <v>800</v>
      </c>
      <c r="Y616" t="s">
        <v>4351</v>
      </c>
      <c r="Z616" t="s">
        <v>4354</v>
      </c>
      <c r="AB616" t="s">
        <v>4890</v>
      </c>
      <c r="AE616">
        <v>60</v>
      </c>
      <c r="AF616" t="s">
        <v>7101</v>
      </c>
      <c r="AG616" t="s">
        <v>7118</v>
      </c>
      <c r="AH616">
        <v>35</v>
      </c>
      <c r="AI616">
        <v>1</v>
      </c>
      <c r="AJ616">
        <v>0</v>
      </c>
      <c r="AK616">
        <v>83.03</v>
      </c>
      <c r="AN616" t="s">
        <v>7138</v>
      </c>
      <c r="AO616">
        <v>10080</v>
      </c>
      <c r="AU616">
        <v>0.1</v>
      </c>
      <c r="AV616" t="s">
        <v>303</v>
      </c>
      <c r="AW616" t="s">
        <v>7342</v>
      </c>
    </row>
    <row r="617" spans="1:50">
      <c r="A617" s="1">
        <f>HYPERLINK("https://lsnyc.legalserver.org/matter/dynamic-profile/view/0814746","16-0814746")</f>
        <v>0</v>
      </c>
      <c r="B617" t="s">
        <v>67</v>
      </c>
      <c r="C617" t="s">
        <v>104</v>
      </c>
      <c r="D617" t="s">
        <v>448</v>
      </c>
      <c r="E617" t="s">
        <v>575</v>
      </c>
      <c r="F617" t="s">
        <v>1062</v>
      </c>
      <c r="G617" t="s">
        <v>1947</v>
      </c>
      <c r="H617" t="s">
        <v>2785</v>
      </c>
      <c r="I617" t="s">
        <v>3427</v>
      </c>
      <c r="J617" t="s">
        <v>3604</v>
      </c>
      <c r="K617">
        <v>10029</v>
      </c>
      <c r="L617" t="s">
        <v>3610</v>
      </c>
      <c r="M617" t="s">
        <v>3610</v>
      </c>
      <c r="N617" t="s">
        <v>3843</v>
      </c>
      <c r="O617" t="s">
        <v>4209</v>
      </c>
      <c r="P617" t="s">
        <v>4241</v>
      </c>
      <c r="Q617" t="s">
        <v>4248</v>
      </c>
      <c r="R617" t="s">
        <v>4258</v>
      </c>
      <c r="S617" t="s">
        <v>3611</v>
      </c>
      <c r="U617" t="s">
        <v>4268</v>
      </c>
      <c r="V617" t="s">
        <v>4274</v>
      </c>
      <c r="W617" t="s">
        <v>4310</v>
      </c>
      <c r="X617">
        <v>926</v>
      </c>
      <c r="Y617" t="s">
        <v>4351</v>
      </c>
      <c r="Z617" t="s">
        <v>4354</v>
      </c>
      <c r="AA617" t="s">
        <v>4374</v>
      </c>
      <c r="AB617" t="s">
        <v>4891</v>
      </c>
      <c r="AD617" t="s">
        <v>6275</v>
      </c>
      <c r="AE617">
        <v>168</v>
      </c>
      <c r="AF617" t="s">
        <v>7106</v>
      </c>
      <c r="AG617" t="s">
        <v>7116</v>
      </c>
      <c r="AH617">
        <v>1</v>
      </c>
      <c r="AI617">
        <v>1</v>
      </c>
      <c r="AJ617">
        <v>0</v>
      </c>
      <c r="AK617">
        <v>83.03</v>
      </c>
      <c r="AN617" t="s">
        <v>7138</v>
      </c>
      <c r="AO617">
        <v>9864</v>
      </c>
      <c r="AU617">
        <v>75.65000000000001</v>
      </c>
      <c r="AV617" t="s">
        <v>476</v>
      </c>
      <c r="AW617" t="s">
        <v>7353</v>
      </c>
    </row>
    <row r="618" spans="1:50">
      <c r="A618" s="1">
        <f>HYPERLINK("https://lsnyc.legalserver.org/matter/dynamic-profile/view/1857894","18-1857894")</f>
        <v>0</v>
      </c>
      <c r="B618" t="s">
        <v>53</v>
      </c>
      <c r="C618" t="s">
        <v>104</v>
      </c>
      <c r="D618" t="s">
        <v>379</v>
      </c>
      <c r="E618" t="s">
        <v>260</v>
      </c>
      <c r="F618" t="s">
        <v>855</v>
      </c>
      <c r="G618" t="s">
        <v>1749</v>
      </c>
      <c r="H618" t="s">
        <v>2820</v>
      </c>
      <c r="I618" t="s">
        <v>3279</v>
      </c>
      <c r="J618" t="s">
        <v>3604</v>
      </c>
      <c r="K618">
        <v>10040</v>
      </c>
      <c r="L618" t="s">
        <v>3610</v>
      </c>
      <c r="M618" t="s">
        <v>3609</v>
      </c>
      <c r="O618" t="s">
        <v>4221</v>
      </c>
      <c r="P618" t="s">
        <v>4244</v>
      </c>
      <c r="Q618" t="s">
        <v>4249</v>
      </c>
      <c r="R618" t="s">
        <v>4258</v>
      </c>
      <c r="S618" t="s">
        <v>3611</v>
      </c>
      <c r="U618" t="s">
        <v>4268</v>
      </c>
      <c r="W618" t="s">
        <v>379</v>
      </c>
      <c r="X618">
        <v>165</v>
      </c>
      <c r="Y618" t="s">
        <v>4351</v>
      </c>
      <c r="Z618" t="s">
        <v>4357</v>
      </c>
      <c r="AA618" t="s">
        <v>4374</v>
      </c>
      <c r="AB618" t="s">
        <v>4878</v>
      </c>
      <c r="AD618" t="s">
        <v>6262</v>
      </c>
      <c r="AE618">
        <v>43</v>
      </c>
      <c r="AF618" t="s">
        <v>7101</v>
      </c>
      <c r="AG618" t="s">
        <v>7116</v>
      </c>
      <c r="AH618">
        <v>13</v>
      </c>
      <c r="AI618">
        <v>1</v>
      </c>
      <c r="AJ618">
        <v>0</v>
      </c>
      <c r="AK618">
        <v>83.08</v>
      </c>
      <c r="AL618" t="s">
        <v>7125</v>
      </c>
      <c r="AN618" t="s">
        <v>7138</v>
      </c>
      <c r="AO618">
        <v>10020</v>
      </c>
      <c r="AU618">
        <v>0.5</v>
      </c>
      <c r="AV618" t="s">
        <v>225</v>
      </c>
      <c r="AW618" t="s">
        <v>7342</v>
      </c>
    </row>
    <row r="619" spans="1:50">
      <c r="A619" s="1">
        <f>HYPERLINK("https://lsnyc.legalserver.org/matter/dynamic-profile/view/1836035","17-1836035")</f>
        <v>0</v>
      </c>
      <c r="B619" t="s">
        <v>53</v>
      </c>
      <c r="C619" t="s">
        <v>104</v>
      </c>
      <c r="D619" t="s">
        <v>449</v>
      </c>
      <c r="E619" t="s">
        <v>260</v>
      </c>
      <c r="F619" t="s">
        <v>855</v>
      </c>
      <c r="G619" t="s">
        <v>1749</v>
      </c>
      <c r="H619" t="s">
        <v>2820</v>
      </c>
      <c r="I619" t="s">
        <v>3279</v>
      </c>
      <c r="J619" t="s">
        <v>3604</v>
      </c>
      <c r="K619">
        <v>10040</v>
      </c>
      <c r="L619" t="s">
        <v>3610</v>
      </c>
      <c r="M619" t="s">
        <v>3609</v>
      </c>
      <c r="N619" t="s">
        <v>3844</v>
      </c>
      <c r="O619" t="s">
        <v>4209</v>
      </c>
      <c r="P619" t="s">
        <v>4241</v>
      </c>
      <c r="Q619" t="s">
        <v>4248</v>
      </c>
      <c r="R619" t="s">
        <v>4258</v>
      </c>
      <c r="S619" t="s">
        <v>3611</v>
      </c>
      <c r="U619" t="s">
        <v>4268</v>
      </c>
      <c r="W619" t="s">
        <v>4282</v>
      </c>
      <c r="X619">
        <v>0</v>
      </c>
      <c r="Y619" t="s">
        <v>4351</v>
      </c>
      <c r="Z619" t="s">
        <v>4352</v>
      </c>
      <c r="AA619" t="s">
        <v>4374</v>
      </c>
      <c r="AB619" t="s">
        <v>4878</v>
      </c>
      <c r="AD619" t="s">
        <v>6262</v>
      </c>
      <c r="AE619">
        <v>43</v>
      </c>
      <c r="AF619" t="s">
        <v>7101</v>
      </c>
      <c r="AG619" t="s">
        <v>7116</v>
      </c>
      <c r="AH619">
        <v>13</v>
      </c>
      <c r="AI619">
        <v>1</v>
      </c>
      <c r="AJ619">
        <v>0</v>
      </c>
      <c r="AK619">
        <v>83.08</v>
      </c>
      <c r="AL619" t="s">
        <v>7125</v>
      </c>
      <c r="AN619" t="s">
        <v>7138</v>
      </c>
      <c r="AO619">
        <v>10020</v>
      </c>
      <c r="AU619">
        <v>20.3</v>
      </c>
      <c r="AV619" t="s">
        <v>157</v>
      </c>
      <c r="AW619" t="s">
        <v>7341</v>
      </c>
    </row>
    <row r="620" spans="1:50">
      <c r="A620" s="1">
        <f>HYPERLINK("https://lsnyc.legalserver.org/matter/dynamic-profile/view/0830994","17-0830994")</f>
        <v>0</v>
      </c>
      <c r="B620" t="s">
        <v>64</v>
      </c>
      <c r="C620" t="s">
        <v>104</v>
      </c>
      <c r="D620" t="s">
        <v>450</v>
      </c>
      <c r="E620" t="s">
        <v>280</v>
      </c>
      <c r="F620" t="s">
        <v>733</v>
      </c>
      <c r="G620" t="s">
        <v>1604</v>
      </c>
      <c r="H620" t="s">
        <v>2496</v>
      </c>
      <c r="I620">
        <v>66</v>
      </c>
      <c r="J620" t="s">
        <v>3604</v>
      </c>
      <c r="K620">
        <v>10032</v>
      </c>
      <c r="L620" t="s">
        <v>3609</v>
      </c>
      <c r="M620" t="s">
        <v>3609</v>
      </c>
      <c r="O620" t="s">
        <v>4211</v>
      </c>
      <c r="P620" t="s">
        <v>4244</v>
      </c>
      <c r="Q620" t="s">
        <v>4254</v>
      </c>
      <c r="R620" t="s">
        <v>4258</v>
      </c>
      <c r="S620" t="s">
        <v>3610</v>
      </c>
      <c r="U620" t="s">
        <v>4268</v>
      </c>
      <c r="W620" t="s">
        <v>238</v>
      </c>
      <c r="X620">
        <v>1064.44</v>
      </c>
      <c r="Y620" t="s">
        <v>4351</v>
      </c>
      <c r="Z620" t="s">
        <v>4352</v>
      </c>
      <c r="AA620" t="s">
        <v>4377</v>
      </c>
      <c r="AB620" t="s">
        <v>4435</v>
      </c>
      <c r="AD620" t="s">
        <v>5877</v>
      </c>
      <c r="AE620">
        <v>35</v>
      </c>
      <c r="AF620" t="s">
        <v>7101</v>
      </c>
      <c r="AG620" t="s">
        <v>3745</v>
      </c>
      <c r="AH620">
        <v>29</v>
      </c>
      <c r="AI620">
        <v>2</v>
      </c>
      <c r="AJ620">
        <v>1</v>
      </c>
      <c r="AK620">
        <v>83.20999999999999</v>
      </c>
      <c r="AL620" t="s">
        <v>4319</v>
      </c>
      <c r="AN620" t="s">
        <v>7139</v>
      </c>
      <c r="AO620">
        <v>16992</v>
      </c>
      <c r="AU620">
        <v>0.1</v>
      </c>
      <c r="AV620" t="s">
        <v>280</v>
      </c>
      <c r="AW620" t="s">
        <v>7341</v>
      </c>
    </row>
    <row r="621" spans="1:50">
      <c r="A621" s="1">
        <f>HYPERLINK("https://lsnyc.legalserver.org/matter/dynamic-profile/view/1863014","18-1863014")</f>
        <v>0</v>
      </c>
      <c r="B621" t="s">
        <v>56</v>
      </c>
      <c r="C621" t="s">
        <v>105</v>
      </c>
      <c r="D621" t="s">
        <v>314</v>
      </c>
      <c r="F621" t="s">
        <v>944</v>
      </c>
      <c r="G621" t="s">
        <v>1948</v>
      </c>
      <c r="H621" t="s">
        <v>2471</v>
      </c>
      <c r="I621" t="s">
        <v>3357</v>
      </c>
      <c r="J621" t="s">
        <v>3604</v>
      </c>
      <c r="K621">
        <v>10034</v>
      </c>
      <c r="L621" t="s">
        <v>3610</v>
      </c>
      <c r="M621" t="s">
        <v>3609</v>
      </c>
      <c r="N621" t="s">
        <v>3845</v>
      </c>
      <c r="O621" t="s">
        <v>4213</v>
      </c>
      <c r="P621" t="s">
        <v>4241</v>
      </c>
      <c r="R621" t="s">
        <v>4258</v>
      </c>
      <c r="S621" t="s">
        <v>3610</v>
      </c>
      <c r="U621" t="s">
        <v>4268</v>
      </c>
      <c r="W621" t="s">
        <v>314</v>
      </c>
      <c r="X621">
        <v>170</v>
      </c>
      <c r="Y621" t="s">
        <v>4351</v>
      </c>
      <c r="Z621" t="s">
        <v>4354</v>
      </c>
      <c r="AB621" t="s">
        <v>4892</v>
      </c>
      <c r="AD621" t="s">
        <v>6276</v>
      </c>
      <c r="AE621">
        <v>60</v>
      </c>
      <c r="AF621" t="s">
        <v>7101</v>
      </c>
      <c r="AG621" t="s">
        <v>7116</v>
      </c>
      <c r="AH621">
        <v>17</v>
      </c>
      <c r="AI621">
        <v>1</v>
      </c>
      <c r="AJ621">
        <v>0</v>
      </c>
      <c r="AK621">
        <v>83.23</v>
      </c>
      <c r="AN621" t="s">
        <v>7139</v>
      </c>
      <c r="AO621">
        <v>10104</v>
      </c>
      <c r="AU621">
        <v>0.01</v>
      </c>
      <c r="AV621" t="s">
        <v>131</v>
      </c>
      <c r="AW621" t="s">
        <v>7342</v>
      </c>
    </row>
    <row r="622" spans="1:50">
      <c r="A622" s="1">
        <f>HYPERLINK("https://lsnyc.legalserver.org/matter/dynamic-profile/view/1857345","18-1857345")</f>
        <v>0</v>
      </c>
      <c r="B622" t="s">
        <v>67</v>
      </c>
      <c r="C622" t="s">
        <v>104</v>
      </c>
      <c r="D622" t="s">
        <v>451</v>
      </c>
      <c r="E622" t="s">
        <v>488</v>
      </c>
      <c r="F622" t="s">
        <v>1063</v>
      </c>
      <c r="G622" t="s">
        <v>1949</v>
      </c>
      <c r="H622" t="s">
        <v>2821</v>
      </c>
      <c r="I622" t="s">
        <v>3286</v>
      </c>
      <c r="J622" t="s">
        <v>3604</v>
      </c>
      <c r="K622">
        <v>10029</v>
      </c>
      <c r="L622" t="s">
        <v>3610</v>
      </c>
      <c r="M622" t="s">
        <v>3610</v>
      </c>
      <c r="O622" t="s">
        <v>4211</v>
      </c>
      <c r="P622" t="s">
        <v>4242</v>
      </c>
      <c r="Q622" t="s">
        <v>4250</v>
      </c>
      <c r="R622" t="s">
        <v>4258</v>
      </c>
      <c r="S622" t="s">
        <v>3610</v>
      </c>
      <c r="U622" t="s">
        <v>4268</v>
      </c>
      <c r="V622" t="s">
        <v>4274</v>
      </c>
      <c r="W622" t="s">
        <v>451</v>
      </c>
      <c r="X622">
        <v>1094.44</v>
      </c>
      <c r="Y622" t="s">
        <v>4351</v>
      </c>
      <c r="Z622" t="s">
        <v>4354</v>
      </c>
      <c r="AA622" t="s">
        <v>4373</v>
      </c>
      <c r="AB622" t="s">
        <v>4893</v>
      </c>
      <c r="AD622" t="s">
        <v>6277</v>
      </c>
      <c r="AE622">
        <v>24</v>
      </c>
      <c r="AF622" t="s">
        <v>7101</v>
      </c>
      <c r="AG622" t="s">
        <v>7116</v>
      </c>
      <c r="AH622">
        <v>27</v>
      </c>
      <c r="AI622">
        <v>2</v>
      </c>
      <c r="AJ622">
        <v>0</v>
      </c>
      <c r="AK622">
        <v>83.25</v>
      </c>
      <c r="AN622" t="s">
        <v>7138</v>
      </c>
      <c r="AO622">
        <v>13520</v>
      </c>
      <c r="AU622">
        <v>0.1</v>
      </c>
      <c r="AV622" t="s">
        <v>464</v>
      </c>
      <c r="AW622" t="s">
        <v>7341</v>
      </c>
    </row>
    <row r="623" spans="1:50">
      <c r="A623" s="1">
        <f>HYPERLINK("https://lsnyc.legalserver.org/matter/dynamic-profile/view/1893509","19-1893509")</f>
        <v>0</v>
      </c>
      <c r="B623" t="s">
        <v>69</v>
      </c>
      <c r="C623" t="s">
        <v>104</v>
      </c>
      <c r="D623" t="s">
        <v>352</v>
      </c>
      <c r="E623" t="s">
        <v>677</v>
      </c>
      <c r="F623" t="s">
        <v>750</v>
      </c>
      <c r="G623" t="s">
        <v>1746</v>
      </c>
      <c r="H623" t="s">
        <v>2822</v>
      </c>
      <c r="I623" t="s">
        <v>3333</v>
      </c>
      <c r="J623" t="s">
        <v>3604</v>
      </c>
      <c r="K623">
        <v>10029</v>
      </c>
      <c r="L623" t="s">
        <v>3610</v>
      </c>
      <c r="M623" t="s">
        <v>3610</v>
      </c>
      <c r="N623" t="s">
        <v>3846</v>
      </c>
      <c r="O623" t="s">
        <v>4209</v>
      </c>
      <c r="P623" t="s">
        <v>4242</v>
      </c>
      <c r="Q623" t="s">
        <v>4250</v>
      </c>
      <c r="R623" t="s">
        <v>4258</v>
      </c>
      <c r="S623" t="s">
        <v>3611</v>
      </c>
      <c r="U623" t="s">
        <v>4268</v>
      </c>
      <c r="V623" t="s">
        <v>4278</v>
      </c>
      <c r="W623" t="s">
        <v>500</v>
      </c>
      <c r="X623">
        <v>1200</v>
      </c>
      <c r="Y623" t="s">
        <v>4351</v>
      </c>
      <c r="Z623" t="s">
        <v>4363</v>
      </c>
      <c r="AA623" t="s">
        <v>4373</v>
      </c>
      <c r="AB623" t="s">
        <v>4894</v>
      </c>
      <c r="AC623" t="s">
        <v>3745</v>
      </c>
      <c r="AD623" t="s">
        <v>6278</v>
      </c>
      <c r="AE623">
        <v>30</v>
      </c>
      <c r="AF623" t="s">
        <v>7101</v>
      </c>
      <c r="AG623" t="s">
        <v>3745</v>
      </c>
      <c r="AH623">
        <v>25</v>
      </c>
      <c r="AI623">
        <v>1</v>
      </c>
      <c r="AJ623">
        <v>0</v>
      </c>
      <c r="AK623">
        <v>83.27</v>
      </c>
      <c r="AN623" t="s">
        <v>7138</v>
      </c>
      <c r="AO623">
        <v>10400</v>
      </c>
      <c r="AP623" t="s">
        <v>7158</v>
      </c>
      <c r="AU623">
        <v>3.8</v>
      </c>
      <c r="AV623" t="s">
        <v>682</v>
      </c>
      <c r="AW623" t="s">
        <v>7353</v>
      </c>
      <c r="AX623" t="s">
        <v>7377</v>
      </c>
    </row>
    <row r="624" spans="1:50">
      <c r="A624" s="1">
        <f>HYPERLINK("https://lsnyc.legalserver.org/matter/dynamic-profile/view/1854124","17-1854124")</f>
        <v>0</v>
      </c>
      <c r="B624" t="s">
        <v>69</v>
      </c>
      <c r="C624" t="s">
        <v>104</v>
      </c>
      <c r="D624" t="s">
        <v>452</v>
      </c>
      <c r="E624" t="s">
        <v>661</v>
      </c>
      <c r="F624" t="s">
        <v>1064</v>
      </c>
      <c r="G624" t="s">
        <v>1737</v>
      </c>
      <c r="H624" t="s">
        <v>2804</v>
      </c>
      <c r="I624">
        <v>15</v>
      </c>
      <c r="J624" t="s">
        <v>3604</v>
      </c>
      <c r="K624">
        <v>10035</v>
      </c>
      <c r="L624" t="s">
        <v>3610</v>
      </c>
      <c r="M624" t="s">
        <v>3610</v>
      </c>
      <c r="O624" t="s">
        <v>4211</v>
      </c>
      <c r="P624" t="s">
        <v>4244</v>
      </c>
      <c r="Q624" t="s">
        <v>4249</v>
      </c>
      <c r="R624" t="s">
        <v>4258</v>
      </c>
      <c r="S624" t="s">
        <v>3611</v>
      </c>
      <c r="U624" t="s">
        <v>4268</v>
      </c>
      <c r="V624" t="s">
        <v>4274</v>
      </c>
      <c r="W624" t="s">
        <v>452</v>
      </c>
      <c r="X624">
        <v>1472.05</v>
      </c>
      <c r="Y624" t="s">
        <v>4351</v>
      </c>
      <c r="Z624" t="s">
        <v>4354</v>
      </c>
      <c r="AA624" t="s">
        <v>4377</v>
      </c>
      <c r="AB624" t="s">
        <v>4895</v>
      </c>
      <c r="AD624" t="s">
        <v>6279</v>
      </c>
      <c r="AE624">
        <v>35</v>
      </c>
      <c r="AF624" t="s">
        <v>7106</v>
      </c>
      <c r="AG624" t="s">
        <v>7116</v>
      </c>
      <c r="AH624">
        <v>6</v>
      </c>
      <c r="AI624">
        <v>2</v>
      </c>
      <c r="AJ624">
        <v>0</v>
      </c>
      <c r="AK624">
        <v>83.34999999999999</v>
      </c>
      <c r="AN624" t="s">
        <v>7139</v>
      </c>
      <c r="AO624">
        <v>13536</v>
      </c>
      <c r="AU624">
        <v>20.85</v>
      </c>
      <c r="AV624" t="s">
        <v>591</v>
      </c>
      <c r="AW624" t="s">
        <v>7341</v>
      </c>
    </row>
    <row r="625" spans="1:50">
      <c r="A625" s="1">
        <f>HYPERLINK("https://lsnyc.legalserver.org/matter/dynamic-profile/view/1851997","17-1851997")</f>
        <v>0</v>
      </c>
      <c r="B625" t="s">
        <v>53</v>
      </c>
      <c r="C625" t="s">
        <v>104</v>
      </c>
      <c r="D625" t="s">
        <v>365</v>
      </c>
      <c r="E625" t="s">
        <v>109</v>
      </c>
      <c r="F625" t="s">
        <v>881</v>
      </c>
      <c r="G625" t="s">
        <v>1588</v>
      </c>
      <c r="H625" t="s">
        <v>2793</v>
      </c>
      <c r="I625" t="s">
        <v>3339</v>
      </c>
      <c r="J625" t="s">
        <v>3604</v>
      </c>
      <c r="K625">
        <v>10034</v>
      </c>
      <c r="L625" t="s">
        <v>3610</v>
      </c>
      <c r="M625" t="s">
        <v>3610</v>
      </c>
      <c r="N625" t="s">
        <v>3847</v>
      </c>
      <c r="O625" t="s">
        <v>4210</v>
      </c>
      <c r="P625" t="s">
        <v>4241</v>
      </c>
      <c r="Q625" t="s">
        <v>4248</v>
      </c>
      <c r="R625" t="s">
        <v>4258</v>
      </c>
      <c r="S625" t="s">
        <v>3611</v>
      </c>
      <c r="U625" t="s">
        <v>4268</v>
      </c>
      <c r="V625" t="s">
        <v>4274</v>
      </c>
      <c r="W625" t="s">
        <v>365</v>
      </c>
      <c r="X625">
        <v>215.56</v>
      </c>
      <c r="Y625" t="s">
        <v>4351</v>
      </c>
      <c r="Z625" t="s">
        <v>4357</v>
      </c>
      <c r="AA625" t="s">
        <v>4374</v>
      </c>
      <c r="AB625" t="s">
        <v>4839</v>
      </c>
      <c r="AD625" t="s">
        <v>6225</v>
      </c>
      <c r="AE625">
        <v>21</v>
      </c>
      <c r="AF625" t="s">
        <v>7104</v>
      </c>
      <c r="AG625" t="s">
        <v>3745</v>
      </c>
      <c r="AH625">
        <v>50</v>
      </c>
      <c r="AI625">
        <v>1</v>
      </c>
      <c r="AJ625">
        <v>0</v>
      </c>
      <c r="AK625">
        <v>83.38</v>
      </c>
      <c r="AN625" t="s">
        <v>7139</v>
      </c>
      <c r="AO625">
        <v>10056</v>
      </c>
      <c r="AU625">
        <v>1.6</v>
      </c>
      <c r="AV625" t="s">
        <v>322</v>
      </c>
      <c r="AW625" t="s">
        <v>7342</v>
      </c>
    </row>
    <row r="626" spans="1:50">
      <c r="A626" s="1">
        <f>HYPERLINK("https://lsnyc.legalserver.org/matter/dynamic-profile/view/0830518","17-0830518")</f>
        <v>0</v>
      </c>
      <c r="B626" t="s">
        <v>53</v>
      </c>
      <c r="C626" t="s">
        <v>104</v>
      </c>
      <c r="D626" t="s">
        <v>317</v>
      </c>
      <c r="E626" t="s">
        <v>109</v>
      </c>
      <c r="F626" t="s">
        <v>881</v>
      </c>
      <c r="G626" t="s">
        <v>1588</v>
      </c>
      <c r="H626" t="s">
        <v>2793</v>
      </c>
      <c r="I626" t="s">
        <v>3339</v>
      </c>
      <c r="J626" t="s">
        <v>3604</v>
      </c>
      <c r="K626">
        <v>10034</v>
      </c>
      <c r="L626" t="s">
        <v>3609</v>
      </c>
      <c r="M626" t="s">
        <v>3610</v>
      </c>
      <c r="N626" t="s">
        <v>3848</v>
      </c>
      <c r="O626" t="s">
        <v>4232</v>
      </c>
      <c r="P626" t="s">
        <v>4244</v>
      </c>
      <c r="Q626" t="s">
        <v>4254</v>
      </c>
      <c r="R626" t="s">
        <v>4258</v>
      </c>
      <c r="S626" t="s">
        <v>3611</v>
      </c>
      <c r="U626" t="s">
        <v>4268</v>
      </c>
      <c r="V626" t="s">
        <v>4274</v>
      </c>
      <c r="W626" t="s">
        <v>4282</v>
      </c>
      <c r="X626">
        <v>215.56</v>
      </c>
      <c r="Y626" t="s">
        <v>4351</v>
      </c>
      <c r="Z626" t="s">
        <v>4352</v>
      </c>
      <c r="AA626" t="s">
        <v>4379</v>
      </c>
      <c r="AB626" t="s">
        <v>4839</v>
      </c>
      <c r="AD626" t="s">
        <v>6225</v>
      </c>
      <c r="AE626">
        <v>21</v>
      </c>
      <c r="AF626" t="s">
        <v>7104</v>
      </c>
      <c r="AG626" t="s">
        <v>3745</v>
      </c>
      <c r="AH626">
        <v>50</v>
      </c>
      <c r="AI626">
        <v>1</v>
      </c>
      <c r="AJ626">
        <v>0</v>
      </c>
      <c r="AK626">
        <v>83.38</v>
      </c>
      <c r="AN626" t="s">
        <v>7139</v>
      </c>
      <c r="AO626">
        <v>10056</v>
      </c>
      <c r="AU626">
        <v>45.3</v>
      </c>
      <c r="AV626" t="s">
        <v>588</v>
      </c>
      <c r="AW626" t="s">
        <v>7341</v>
      </c>
    </row>
    <row r="627" spans="1:50">
      <c r="A627" s="1">
        <f>HYPERLINK("https://lsnyc.legalserver.org/matter/dynamic-profile/view/0821229","16-0821229")</f>
        <v>0</v>
      </c>
      <c r="B627" t="s">
        <v>51</v>
      </c>
      <c r="C627" t="s">
        <v>104</v>
      </c>
      <c r="D627" t="s">
        <v>436</v>
      </c>
      <c r="E627" t="s">
        <v>293</v>
      </c>
      <c r="F627" t="s">
        <v>956</v>
      </c>
      <c r="G627" t="s">
        <v>1673</v>
      </c>
      <c r="H627" t="s">
        <v>2823</v>
      </c>
      <c r="I627" t="s">
        <v>3428</v>
      </c>
      <c r="J627" t="s">
        <v>3604</v>
      </c>
      <c r="K627">
        <v>10029</v>
      </c>
      <c r="L627" t="s">
        <v>3610</v>
      </c>
      <c r="M627" t="s">
        <v>3610</v>
      </c>
      <c r="O627" t="s">
        <v>4211</v>
      </c>
      <c r="P627" t="s">
        <v>4242</v>
      </c>
      <c r="Q627" t="s">
        <v>4250</v>
      </c>
      <c r="R627" t="s">
        <v>4258</v>
      </c>
      <c r="S627" t="s">
        <v>3611</v>
      </c>
      <c r="U627" t="s">
        <v>4268</v>
      </c>
      <c r="V627" t="s">
        <v>4274</v>
      </c>
      <c r="W627" t="s">
        <v>436</v>
      </c>
      <c r="X627">
        <v>746</v>
      </c>
      <c r="Y627" t="s">
        <v>4351</v>
      </c>
      <c r="Z627" t="s">
        <v>4359</v>
      </c>
      <c r="AA627" t="s">
        <v>4373</v>
      </c>
      <c r="AB627" t="s">
        <v>4896</v>
      </c>
      <c r="AD627" t="s">
        <v>6280</v>
      </c>
      <c r="AE627">
        <v>8</v>
      </c>
      <c r="AF627" t="s">
        <v>7101</v>
      </c>
      <c r="AG627" t="s">
        <v>3745</v>
      </c>
      <c r="AH627">
        <v>37</v>
      </c>
      <c r="AI627">
        <v>2</v>
      </c>
      <c r="AJ627">
        <v>0</v>
      </c>
      <c r="AK627">
        <v>83.52</v>
      </c>
      <c r="AN627" t="s">
        <v>7138</v>
      </c>
      <c r="AO627">
        <v>13380</v>
      </c>
      <c r="AU627">
        <v>5.45</v>
      </c>
      <c r="AV627" t="s">
        <v>265</v>
      </c>
      <c r="AW627" t="s">
        <v>7364</v>
      </c>
    </row>
    <row r="628" spans="1:50">
      <c r="A628" s="1">
        <f>HYPERLINK("https://lsnyc.legalserver.org/matter/dynamic-profile/view/1858371","18-1858371")</f>
        <v>0</v>
      </c>
      <c r="B628" t="s">
        <v>93</v>
      </c>
      <c r="C628" t="s">
        <v>104</v>
      </c>
      <c r="D628" t="s">
        <v>453</v>
      </c>
      <c r="E628" t="s">
        <v>385</v>
      </c>
      <c r="F628" t="s">
        <v>1065</v>
      </c>
      <c r="G628" t="s">
        <v>1950</v>
      </c>
      <c r="H628" t="s">
        <v>2824</v>
      </c>
      <c r="I628" t="s">
        <v>3429</v>
      </c>
      <c r="J628" t="s">
        <v>3604</v>
      </c>
      <c r="K628">
        <v>10035</v>
      </c>
      <c r="L628" t="s">
        <v>3610</v>
      </c>
      <c r="M628" t="s">
        <v>3610</v>
      </c>
      <c r="N628" t="s">
        <v>3849</v>
      </c>
      <c r="O628" t="s">
        <v>4209</v>
      </c>
      <c r="P628" t="s">
        <v>4241</v>
      </c>
      <c r="Q628" t="s">
        <v>4248</v>
      </c>
      <c r="R628" t="s">
        <v>4258</v>
      </c>
      <c r="S628" t="s">
        <v>3611</v>
      </c>
      <c r="U628" t="s">
        <v>4268</v>
      </c>
      <c r="V628" t="s">
        <v>4275</v>
      </c>
      <c r="W628" t="s">
        <v>453</v>
      </c>
      <c r="X628">
        <v>696</v>
      </c>
      <c r="Y628" t="s">
        <v>4351</v>
      </c>
      <c r="Z628" t="s">
        <v>4352</v>
      </c>
      <c r="AA628" t="s">
        <v>4374</v>
      </c>
      <c r="AB628" t="s">
        <v>4897</v>
      </c>
      <c r="AD628" t="s">
        <v>6281</v>
      </c>
      <c r="AE628">
        <v>150</v>
      </c>
      <c r="AF628" t="s">
        <v>7101</v>
      </c>
      <c r="AG628" t="s">
        <v>7116</v>
      </c>
      <c r="AH628">
        <v>3</v>
      </c>
      <c r="AI628">
        <v>1</v>
      </c>
      <c r="AJ628">
        <v>0</v>
      </c>
      <c r="AK628">
        <v>83.58</v>
      </c>
      <c r="AL628" t="s">
        <v>226</v>
      </c>
      <c r="AN628" t="s">
        <v>7138</v>
      </c>
      <c r="AO628">
        <v>10080</v>
      </c>
      <c r="AU628">
        <v>17.8</v>
      </c>
      <c r="AV628" t="s">
        <v>444</v>
      </c>
      <c r="AW628" t="s">
        <v>7341</v>
      </c>
    </row>
    <row r="629" spans="1:50">
      <c r="A629" s="1">
        <f>HYPERLINK("https://lsnyc.legalserver.org/matter/dynamic-profile/view/0828133","17-0828133")</f>
        <v>0</v>
      </c>
      <c r="B629" t="s">
        <v>53</v>
      </c>
      <c r="C629" t="s">
        <v>104</v>
      </c>
      <c r="D629" t="s">
        <v>454</v>
      </c>
      <c r="E629" t="s">
        <v>396</v>
      </c>
      <c r="F629" t="s">
        <v>997</v>
      </c>
      <c r="G629" t="s">
        <v>1877</v>
      </c>
      <c r="H629" t="s">
        <v>2757</v>
      </c>
      <c r="I629" t="s">
        <v>3410</v>
      </c>
      <c r="J629" t="s">
        <v>3604</v>
      </c>
      <c r="K629">
        <v>10034</v>
      </c>
      <c r="L629" t="s">
        <v>3610</v>
      </c>
      <c r="M629" t="s">
        <v>3609</v>
      </c>
      <c r="N629" t="s">
        <v>3850</v>
      </c>
      <c r="O629" t="s">
        <v>4210</v>
      </c>
      <c r="P629" t="s">
        <v>4241</v>
      </c>
      <c r="Q629" t="s">
        <v>4253</v>
      </c>
      <c r="R629" t="s">
        <v>4258</v>
      </c>
      <c r="S629" t="s">
        <v>3611</v>
      </c>
      <c r="U629" t="s">
        <v>4268</v>
      </c>
      <c r="V629" t="s">
        <v>4274</v>
      </c>
      <c r="W629" t="s">
        <v>4311</v>
      </c>
      <c r="X629">
        <v>544.6799999999999</v>
      </c>
      <c r="Y629" t="s">
        <v>4351</v>
      </c>
      <c r="Z629" t="s">
        <v>4361</v>
      </c>
      <c r="AA629" t="s">
        <v>4374</v>
      </c>
      <c r="AB629" t="s">
        <v>4784</v>
      </c>
      <c r="AD629" t="s">
        <v>6179</v>
      </c>
      <c r="AE629">
        <v>200</v>
      </c>
      <c r="AF629" t="s">
        <v>7104</v>
      </c>
      <c r="AG629" t="s">
        <v>3745</v>
      </c>
      <c r="AH629">
        <v>24</v>
      </c>
      <c r="AI629">
        <v>1</v>
      </c>
      <c r="AJ629">
        <v>0</v>
      </c>
      <c r="AK629">
        <v>83.58</v>
      </c>
      <c r="AN629" t="s">
        <v>7138</v>
      </c>
      <c r="AO629">
        <v>10080</v>
      </c>
      <c r="AQ629" t="s">
        <v>7202</v>
      </c>
      <c r="AR629" t="s">
        <v>7219</v>
      </c>
      <c r="AS629" t="s">
        <v>7231</v>
      </c>
      <c r="AT629" t="s">
        <v>7244</v>
      </c>
      <c r="AU629">
        <v>179.56</v>
      </c>
      <c r="AV629" t="s">
        <v>4296</v>
      </c>
      <c r="AW629" t="s">
        <v>7360</v>
      </c>
      <c r="AX629" t="s">
        <v>7377</v>
      </c>
    </row>
    <row r="630" spans="1:50">
      <c r="A630" s="1">
        <f>HYPERLINK("https://lsnyc.legalserver.org/matter/dynamic-profile/view/1850542","17-1850542")</f>
        <v>0</v>
      </c>
      <c r="B630" t="s">
        <v>61</v>
      </c>
      <c r="C630" t="s">
        <v>105</v>
      </c>
      <c r="D630" t="s">
        <v>455</v>
      </c>
      <c r="F630" t="s">
        <v>1066</v>
      </c>
      <c r="G630" t="s">
        <v>1768</v>
      </c>
      <c r="H630" t="s">
        <v>2741</v>
      </c>
      <c r="I630">
        <v>23</v>
      </c>
      <c r="J630" t="s">
        <v>3604</v>
      </c>
      <c r="K630">
        <v>10034</v>
      </c>
      <c r="L630" t="s">
        <v>3610</v>
      </c>
      <c r="M630" t="s">
        <v>3609</v>
      </c>
      <c r="O630" t="s">
        <v>4213</v>
      </c>
      <c r="P630" t="s">
        <v>4246</v>
      </c>
      <c r="R630" t="s">
        <v>4258</v>
      </c>
      <c r="S630" t="s">
        <v>3610</v>
      </c>
      <c r="U630" t="s">
        <v>4268</v>
      </c>
      <c r="W630" t="s">
        <v>455</v>
      </c>
      <c r="X630">
        <v>850</v>
      </c>
      <c r="Y630" t="s">
        <v>4351</v>
      </c>
      <c r="Z630" t="s">
        <v>4354</v>
      </c>
      <c r="AB630" t="s">
        <v>4898</v>
      </c>
      <c r="AD630" t="s">
        <v>6282</v>
      </c>
      <c r="AE630">
        <v>25</v>
      </c>
      <c r="AF630" t="s">
        <v>7101</v>
      </c>
      <c r="AG630" t="s">
        <v>7118</v>
      </c>
      <c r="AH630">
        <v>35</v>
      </c>
      <c r="AI630">
        <v>1</v>
      </c>
      <c r="AJ630">
        <v>0</v>
      </c>
      <c r="AK630">
        <v>83.58</v>
      </c>
      <c r="AN630" t="s">
        <v>7139</v>
      </c>
      <c r="AO630">
        <v>10080</v>
      </c>
      <c r="AU630">
        <v>1.5</v>
      </c>
      <c r="AV630" t="s">
        <v>410</v>
      </c>
      <c r="AW630" t="s">
        <v>7342</v>
      </c>
    </row>
    <row r="631" spans="1:50">
      <c r="A631" s="1">
        <f>HYPERLINK("https://lsnyc.legalserver.org/matter/dynamic-profile/view/1856069","18-1856069")</f>
        <v>0</v>
      </c>
      <c r="B631" t="s">
        <v>64</v>
      </c>
      <c r="C631" t="s">
        <v>104</v>
      </c>
      <c r="D631" t="s">
        <v>456</v>
      </c>
      <c r="E631" t="s">
        <v>319</v>
      </c>
      <c r="F631" t="s">
        <v>1033</v>
      </c>
      <c r="G631" t="s">
        <v>1867</v>
      </c>
      <c r="H631" t="s">
        <v>2642</v>
      </c>
      <c r="I631" t="s">
        <v>3333</v>
      </c>
      <c r="J631" t="s">
        <v>3604</v>
      </c>
      <c r="K631">
        <v>10034</v>
      </c>
      <c r="L631" t="s">
        <v>3610</v>
      </c>
      <c r="M631" t="s">
        <v>3609</v>
      </c>
      <c r="O631" t="s">
        <v>4213</v>
      </c>
      <c r="P631" t="s">
        <v>4241</v>
      </c>
      <c r="Q631" t="s">
        <v>4248</v>
      </c>
      <c r="R631" t="s">
        <v>4258</v>
      </c>
      <c r="S631" t="s">
        <v>3610</v>
      </c>
      <c r="U631" t="s">
        <v>4268</v>
      </c>
      <c r="W631" t="s">
        <v>456</v>
      </c>
      <c r="X631">
        <v>632.42</v>
      </c>
      <c r="Y631" t="s">
        <v>4351</v>
      </c>
      <c r="Z631" t="s">
        <v>4357</v>
      </c>
      <c r="AA631" t="s">
        <v>4379</v>
      </c>
      <c r="AB631" t="s">
        <v>4844</v>
      </c>
      <c r="AD631" t="s">
        <v>6229</v>
      </c>
      <c r="AE631">
        <v>49</v>
      </c>
      <c r="AF631" t="s">
        <v>7101</v>
      </c>
      <c r="AG631" t="s">
        <v>7116</v>
      </c>
      <c r="AH631">
        <v>35</v>
      </c>
      <c r="AI631">
        <v>1</v>
      </c>
      <c r="AJ631">
        <v>0</v>
      </c>
      <c r="AK631">
        <v>83.58</v>
      </c>
      <c r="AN631" t="s">
        <v>7139</v>
      </c>
      <c r="AO631">
        <v>10080</v>
      </c>
      <c r="AU631">
        <v>1.65</v>
      </c>
      <c r="AV631" t="s">
        <v>319</v>
      </c>
      <c r="AW631" t="s">
        <v>7342</v>
      </c>
    </row>
    <row r="632" spans="1:50">
      <c r="A632" s="1">
        <f>HYPERLINK("https://lsnyc.legalserver.org/matter/dynamic-profile/view/1859108","18-1859108")</f>
        <v>0</v>
      </c>
      <c r="B632" t="s">
        <v>56</v>
      </c>
      <c r="C632" t="s">
        <v>104</v>
      </c>
      <c r="D632" t="s">
        <v>457</v>
      </c>
      <c r="E632" t="s">
        <v>665</v>
      </c>
      <c r="F632" t="s">
        <v>982</v>
      </c>
      <c r="G632" t="s">
        <v>1908</v>
      </c>
      <c r="H632" t="s">
        <v>2556</v>
      </c>
      <c r="I632">
        <v>22</v>
      </c>
      <c r="J632" t="s">
        <v>3604</v>
      </c>
      <c r="K632">
        <v>10034</v>
      </c>
      <c r="L632" t="s">
        <v>3610</v>
      </c>
      <c r="M632" t="s">
        <v>3610</v>
      </c>
      <c r="O632" t="s">
        <v>4211</v>
      </c>
      <c r="P632" t="s">
        <v>4245</v>
      </c>
      <c r="Q632" t="s">
        <v>4249</v>
      </c>
      <c r="R632" t="s">
        <v>4258</v>
      </c>
      <c r="S632" t="s">
        <v>3611</v>
      </c>
      <c r="U632" t="s">
        <v>4268</v>
      </c>
      <c r="W632" t="s">
        <v>457</v>
      </c>
      <c r="X632">
        <v>860.67</v>
      </c>
      <c r="Y632" t="s">
        <v>4351</v>
      </c>
      <c r="Z632" t="s">
        <v>4354</v>
      </c>
      <c r="AA632" t="s">
        <v>4377</v>
      </c>
      <c r="AB632" t="s">
        <v>4828</v>
      </c>
      <c r="AD632" t="s">
        <v>6283</v>
      </c>
      <c r="AE632">
        <v>25</v>
      </c>
      <c r="AF632" t="s">
        <v>7101</v>
      </c>
      <c r="AG632" t="s">
        <v>7116</v>
      </c>
      <c r="AH632">
        <v>39</v>
      </c>
      <c r="AI632">
        <v>1</v>
      </c>
      <c r="AJ632">
        <v>0</v>
      </c>
      <c r="AK632">
        <v>83.58</v>
      </c>
      <c r="AN632" t="s">
        <v>7139</v>
      </c>
      <c r="AO632">
        <v>10080</v>
      </c>
      <c r="AU632">
        <v>5.75</v>
      </c>
      <c r="AV632" t="s">
        <v>665</v>
      </c>
      <c r="AW632" t="s">
        <v>7342</v>
      </c>
    </row>
    <row r="633" spans="1:50">
      <c r="A633" s="1">
        <f>HYPERLINK("https://lsnyc.legalserver.org/matter/dynamic-profile/view/0830250","17-0830250")</f>
        <v>0</v>
      </c>
      <c r="B633" t="s">
        <v>72</v>
      </c>
      <c r="C633" t="s">
        <v>104</v>
      </c>
      <c r="D633" t="s">
        <v>458</v>
      </c>
      <c r="E633" t="s">
        <v>424</v>
      </c>
      <c r="F633" t="s">
        <v>1067</v>
      </c>
      <c r="G633" t="s">
        <v>1653</v>
      </c>
      <c r="H633" t="s">
        <v>2622</v>
      </c>
      <c r="I633" t="s">
        <v>3430</v>
      </c>
      <c r="J633" t="s">
        <v>3604</v>
      </c>
      <c r="K633">
        <v>10035</v>
      </c>
      <c r="L633" t="s">
        <v>3610</v>
      </c>
      <c r="M633" t="s">
        <v>3609</v>
      </c>
      <c r="N633" t="s">
        <v>3851</v>
      </c>
      <c r="O633" t="s">
        <v>4209</v>
      </c>
      <c r="P633" t="s">
        <v>4241</v>
      </c>
      <c r="Q633" t="s">
        <v>4249</v>
      </c>
      <c r="R633" t="s">
        <v>4258</v>
      </c>
      <c r="S633" t="s">
        <v>3611</v>
      </c>
      <c r="U633" t="s">
        <v>4268</v>
      </c>
      <c r="V633" t="s">
        <v>4274</v>
      </c>
      <c r="W633" t="s">
        <v>4312</v>
      </c>
      <c r="X633">
        <v>1798</v>
      </c>
      <c r="Y633" t="s">
        <v>4351</v>
      </c>
      <c r="Z633" t="s">
        <v>4354</v>
      </c>
      <c r="AA633" t="s">
        <v>4377</v>
      </c>
      <c r="AB633" t="s">
        <v>4899</v>
      </c>
      <c r="AD633" t="s">
        <v>6284</v>
      </c>
      <c r="AE633">
        <v>72</v>
      </c>
      <c r="AF633" t="s">
        <v>7101</v>
      </c>
      <c r="AG633" t="s">
        <v>7116</v>
      </c>
      <c r="AH633">
        <v>9</v>
      </c>
      <c r="AI633">
        <v>4</v>
      </c>
      <c r="AJ633">
        <v>0</v>
      </c>
      <c r="AK633">
        <v>83.62</v>
      </c>
      <c r="AN633" t="s">
        <v>7138</v>
      </c>
      <c r="AO633">
        <v>20571</v>
      </c>
      <c r="AU633">
        <v>66.8</v>
      </c>
      <c r="AV633" t="s">
        <v>7314</v>
      </c>
      <c r="AW633" t="s">
        <v>7341</v>
      </c>
      <c r="AX633" t="s">
        <v>7377</v>
      </c>
    </row>
    <row r="634" spans="1:50">
      <c r="A634" s="1">
        <f>HYPERLINK("https://lsnyc.legalserver.org/matter/dynamic-profile/view/0832472","17-0832472")</f>
        <v>0</v>
      </c>
      <c r="B634" t="s">
        <v>78</v>
      </c>
      <c r="C634" t="s">
        <v>105</v>
      </c>
      <c r="D634" t="s">
        <v>459</v>
      </c>
      <c r="F634" t="s">
        <v>1067</v>
      </c>
      <c r="G634" t="s">
        <v>1653</v>
      </c>
      <c r="H634" t="s">
        <v>2622</v>
      </c>
      <c r="I634" t="s">
        <v>3430</v>
      </c>
      <c r="J634" t="s">
        <v>3604</v>
      </c>
      <c r="K634">
        <v>10035</v>
      </c>
      <c r="L634" t="s">
        <v>3610</v>
      </c>
      <c r="M634" t="s">
        <v>3609</v>
      </c>
      <c r="O634" t="s">
        <v>4228</v>
      </c>
      <c r="P634" t="s">
        <v>4243</v>
      </c>
      <c r="R634" t="s">
        <v>4258</v>
      </c>
      <c r="S634" t="s">
        <v>3611</v>
      </c>
      <c r="U634" t="s">
        <v>4269</v>
      </c>
      <c r="W634" t="s">
        <v>412</v>
      </c>
      <c r="X634">
        <v>1798</v>
      </c>
      <c r="Y634" t="s">
        <v>4351</v>
      </c>
      <c r="Z634" t="s">
        <v>4354</v>
      </c>
      <c r="AB634" t="s">
        <v>4899</v>
      </c>
      <c r="AD634" t="s">
        <v>6284</v>
      </c>
      <c r="AE634">
        <v>72</v>
      </c>
      <c r="AF634" t="s">
        <v>7101</v>
      </c>
      <c r="AG634" t="s">
        <v>7116</v>
      </c>
      <c r="AH634">
        <v>0</v>
      </c>
      <c r="AI634">
        <v>4</v>
      </c>
      <c r="AJ634">
        <v>0</v>
      </c>
      <c r="AK634">
        <v>83.62</v>
      </c>
      <c r="AN634" t="s">
        <v>7138</v>
      </c>
      <c r="AO634">
        <v>32046</v>
      </c>
      <c r="AU634">
        <v>33.8</v>
      </c>
      <c r="AV634" t="s">
        <v>678</v>
      </c>
      <c r="AW634" t="s">
        <v>7341</v>
      </c>
    </row>
    <row r="635" spans="1:50">
      <c r="A635" s="1">
        <f>HYPERLINK("https://lsnyc.legalserver.org/matter/dynamic-profile/view/1889049","19-1889049")</f>
        <v>0</v>
      </c>
      <c r="B635" t="s">
        <v>53</v>
      </c>
      <c r="C635" t="s">
        <v>105</v>
      </c>
      <c r="D635" t="s">
        <v>145</v>
      </c>
      <c r="F635" t="s">
        <v>1068</v>
      </c>
      <c r="G635" t="s">
        <v>1681</v>
      </c>
      <c r="H635" t="s">
        <v>2825</v>
      </c>
      <c r="I635" t="s">
        <v>3287</v>
      </c>
      <c r="J635" t="s">
        <v>3604</v>
      </c>
      <c r="K635">
        <v>10035</v>
      </c>
      <c r="L635" t="s">
        <v>3610</v>
      </c>
      <c r="M635" t="s">
        <v>3610</v>
      </c>
      <c r="O635" t="s">
        <v>4211</v>
      </c>
      <c r="P635" t="s">
        <v>4242</v>
      </c>
      <c r="R635" t="s">
        <v>4258</v>
      </c>
      <c r="S635" t="s">
        <v>3611</v>
      </c>
      <c r="U635" t="s">
        <v>4268</v>
      </c>
      <c r="V635" t="s">
        <v>4274</v>
      </c>
      <c r="W635" t="s">
        <v>174</v>
      </c>
      <c r="X635">
        <v>1483.36</v>
      </c>
      <c r="Y635" t="s">
        <v>4351</v>
      </c>
      <c r="Z635" t="s">
        <v>4352</v>
      </c>
      <c r="AB635" t="s">
        <v>4900</v>
      </c>
      <c r="AD635" t="s">
        <v>6285</v>
      </c>
      <c r="AE635">
        <v>1</v>
      </c>
      <c r="AF635" t="s">
        <v>7101</v>
      </c>
      <c r="AG635" t="s">
        <v>7116</v>
      </c>
      <c r="AH635">
        <v>16</v>
      </c>
      <c r="AI635">
        <v>1</v>
      </c>
      <c r="AJ635">
        <v>0</v>
      </c>
      <c r="AK635">
        <v>83.68000000000001</v>
      </c>
      <c r="AN635" t="s">
        <v>7138</v>
      </c>
      <c r="AO635">
        <v>10452</v>
      </c>
      <c r="AP635" t="s">
        <v>7178</v>
      </c>
      <c r="AU635">
        <v>3.2</v>
      </c>
      <c r="AV635" t="s">
        <v>7293</v>
      </c>
      <c r="AW635" t="s">
        <v>7341</v>
      </c>
    </row>
    <row r="636" spans="1:50">
      <c r="A636" s="1">
        <f>HYPERLINK("https://lsnyc.legalserver.org/matter/dynamic-profile/view/1851891","17-1851891")</f>
        <v>0</v>
      </c>
      <c r="B636" t="s">
        <v>86</v>
      </c>
      <c r="C636" t="s">
        <v>104</v>
      </c>
      <c r="D636" t="s">
        <v>365</v>
      </c>
      <c r="E636" t="s">
        <v>175</v>
      </c>
      <c r="F636" t="s">
        <v>1069</v>
      </c>
      <c r="G636" t="s">
        <v>1579</v>
      </c>
      <c r="H636" t="s">
        <v>2826</v>
      </c>
      <c r="I636">
        <v>51</v>
      </c>
      <c r="J636" t="s">
        <v>3604</v>
      </c>
      <c r="K636">
        <v>10031</v>
      </c>
      <c r="L636" t="s">
        <v>3610</v>
      </c>
      <c r="M636" t="s">
        <v>3609</v>
      </c>
      <c r="N636" t="s">
        <v>3852</v>
      </c>
      <c r="O636" t="s">
        <v>4209</v>
      </c>
      <c r="P636" t="s">
        <v>4242</v>
      </c>
      <c r="Q636" t="s">
        <v>4250</v>
      </c>
      <c r="R636" t="s">
        <v>4258</v>
      </c>
      <c r="S636" t="s">
        <v>3611</v>
      </c>
      <c r="T636" t="s">
        <v>4259</v>
      </c>
      <c r="U636" t="s">
        <v>4268</v>
      </c>
      <c r="W636" t="s">
        <v>428</v>
      </c>
      <c r="X636">
        <v>1237.59</v>
      </c>
      <c r="Y636" t="s">
        <v>4351</v>
      </c>
      <c r="Z636" t="s">
        <v>4353</v>
      </c>
      <c r="AA636" t="s">
        <v>4373</v>
      </c>
      <c r="AB636" t="s">
        <v>4901</v>
      </c>
      <c r="AD636" t="s">
        <v>6286</v>
      </c>
      <c r="AE636">
        <v>15</v>
      </c>
      <c r="AF636" t="s">
        <v>7105</v>
      </c>
      <c r="AG636" t="s">
        <v>4228</v>
      </c>
      <c r="AH636">
        <v>20</v>
      </c>
      <c r="AI636">
        <v>2</v>
      </c>
      <c r="AJ636">
        <v>1</v>
      </c>
      <c r="AK636">
        <v>83.72</v>
      </c>
      <c r="AN636" t="s">
        <v>7139</v>
      </c>
      <c r="AO636">
        <v>17096</v>
      </c>
      <c r="AU636">
        <v>0.9</v>
      </c>
      <c r="AV636" t="s">
        <v>578</v>
      </c>
      <c r="AW636" t="s">
        <v>7344</v>
      </c>
    </row>
    <row r="637" spans="1:50">
      <c r="A637" s="1">
        <f>HYPERLINK("https://lsnyc.legalserver.org/matter/dynamic-profile/view/1902350","19-1902350")</f>
        <v>0</v>
      </c>
      <c r="B637" t="s">
        <v>52</v>
      </c>
      <c r="C637" t="s">
        <v>105</v>
      </c>
      <c r="D637" t="s">
        <v>143</v>
      </c>
      <c r="F637" t="s">
        <v>1070</v>
      </c>
      <c r="G637" t="s">
        <v>1768</v>
      </c>
      <c r="H637" t="s">
        <v>2612</v>
      </c>
      <c r="I637" t="s">
        <v>3318</v>
      </c>
      <c r="J637" t="s">
        <v>3604</v>
      </c>
      <c r="K637">
        <v>10034</v>
      </c>
      <c r="L637" t="s">
        <v>3610</v>
      </c>
      <c r="M637" t="s">
        <v>3609</v>
      </c>
      <c r="P637" t="s">
        <v>4242</v>
      </c>
      <c r="R637" t="s">
        <v>4258</v>
      </c>
      <c r="S637" t="s">
        <v>3611</v>
      </c>
      <c r="U637" t="s">
        <v>4268</v>
      </c>
      <c r="W637" t="s">
        <v>143</v>
      </c>
      <c r="X637">
        <v>865.75</v>
      </c>
      <c r="Y637" t="s">
        <v>4351</v>
      </c>
      <c r="Z637" t="s">
        <v>4354</v>
      </c>
      <c r="AB637" t="s">
        <v>4902</v>
      </c>
      <c r="AD637" t="s">
        <v>6287</v>
      </c>
      <c r="AE637">
        <v>48</v>
      </c>
      <c r="AF637" t="s">
        <v>7101</v>
      </c>
      <c r="AG637" t="s">
        <v>3745</v>
      </c>
      <c r="AH637">
        <v>39</v>
      </c>
      <c r="AI637">
        <v>2</v>
      </c>
      <c r="AJ637">
        <v>0</v>
      </c>
      <c r="AK637">
        <v>83.81</v>
      </c>
      <c r="AN637" t="s">
        <v>7139</v>
      </c>
      <c r="AO637">
        <v>14172</v>
      </c>
      <c r="AU637">
        <v>3.3</v>
      </c>
      <c r="AV637" t="s">
        <v>325</v>
      </c>
      <c r="AW637" t="s">
        <v>7342</v>
      </c>
      <c r="AX637" t="s">
        <v>7377</v>
      </c>
    </row>
    <row r="638" spans="1:50">
      <c r="A638" s="1">
        <f>HYPERLINK("https://lsnyc.legalserver.org/matter/dynamic-profile/view/1901238","19-1901238")</f>
        <v>0</v>
      </c>
      <c r="B638" t="s">
        <v>64</v>
      </c>
      <c r="C638" t="s">
        <v>105</v>
      </c>
      <c r="D638" t="s">
        <v>426</v>
      </c>
      <c r="F638" t="s">
        <v>815</v>
      </c>
      <c r="G638" t="s">
        <v>1596</v>
      </c>
      <c r="H638" t="s">
        <v>2827</v>
      </c>
      <c r="I638">
        <v>35</v>
      </c>
      <c r="J638" t="s">
        <v>3604</v>
      </c>
      <c r="K638">
        <v>10032</v>
      </c>
      <c r="L638" t="s">
        <v>3610</v>
      </c>
      <c r="M638" t="s">
        <v>3609</v>
      </c>
      <c r="O638" t="s">
        <v>4219</v>
      </c>
      <c r="P638" t="s">
        <v>4245</v>
      </c>
      <c r="R638" t="s">
        <v>4258</v>
      </c>
      <c r="S638" t="s">
        <v>3611</v>
      </c>
      <c r="U638" t="s">
        <v>4268</v>
      </c>
      <c r="W638" t="s">
        <v>426</v>
      </c>
      <c r="X638">
        <v>1147.19</v>
      </c>
      <c r="Y638" t="s">
        <v>4351</v>
      </c>
      <c r="Z638" t="s">
        <v>4354</v>
      </c>
      <c r="AB638" t="s">
        <v>4903</v>
      </c>
      <c r="AD638" t="s">
        <v>6288</v>
      </c>
      <c r="AE638">
        <v>30</v>
      </c>
      <c r="AF638" t="s">
        <v>7101</v>
      </c>
      <c r="AG638" t="s">
        <v>7118</v>
      </c>
      <c r="AH638">
        <v>27</v>
      </c>
      <c r="AI638">
        <v>3</v>
      </c>
      <c r="AJ638">
        <v>0</v>
      </c>
      <c r="AK638">
        <v>83.83</v>
      </c>
      <c r="AN638" t="s">
        <v>7139</v>
      </c>
      <c r="AO638">
        <v>17880</v>
      </c>
      <c r="AU638">
        <v>3.13</v>
      </c>
      <c r="AV638" t="s">
        <v>529</v>
      </c>
      <c r="AW638" t="s">
        <v>7342</v>
      </c>
      <c r="AX638" t="s">
        <v>7377</v>
      </c>
    </row>
    <row r="639" spans="1:50">
      <c r="A639" s="1">
        <f>HYPERLINK("https://lsnyc.legalserver.org/matter/dynamic-profile/view/1849878","17-1849878")</f>
        <v>0</v>
      </c>
      <c r="B639" t="s">
        <v>82</v>
      </c>
      <c r="C639" t="s">
        <v>104</v>
      </c>
      <c r="D639" t="s">
        <v>281</v>
      </c>
      <c r="E639" t="s">
        <v>271</v>
      </c>
      <c r="F639" t="s">
        <v>1071</v>
      </c>
      <c r="G639" t="s">
        <v>1951</v>
      </c>
      <c r="H639" t="s">
        <v>2828</v>
      </c>
      <c r="I639" t="s">
        <v>3431</v>
      </c>
      <c r="J639" t="s">
        <v>3604</v>
      </c>
      <c r="K639">
        <v>10034</v>
      </c>
      <c r="L639" t="s">
        <v>3610</v>
      </c>
      <c r="M639" t="s">
        <v>3609</v>
      </c>
      <c r="P639" t="s">
        <v>4242</v>
      </c>
      <c r="Q639" t="s">
        <v>4250</v>
      </c>
      <c r="R639" t="s">
        <v>4258</v>
      </c>
      <c r="S639" t="s">
        <v>3611</v>
      </c>
      <c r="U639" t="s">
        <v>4268</v>
      </c>
      <c r="W639" t="s">
        <v>281</v>
      </c>
      <c r="X639">
        <v>304.99</v>
      </c>
      <c r="Y639" t="s">
        <v>4351</v>
      </c>
      <c r="Z639" t="s">
        <v>4354</v>
      </c>
      <c r="AA639" t="s">
        <v>4373</v>
      </c>
      <c r="AB639" t="s">
        <v>4904</v>
      </c>
      <c r="AD639" t="s">
        <v>6289</v>
      </c>
      <c r="AE639">
        <v>65</v>
      </c>
      <c r="AF639" t="s">
        <v>7101</v>
      </c>
      <c r="AG639" t="s">
        <v>3745</v>
      </c>
      <c r="AH639">
        <v>50</v>
      </c>
      <c r="AI639">
        <v>1</v>
      </c>
      <c r="AJ639">
        <v>0</v>
      </c>
      <c r="AK639">
        <v>83.88</v>
      </c>
      <c r="AN639" t="s">
        <v>7138</v>
      </c>
      <c r="AO639">
        <v>10116</v>
      </c>
      <c r="AU639">
        <v>1.3</v>
      </c>
      <c r="AV639" t="s">
        <v>271</v>
      </c>
      <c r="AW639" t="s">
        <v>7342</v>
      </c>
    </row>
    <row r="640" spans="1:50">
      <c r="A640" s="1">
        <f>HYPERLINK("https://lsnyc.legalserver.org/matter/dynamic-profile/view/1882713","18-1882713")</f>
        <v>0</v>
      </c>
      <c r="B640" t="s">
        <v>56</v>
      </c>
      <c r="C640" t="s">
        <v>104</v>
      </c>
      <c r="D640" t="s">
        <v>192</v>
      </c>
      <c r="E640" t="s">
        <v>636</v>
      </c>
      <c r="F640" t="s">
        <v>820</v>
      </c>
      <c r="G640" t="s">
        <v>1952</v>
      </c>
      <c r="H640" t="s">
        <v>2829</v>
      </c>
      <c r="I640" t="s">
        <v>3367</v>
      </c>
      <c r="J640" t="s">
        <v>3604</v>
      </c>
      <c r="K640">
        <v>10034</v>
      </c>
      <c r="L640" t="s">
        <v>3610</v>
      </c>
      <c r="M640" t="s">
        <v>3610</v>
      </c>
      <c r="O640" t="s">
        <v>4218</v>
      </c>
      <c r="P640" t="s">
        <v>4242</v>
      </c>
      <c r="Q640" t="s">
        <v>4250</v>
      </c>
      <c r="R640" t="s">
        <v>4258</v>
      </c>
      <c r="S640" t="s">
        <v>3611</v>
      </c>
      <c r="U640" t="s">
        <v>4268</v>
      </c>
      <c r="W640" t="s">
        <v>192</v>
      </c>
      <c r="X640">
        <v>959</v>
      </c>
      <c r="Y640" t="s">
        <v>4351</v>
      </c>
      <c r="Z640" t="s">
        <v>4357</v>
      </c>
      <c r="AA640" t="s">
        <v>4373</v>
      </c>
      <c r="AB640" t="s">
        <v>4905</v>
      </c>
      <c r="AD640" t="s">
        <v>6290</v>
      </c>
      <c r="AE640">
        <v>54</v>
      </c>
      <c r="AF640" t="s">
        <v>7101</v>
      </c>
      <c r="AG640" t="s">
        <v>3745</v>
      </c>
      <c r="AH640">
        <v>19</v>
      </c>
      <c r="AI640">
        <v>1</v>
      </c>
      <c r="AJ640">
        <v>0</v>
      </c>
      <c r="AK640">
        <v>84.02</v>
      </c>
      <c r="AN640" t="s">
        <v>7139</v>
      </c>
      <c r="AO640">
        <v>10200</v>
      </c>
      <c r="AU640">
        <v>0.15</v>
      </c>
      <c r="AV640" t="s">
        <v>636</v>
      </c>
      <c r="AW640" t="s">
        <v>7342</v>
      </c>
    </row>
    <row r="641" spans="1:50">
      <c r="A641" s="1">
        <f>HYPERLINK("https://lsnyc.legalserver.org/matter/dynamic-profile/view/1865953","18-1865953")</f>
        <v>0</v>
      </c>
      <c r="B641" t="s">
        <v>61</v>
      </c>
      <c r="C641" t="s">
        <v>104</v>
      </c>
      <c r="D641" t="s">
        <v>460</v>
      </c>
      <c r="E641" t="s">
        <v>662</v>
      </c>
      <c r="F641" t="s">
        <v>1072</v>
      </c>
      <c r="G641" t="s">
        <v>1459</v>
      </c>
      <c r="H641" t="s">
        <v>2537</v>
      </c>
      <c r="I641" t="s">
        <v>3432</v>
      </c>
      <c r="J641" t="s">
        <v>3604</v>
      </c>
      <c r="K641">
        <v>10034</v>
      </c>
      <c r="L641" t="s">
        <v>3610</v>
      </c>
      <c r="M641" t="s">
        <v>3609</v>
      </c>
      <c r="N641" t="s">
        <v>3853</v>
      </c>
      <c r="O641" t="s">
        <v>4210</v>
      </c>
      <c r="P641" t="s">
        <v>4245</v>
      </c>
      <c r="Q641" t="s">
        <v>4249</v>
      </c>
      <c r="R641" t="s">
        <v>4258</v>
      </c>
      <c r="S641" t="s">
        <v>3611</v>
      </c>
      <c r="U641" t="s">
        <v>4268</v>
      </c>
      <c r="W641" t="s">
        <v>413</v>
      </c>
      <c r="X641">
        <v>400</v>
      </c>
      <c r="Y641" t="s">
        <v>4351</v>
      </c>
      <c r="Z641" t="s">
        <v>4354</v>
      </c>
      <c r="AA641" t="s">
        <v>4377</v>
      </c>
      <c r="AB641" t="s">
        <v>4906</v>
      </c>
      <c r="AD641" t="s">
        <v>6291</v>
      </c>
      <c r="AE641">
        <v>88</v>
      </c>
      <c r="AF641" t="s">
        <v>7105</v>
      </c>
      <c r="AG641" t="s">
        <v>3745</v>
      </c>
      <c r="AH641">
        <v>12</v>
      </c>
      <c r="AI641">
        <v>1</v>
      </c>
      <c r="AJ641">
        <v>0</v>
      </c>
      <c r="AK641">
        <v>84.02</v>
      </c>
      <c r="AN641" t="s">
        <v>7139</v>
      </c>
      <c r="AO641">
        <v>10200</v>
      </c>
      <c r="AU641">
        <v>7.6</v>
      </c>
      <c r="AV641" t="s">
        <v>656</v>
      </c>
      <c r="AW641" t="s">
        <v>7343</v>
      </c>
    </row>
    <row r="642" spans="1:50">
      <c r="A642" s="1">
        <f>HYPERLINK("https://lsnyc.legalserver.org/matter/dynamic-profile/view/1861672","18-1861672")</f>
        <v>0</v>
      </c>
      <c r="B642" t="s">
        <v>61</v>
      </c>
      <c r="C642" t="s">
        <v>104</v>
      </c>
      <c r="D642" t="s">
        <v>153</v>
      </c>
      <c r="E642" t="s">
        <v>668</v>
      </c>
      <c r="F642" t="s">
        <v>779</v>
      </c>
      <c r="G642" t="s">
        <v>1821</v>
      </c>
      <c r="H642" t="s">
        <v>2619</v>
      </c>
      <c r="I642" t="s">
        <v>3304</v>
      </c>
      <c r="J642" t="s">
        <v>3604</v>
      </c>
      <c r="K642">
        <v>10033</v>
      </c>
      <c r="L642" t="s">
        <v>3610</v>
      </c>
      <c r="M642" t="s">
        <v>3609</v>
      </c>
      <c r="N642" t="s">
        <v>3854</v>
      </c>
      <c r="O642" t="s">
        <v>4210</v>
      </c>
      <c r="P642" t="s">
        <v>4245</v>
      </c>
      <c r="Q642" t="s">
        <v>4254</v>
      </c>
      <c r="R642" t="s">
        <v>4258</v>
      </c>
      <c r="S642" t="s">
        <v>3611</v>
      </c>
      <c r="U642" t="s">
        <v>4268</v>
      </c>
      <c r="W642" t="s">
        <v>153</v>
      </c>
      <c r="X642">
        <v>848.29</v>
      </c>
      <c r="Y642" t="s">
        <v>4351</v>
      </c>
      <c r="Z642" t="s">
        <v>4354</v>
      </c>
      <c r="AA642" t="s">
        <v>4373</v>
      </c>
      <c r="AB642" t="s">
        <v>4907</v>
      </c>
      <c r="AC642" t="s">
        <v>5824</v>
      </c>
      <c r="AE642">
        <v>29</v>
      </c>
      <c r="AF642" t="s">
        <v>7101</v>
      </c>
      <c r="AG642" t="s">
        <v>3745</v>
      </c>
      <c r="AH642">
        <v>37</v>
      </c>
      <c r="AI642">
        <v>1</v>
      </c>
      <c r="AJ642">
        <v>0</v>
      </c>
      <c r="AK642">
        <v>84.02</v>
      </c>
      <c r="AN642" t="s">
        <v>7138</v>
      </c>
      <c r="AO642">
        <v>10200</v>
      </c>
      <c r="AU642">
        <v>11.2</v>
      </c>
      <c r="AV642" t="s">
        <v>668</v>
      </c>
      <c r="AW642" t="s">
        <v>7342</v>
      </c>
    </row>
    <row r="643" spans="1:50">
      <c r="A643" s="1">
        <f>HYPERLINK("https://lsnyc.legalserver.org/matter/dynamic-profile/view/1863700","18-1863700")</f>
        <v>0</v>
      </c>
      <c r="B643" t="s">
        <v>53</v>
      </c>
      <c r="C643" t="s">
        <v>105</v>
      </c>
      <c r="D643" t="s">
        <v>242</v>
      </c>
      <c r="F643" t="s">
        <v>822</v>
      </c>
      <c r="G643" t="s">
        <v>1953</v>
      </c>
      <c r="H643" t="s">
        <v>2508</v>
      </c>
      <c r="I643">
        <v>501</v>
      </c>
      <c r="J643" t="s">
        <v>3604</v>
      </c>
      <c r="K643">
        <v>10029</v>
      </c>
      <c r="L643" t="s">
        <v>3610</v>
      </c>
      <c r="M643" t="s">
        <v>3610</v>
      </c>
      <c r="N643" t="s">
        <v>3642</v>
      </c>
      <c r="O643" t="s">
        <v>4213</v>
      </c>
      <c r="P643" t="s">
        <v>4241</v>
      </c>
      <c r="R643" t="s">
        <v>4258</v>
      </c>
      <c r="S643" t="s">
        <v>3610</v>
      </c>
      <c r="U643" t="s">
        <v>4268</v>
      </c>
      <c r="V643" t="s">
        <v>4274</v>
      </c>
      <c r="W643" t="s">
        <v>242</v>
      </c>
      <c r="X643">
        <v>0</v>
      </c>
      <c r="Y643" t="s">
        <v>4351</v>
      </c>
      <c r="Z643" t="s">
        <v>4352</v>
      </c>
      <c r="AB643" t="s">
        <v>4908</v>
      </c>
      <c r="AD643" t="s">
        <v>6292</v>
      </c>
      <c r="AE643">
        <v>108</v>
      </c>
      <c r="AF643" t="s">
        <v>7106</v>
      </c>
      <c r="AG643" t="s">
        <v>3745</v>
      </c>
      <c r="AH643">
        <v>30</v>
      </c>
      <c r="AI643">
        <v>1</v>
      </c>
      <c r="AJ643">
        <v>0</v>
      </c>
      <c r="AK643">
        <v>84.02</v>
      </c>
      <c r="AN643" t="s">
        <v>7139</v>
      </c>
      <c r="AO643">
        <v>10200</v>
      </c>
      <c r="AU643">
        <v>0.35</v>
      </c>
      <c r="AV643" t="s">
        <v>625</v>
      </c>
      <c r="AW643" t="s">
        <v>7341</v>
      </c>
    </row>
    <row r="644" spans="1:50">
      <c r="A644" s="1">
        <f>HYPERLINK("https://lsnyc.legalserver.org/matter/dynamic-profile/view/1867775","18-1867775")</f>
        <v>0</v>
      </c>
      <c r="B644" t="s">
        <v>75</v>
      </c>
      <c r="C644" t="s">
        <v>105</v>
      </c>
      <c r="D644" t="s">
        <v>106</v>
      </c>
      <c r="F644" t="s">
        <v>1073</v>
      </c>
      <c r="G644" t="s">
        <v>1954</v>
      </c>
      <c r="H644" t="s">
        <v>2830</v>
      </c>
      <c r="I644">
        <v>3</v>
      </c>
      <c r="J644" t="s">
        <v>3606</v>
      </c>
      <c r="K644">
        <v>11212</v>
      </c>
      <c r="L644" t="s">
        <v>3610</v>
      </c>
      <c r="M644" t="s">
        <v>3610</v>
      </c>
      <c r="O644" t="s">
        <v>4211</v>
      </c>
      <c r="P644" t="s">
        <v>4244</v>
      </c>
      <c r="R644" t="s">
        <v>4258</v>
      </c>
      <c r="U644" t="s">
        <v>4268</v>
      </c>
      <c r="W644" t="s">
        <v>4297</v>
      </c>
      <c r="X644">
        <v>231.6</v>
      </c>
      <c r="Y644" t="s">
        <v>4351</v>
      </c>
      <c r="Z644" t="s">
        <v>4352</v>
      </c>
      <c r="AB644" t="s">
        <v>4909</v>
      </c>
      <c r="AD644" t="s">
        <v>6293</v>
      </c>
      <c r="AE644">
        <v>0</v>
      </c>
      <c r="AF644" t="s">
        <v>7105</v>
      </c>
      <c r="AG644" t="s">
        <v>3745</v>
      </c>
      <c r="AH644">
        <v>1</v>
      </c>
      <c r="AI644">
        <v>1</v>
      </c>
      <c r="AJ644">
        <v>0</v>
      </c>
      <c r="AK644">
        <v>84.22</v>
      </c>
      <c r="AN644" t="s">
        <v>7138</v>
      </c>
      <c r="AO644">
        <v>10224</v>
      </c>
      <c r="AU644">
        <v>0.8</v>
      </c>
      <c r="AV644" t="s">
        <v>112</v>
      </c>
      <c r="AW644" t="s">
        <v>7344</v>
      </c>
    </row>
    <row r="645" spans="1:50">
      <c r="A645" s="1">
        <f>HYPERLINK("https://lsnyc.legalserver.org/matter/dynamic-profile/view/0822955","16-0822955")</f>
        <v>0</v>
      </c>
      <c r="B645" t="s">
        <v>64</v>
      </c>
      <c r="C645" t="s">
        <v>105</v>
      </c>
      <c r="D645" t="s">
        <v>115</v>
      </c>
      <c r="F645" t="s">
        <v>733</v>
      </c>
      <c r="G645" t="s">
        <v>1604</v>
      </c>
      <c r="H645" t="s">
        <v>2496</v>
      </c>
      <c r="I645">
        <v>66</v>
      </c>
      <c r="J645" t="s">
        <v>3604</v>
      </c>
      <c r="K645">
        <v>10032</v>
      </c>
      <c r="L645" t="s">
        <v>3611</v>
      </c>
      <c r="M645" t="s">
        <v>3609</v>
      </c>
      <c r="N645" t="s">
        <v>3855</v>
      </c>
      <c r="O645" t="s">
        <v>4213</v>
      </c>
      <c r="P645" t="s">
        <v>4241</v>
      </c>
      <c r="R645" t="s">
        <v>4258</v>
      </c>
      <c r="S645" t="s">
        <v>3610</v>
      </c>
      <c r="U645" t="s">
        <v>4268</v>
      </c>
      <c r="W645" t="s">
        <v>238</v>
      </c>
      <c r="X645">
        <v>1064.44</v>
      </c>
      <c r="Y645" t="s">
        <v>4351</v>
      </c>
      <c r="Z645" t="s">
        <v>4352</v>
      </c>
      <c r="AB645" t="s">
        <v>4435</v>
      </c>
      <c r="AD645" t="s">
        <v>5877</v>
      </c>
      <c r="AE645">
        <v>35</v>
      </c>
      <c r="AF645" t="s">
        <v>7101</v>
      </c>
      <c r="AG645" t="s">
        <v>3745</v>
      </c>
      <c r="AH645">
        <v>29</v>
      </c>
      <c r="AI645">
        <v>2</v>
      </c>
      <c r="AJ645">
        <v>1</v>
      </c>
      <c r="AK645">
        <v>84.29000000000001</v>
      </c>
      <c r="AL645" t="s">
        <v>4319</v>
      </c>
      <c r="AN645" t="s">
        <v>7139</v>
      </c>
      <c r="AO645">
        <v>16992</v>
      </c>
      <c r="AU645">
        <v>8.050000000000001</v>
      </c>
      <c r="AV645" t="s">
        <v>673</v>
      </c>
      <c r="AW645" t="s">
        <v>7341</v>
      </c>
    </row>
    <row r="646" spans="1:50">
      <c r="A646" s="1">
        <f>HYPERLINK("https://lsnyc.legalserver.org/matter/dynamic-profile/view/1868713","18-1868713")</f>
        <v>0</v>
      </c>
      <c r="B646" t="s">
        <v>57</v>
      </c>
      <c r="C646" t="s">
        <v>104</v>
      </c>
      <c r="D646" t="s">
        <v>461</v>
      </c>
      <c r="E646" t="s">
        <v>655</v>
      </c>
      <c r="F646" t="s">
        <v>1016</v>
      </c>
      <c r="G646" t="s">
        <v>1911</v>
      </c>
      <c r="H646" t="s">
        <v>2790</v>
      </c>
      <c r="I646" t="s">
        <v>3294</v>
      </c>
      <c r="J646" t="s">
        <v>3604</v>
      </c>
      <c r="K646">
        <v>10029</v>
      </c>
      <c r="L646" t="s">
        <v>3610</v>
      </c>
      <c r="M646" t="s">
        <v>3610</v>
      </c>
      <c r="O646" t="s">
        <v>4212</v>
      </c>
      <c r="P646" t="s">
        <v>4243</v>
      </c>
      <c r="Q646" t="s">
        <v>4252</v>
      </c>
      <c r="R646" t="s">
        <v>4258</v>
      </c>
      <c r="S646" t="s">
        <v>3611</v>
      </c>
      <c r="U646" t="s">
        <v>4270</v>
      </c>
      <c r="W646" t="s">
        <v>461</v>
      </c>
      <c r="X646">
        <v>1500</v>
      </c>
      <c r="Y646" t="s">
        <v>4351</v>
      </c>
      <c r="Z646" t="s">
        <v>4356</v>
      </c>
      <c r="AA646" t="s">
        <v>4376</v>
      </c>
      <c r="AB646" t="s">
        <v>4833</v>
      </c>
      <c r="AD646" t="s">
        <v>6221</v>
      </c>
      <c r="AE646">
        <v>20</v>
      </c>
      <c r="AF646" t="s">
        <v>7104</v>
      </c>
      <c r="AG646" t="s">
        <v>7121</v>
      </c>
      <c r="AH646">
        <v>12</v>
      </c>
      <c r="AI646">
        <v>1</v>
      </c>
      <c r="AJ646">
        <v>0</v>
      </c>
      <c r="AK646">
        <v>84.31999999999999</v>
      </c>
      <c r="AN646" t="s">
        <v>7138</v>
      </c>
      <c r="AO646">
        <v>10236</v>
      </c>
      <c r="AU646">
        <v>66.5</v>
      </c>
      <c r="AV646" t="s">
        <v>302</v>
      </c>
      <c r="AW646" t="s">
        <v>7341</v>
      </c>
    </row>
    <row r="647" spans="1:50">
      <c r="A647" s="1">
        <f>HYPERLINK("https://lsnyc.legalserver.org/matter/dynamic-profile/view/1847272","17-1847272")</f>
        <v>0</v>
      </c>
      <c r="B647" t="s">
        <v>53</v>
      </c>
      <c r="C647" t="s">
        <v>105</v>
      </c>
      <c r="D647" t="s">
        <v>132</v>
      </c>
      <c r="F647" t="s">
        <v>1074</v>
      </c>
      <c r="G647" t="s">
        <v>1846</v>
      </c>
      <c r="H647" t="s">
        <v>2734</v>
      </c>
      <c r="I647" t="s">
        <v>3359</v>
      </c>
      <c r="J647" t="s">
        <v>3604</v>
      </c>
      <c r="K647">
        <v>10040</v>
      </c>
      <c r="L647" t="s">
        <v>3610</v>
      </c>
      <c r="M647" t="s">
        <v>3609</v>
      </c>
      <c r="N647" t="s">
        <v>3856</v>
      </c>
      <c r="O647" t="s">
        <v>4220</v>
      </c>
      <c r="P647" t="s">
        <v>4244</v>
      </c>
      <c r="R647" t="s">
        <v>4258</v>
      </c>
      <c r="S647" t="s">
        <v>3611</v>
      </c>
      <c r="U647" t="s">
        <v>4268</v>
      </c>
      <c r="W647" t="s">
        <v>132</v>
      </c>
      <c r="X647">
        <v>0</v>
      </c>
      <c r="Y647" t="s">
        <v>4351</v>
      </c>
      <c r="Z647" t="s">
        <v>4354</v>
      </c>
      <c r="AB647" t="s">
        <v>4910</v>
      </c>
      <c r="AD647" t="s">
        <v>6294</v>
      </c>
      <c r="AE647">
        <v>43</v>
      </c>
      <c r="AF647" t="s">
        <v>7101</v>
      </c>
      <c r="AG647" t="s">
        <v>7116</v>
      </c>
      <c r="AH647">
        <v>34</v>
      </c>
      <c r="AI647">
        <v>1</v>
      </c>
      <c r="AJ647">
        <v>0</v>
      </c>
      <c r="AK647">
        <v>84.38</v>
      </c>
      <c r="AL647" t="s">
        <v>7125</v>
      </c>
      <c r="AN647" t="s">
        <v>7139</v>
      </c>
      <c r="AO647">
        <v>10176</v>
      </c>
      <c r="AU647">
        <v>0.8</v>
      </c>
      <c r="AV647" t="s">
        <v>686</v>
      </c>
      <c r="AW647" t="s">
        <v>7342</v>
      </c>
    </row>
    <row r="648" spans="1:50">
      <c r="A648" s="1">
        <f>HYPERLINK("https://lsnyc.legalserver.org/matter/dynamic-profile/view/0832363","17-0832363")</f>
        <v>0</v>
      </c>
      <c r="B648" t="s">
        <v>61</v>
      </c>
      <c r="C648" t="s">
        <v>104</v>
      </c>
      <c r="D648" t="s">
        <v>462</v>
      </c>
      <c r="E648" t="s">
        <v>201</v>
      </c>
      <c r="F648" t="s">
        <v>711</v>
      </c>
      <c r="G648" t="s">
        <v>1579</v>
      </c>
      <c r="H648" t="s">
        <v>2831</v>
      </c>
      <c r="I648">
        <v>53</v>
      </c>
      <c r="J648" t="s">
        <v>3604</v>
      </c>
      <c r="K648">
        <v>10034</v>
      </c>
      <c r="L648" t="s">
        <v>3610</v>
      </c>
      <c r="M648" t="s">
        <v>3610</v>
      </c>
      <c r="O648" t="s">
        <v>4211</v>
      </c>
      <c r="P648" t="s">
        <v>4245</v>
      </c>
      <c r="Q648" t="s">
        <v>4249</v>
      </c>
      <c r="R648" t="s">
        <v>4258</v>
      </c>
      <c r="S648" t="s">
        <v>3611</v>
      </c>
      <c r="U648" t="s">
        <v>4268</v>
      </c>
      <c r="W648" t="s">
        <v>4286</v>
      </c>
      <c r="X648">
        <v>310.58</v>
      </c>
      <c r="Y648" t="s">
        <v>4351</v>
      </c>
      <c r="Z648" t="s">
        <v>4365</v>
      </c>
      <c r="AA648" t="s">
        <v>4377</v>
      </c>
      <c r="AB648" t="s">
        <v>4911</v>
      </c>
      <c r="AE648">
        <v>20</v>
      </c>
      <c r="AF648" t="s">
        <v>7104</v>
      </c>
      <c r="AG648" t="s">
        <v>7118</v>
      </c>
      <c r="AH648">
        <v>39</v>
      </c>
      <c r="AI648">
        <v>1</v>
      </c>
      <c r="AJ648">
        <v>0</v>
      </c>
      <c r="AK648">
        <v>84.48</v>
      </c>
      <c r="AN648" t="s">
        <v>7139</v>
      </c>
      <c r="AO648">
        <v>10188</v>
      </c>
      <c r="AU648">
        <v>2.7</v>
      </c>
      <c r="AV648" t="s">
        <v>7315</v>
      </c>
      <c r="AW648" t="s">
        <v>7354</v>
      </c>
      <c r="AX648" t="s">
        <v>7377</v>
      </c>
    </row>
    <row r="649" spans="1:50">
      <c r="A649" s="1">
        <f>HYPERLINK("https://lsnyc.legalserver.org/matter/dynamic-profile/view/1896446","19-1896446")</f>
        <v>0</v>
      </c>
      <c r="B649" t="s">
        <v>61</v>
      </c>
      <c r="C649" t="s">
        <v>105</v>
      </c>
      <c r="D649" t="s">
        <v>340</v>
      </c>
      <c r="F649" t="s">
        <v>733</v>
      </c>
      <c r="G649" t="s">
        <v>1718</v>
      </c>
      <c r="H649" t="s">
        <v>2695</v>
      </c>
      <c r="I649" t="s">
        <v>3314</v>
      </c>
      <c r="J649" t="s">
        <v>3604</v>
      </c>
      <c r="K649">
        <v>10034</v>
      </c>
      <c r="L649" t="s">
        <v>3609</v>
      </c>
      <c r="M649" t="s">
        <v>3609</v>
      </c>
      <c r="N649" t="s">
        <v>3857</v>
      </c>
      <c r="O649" t="s">
        <v>4209</v>
      </c>
      <c r="P649" t="s">
        <v>4245</v>
      </c>
      <c r="R649" t="s">
        <v>4257</v>
      </c>
      <c r="S649" t="s">
        <v>3611</v>
      </c>
      <c r="U649" t="s">
        <v>4268</v>
      </c>
      <c r="X649">
        <v>0</v>
      </c>
      <c r="Y649" t="s">
        <v>4351</v>
      </c>
      <c r="Z649" t="s">
        <v>4354</v>
      </c>
      <c r="AB649" t="s">
        <v>4912</v>
      </c>
      <c r="AD649" t="s">
        <v>6295</v>
      </c>
      <c r="AE649">
        <v>44</v>
      </c>
      <c r="AF649" t="s">
        <v>7101</v>
      </c>
      <c r="AG649" t="s">
        <v>3745</v>
      </c>
      <c r="AH649">
        <v>33</v>
      </c>
      <c r="AI649">
        <v>1</v>
      </c>
      <c r="AJ649">
        <v>0</v>
      </c>
      <c r="AK649">
        <v>84.55</v>
      </c>
      <c r="AN649" t="s">
        <v>7139</v>
      </c>
      <c r="AO649">
        <v>10560</v>
      </c>
      <c r="AU649">
        <v>1</v>
      </c>
      <c r="AV649" t="s">
        <v>149</v>
      </c>
      <c r="AW649" t="s">
        <v>7340</v>
      </c>
    </row>
    <row r="650" spans="1:50">
      <c r="A650" s="1">
        <f>HYPERLINK("https://lsnyc.legalserver.org/matter/dynamic-profile/view/1891306","19-1891306")</f>
        <v>0</v>
      </c>
      <c r="B650" t="s">
        <v>69</v>
      </c>
      <c r="C650" t="s">
        <v>105</v>
      </c>
      <c r="D650" t="s">
        <v>438</v>
      </c>
      <c r="F650" t="s">
        <v>1026</v>
      </c>
      <c r="G650" t="s">
        <v>1906</v>
      </c>
      <c r="H650" t="s">
        <v>2784</v>
      </c>
      <c r="I650" t="s">
        <v>3417</v>
      </c>
      <c r="J650" t="s">
        <v>3604</v>
      </c>
      <c r="K650">
        <v>10029</v>
      </c>
      <c r="L650" t="s">
        <v>3610</v>
      </c>
      <c r="M650" t="s">
        <v>3610</v>
      </c>
      <c r="O650" t="s">
        <v>4211</v>
      </c>
      <c r="P650" t="s">
        <v>4246</v>
      </c>
      <c r="R650" t="s">
        <v>4258</v>
      </c>
      <c r="S650" t="s">
        <v>3611</v>
      </c>
      <c r="U650" t="s">
        <v>4268</v>
      </c>
      <c r="V650" t="s">
        <v>4274</v>
      </c>
      <c r="W650" t="s">
        <v>487</v>
      </c>
      <c r="X650">
        <v>1500</v>
      </c>
      <c r="Y650" t="s">
        <v>4351</v>
      </c>
      <c r="Z650" t="s">
        <v>4354</v>
      </c>
      <c r="AB650" t="s">
        <v>4826</v>
      </c>
      <c r="AD650" t="s">
        <v>6217</v>
      </c>
      <c r="AE650">
        <v>8</v>
      </c>
      <c r="AF650" t="s">
        <v>7105</v>
      </c>
      <c r="AG650" t="s">
        <v>3745</v>
      </c>
      <c r="AH650">
        <v>18</v>
      </c>
      <c r="AI650">
        <v>1</v>
      </c>
      <c r="AJ650">
        <v>0</v>
      </c>
      <c r="AK650">
        <v>84.55</v>
      </c>
      <c r="AN650" t="s">
        <v>7139</v>
      </c>
      <c r="AO650">
        <v>10560</v>
      </c>
      <c r="AU650">
        <v>5.5</v>
      </c>
      <c r="AV650" t="s">
        <v>319</v>
      </c>
      <c r="AW650" t="s">
        <v>7366</v>
      </c>
    </row>
    <row r="651" spans="1:50">
      <c r="A651" s="1">
        <f>HYPERLINK("https://lsnyc.legalserver.org/matter/dynamic-profile/view/0810674","16-0810674")</f>
        <v>0</v>
      </c>
      <c r="B651" t="s">
        <v>61</v>
      </c>
      <c r="C651" t="s">
        <v>104</v>
      </c>
      <c r="D651" t="s">
        <v>463</v>
      </c>
      <c r="E651" t="s">
        <v>662</v>
      </c>
      <c r="F651" t="s">
        <v>1075</v>
      </c>
      <c r="G651" t="s">
        <v>1594</v>
      </c>
      <c r="H651" t="s">
        <v>2713</v>
      </c>
      <c r="I651">
        <v>10</v>
      </c>
      <c r="J651" t="s">
        <v>3604</v>
      </c>
      <c r="K651">
        <v>10034</v>
      </c>
      <c r="L651" t="s">
        <v>3610</v>
      </c>
      <c r="M651" t="s">
        <v>3609</v>
      </c>
      <c r="N651" t="s">
        <v>3858</v>
      </c>
      <c r="O651" t="s">
        <v>4209</v>
      </c>
      <c r="P651" t="s">
        <v>4246</v>
      </c>
      <c r="Q651" t="s">
        <v>4248</v>
      </c>
      <c r="R651" t="s">
        <v>4258</v>
      </c>
      <c r="S651" t="s">
        <v>3611</v>
      </c>
      <c r="U651" t="s">
        <v>4268</v>
      </c>
      <c r="W651" t="s">
        <v>4313</v>
      </c>
      <c r="X651">
        <v>1251.98</v>
      </c>
      <c r="Y651" t="s">
        <v>4351</v>
      </c>
      <c r="Z651" t="s">
        <v>4354</v>
      </c>
      <c r="AA651" t="s">
        <v>4374</v>
      </c>
      <c r="AB651" t="s">
        <v>4913</v>
      </c>
      <c r="AC651" t="s">
        <v>5825</v>
      </c>
      <c r="AD651" t="s">
        <v>6296</v>
      </c>
      <c r="AE651">
        <v>30</v>
      </c>
      <c r="AF651" t="s">
        <v>7101</v>
      </c>
      <c r="AG651" t="s">
        <v>7116</v>
      </c>
      <c r="AH651">
        <v>6</v>
      </c>
      <c r="AI651">
        <v>1</v>
      </c>
      <c r="AJ651">
        <v>0</v>
      </c>
      <c r="AK651">
        <v>84.59999999999999</v>
      </c>
      <c r="AN651" t="s">
        <v>7139</v>
      </c>
      <c r="AO651">
        <v>10050.72</v>
      </c>
      <c r="AU651">
        <v>65.25</v>
      </c>
      <c r="AV651" t="s">
        <v>4304</v>
      </c>
      <c r="AW651" t="s">
        <v>7341</v>
      </c>
    </row>
    <row r="652" spans="1:50">
      <c r="A652" s="1">
        <f>HYPERLINK("https://lsnyc.legalserver.org/matter/dynamic-profile/view/1901257","19-1901257")</f>
        <v>0</v>
      </c>
      <c r="B652" t="s">
        <v>98</v>
      </c>
      <c r="C652" t="s">
        <v>105</v>
      </c>
      <c r="D652" t="s">
        <v>426</v>
      </c>
      <c r="F652" t="s">
        <v>933</v>
      </c>
      <c r="G652" t="s">
        <v>1955</v>
      </c>
      <c r="H652" t="s">
        <v>2832</v>
      </c>
      <c r="I652" t="s">
        <v>3433</v>
      </c>
      <c r="J652" t="s">
        <v>3604</v>
      </c>
      <c r="K652">
        <v>10023</v>
      </c>
      <c r="L652" t="s">
        <v>3610</v>
      </c>
      <c r="M652" t="s">
        <v>3609</v>
      </c>
      <c r="N652" t="s">
        <v>3859</v>
      </c>
      <c r="O652" t="s">
        <v>4209</v>
      </c>
      <c r="P652" t="s">
        <v>4246</v>
      </c>
      <c r="R652" t="s">
        <v>4258</v>
      </c>
      <c r="S652" t="s">
        <v>3611</v>
      </c>
      <c r="U652" t="s">
        <v>4268</v>
      </c>
      <c r="V652" t="s">
        <v>4274</v>
      </c>
      <c r="W652" t="s">
        <v>426</v>
      </c>
      <c r="X652">
        <v>364.74</v>
      </c>
      <c r="Y652" t="s">
        <v>4351</v>
      </c>
      <c r="Z652" t="s">
        <v>4361</v>
      </c>
      <c r="AB652" t="s">
        <v>4914</v>
      </c>
      <c r="AD652" t="s">
        <v>6297</v>
      </c>
      <c r="AE652">
        <v>0</v>
      </c>
      <c r="AF652" t="s">
        <v>7101</v>
      </c>
      <c r="AG652" t="s">
        <v>3745</v>
      </c>
      <c r="AH652">
        <v>44</v>
      </c>
      <c r="AI652">
        <v>1</v>
      </c>
      <c r="AJ652">
        <v>0</v>
      </c>
      <c r="AK652">
        <v>84.64</v>
      </c>
      <c r="AN652" t="s">
        <v>7138</v>
      </c>
      <c r="AO652">
        <v>10572</v>
      </c>
      <c r="AU652">
        <v>0.6</v>
      </c>
      <c r="AV652" t="s">
        <v>426</v>
      </c>
      <c r="AW652" t="s">
        <v>7341</v>
      </c>
      <c r="AX652" t="s">
        <v>7377</v>
      </c>
    </row>
    <row r="653" spans="1:50">
      <c r="A653" s="1">
        <f>HYPERLINK("https://lsnyc.legalserver.org/matter/dynamic-profile/view/1869009","18-1869009")</f>
        <v>0</v>
      </c>
      <c r="B653" t="s">
        <v>56</v>
      </c>
      <c r="C653" t="s">
        <v>104</v>
      </c>
      <c r="D653" t="s">
        <v>464</v>
      </c>
      <c r="E653" t="s">
        <v>298</v>
      </c>
      <c r="F653" t="s">
        <v>952</v>
      </c>
      <c r="G653" t="s">
        <v>1956</v>
      </c>
      <c r="H653" t="s">
        <v>2833</v>
      </c>
      <c r="I653">
        <v>2</v>
      </c>
      <c r="J653" t="s">
        <v>3604</v>
      </c>
      <c r="K653">
        <v>10040</v>
      </c>
      <c r="L653" t="s">
        <v>3610</v>
      </c>
      <c r="M653" t="s">
        <v>3609</v>
      </c>
      <c r="O653" t="s">
        <v>4219</v>
      </c>
      <c r="P653" t="s">
        <v>4242</v>
      </c>
      <c r="Q653" t="s">
        <v>4250</v>
      </c>
      <c r="R653" t="s">
        <v>4258</v>
      </c>
      <c r="S653" t="s">
        <v>3611</v>
      </c>
      <c r="U653" t="s">
        <v>4268</v>
      </c>
      <c r="W653" t="s">
        <v>464</v>
      </c>
      <c r="X653">
        <v>780</v>
      </c>
      <c r="Y653" t="s">
        <v>4351</v>
      </c>
      <c r="Z653" t="s">
        <v>4357</v>
      </c>
      <c r="AA653" t="s">
        <v>4373</v>
      </c>
      <c r="AB653" t="s">
        <v>4915</v>
      </c>
      <c r="AD653" t="s">
        <v>6298</v>
      </c>
      <c r="AE653">
        <v>45</v>
      </c>
      <c r="AF653" t="s">
        <v>7101</v>
      </c>
      <c r="AG653" t="s">
        <v>3745</v>
      </c>
      <c r="AH653">
        <v>20</v>
      </c>
      <c r="AI653">
        <v>3</v>
      </c>
      <c r="AJ653">
        <v>0</v>
      </c>
      <c r="AK653">
        <v>84.7</v>
      </c>
      <c r="AN653" t="s">
        <v>7139</v>
      </c>
      <c r="AO653">
        <v>17600</v>
      </c>
      <c r="AU653">
        <v>1</v>
      </c>
      <c r="AV653" t="s">
        <v>464</v>
      </c>
      <c r="AW653" t="s">
        <v>7342</v>
      </c>
    </row>
    <row r="654" spans="1:50">
      <c r="A654" s="1">
        <f>HYPERLINK("https://lsnyc.legalserver.org/matter/dynamic-profile/view/1863069","18-1863069")</f>
        <v>0</v>
      </c>
      <c r="B654" t="s">
        <v>56</v>
      </c>
      <c r="C654" t="s">
        <v>105</v>
      </c>
      <c r="D654" t="s">
        <v>314</v>
      </c>
      <c r="F654" t="s">
        <v>1076</v>
      </c>
      <c r="G654" t="s">
        <v>1957</v>
      </c>
      <c r="H654" t="s">
        <v>2471</v>
      </c>
      <c r="I654" t="s">
        <v>3434</v>
      </c>
      <c r="J654" t="s">
        <v>3604</v>
      </c>
      <c r="K654">
        <v>10034</v>
      </c>
      <c r="L654" t="s">
        <v>3610</v>
      </c>
      <c r="M654" t="s">
        <v>3609</v>
      </c>
      <c r="O654" t="s">
        <v>4213</v>
      </c>
      <c r="P654" t="s">
        <v>4241</v>
      </c>
      <c r="R654" t="s">
        <v>4258</v>
      </c>
      <c r="S654" t="s">
        <v>3610</v>
      </c>
      <c r="U654" t="s">
        <v>4268</v>
      </c>
      <c r="W654" t="s">
        <v>314</v>
      </c>
      <c r="X654">
        <v>262.6</v>
      </c>
      <c r="Y654" t="s">
        <v>4351</v>
      </c>
      <c r="Z654" t="s">
        <v>4354</v>
      </c>
      <c r="AB654" t="s">
        <v>4916</v>
      </c>
      <c r="AC654" t="s">
        <v>5826</v>
      </c>
      <c r="AD654" t="s">
        <v>6299</v>
      </c>
      <c r="AE654">
        <v>60</v>
      </c>
      <c r="AF654" t="s">
        <v>7101</v>
      </c>
      <c r="AG654" t="s">
        <v>3745</v>
      </c>
      <c r="AH654">
        <v>10</v>
      </c>
      <c r="AI654">
        <v>1</v>
      </c>
      <c r="AJ654">
        <v>0</v>
      </c>
      <c r="AK654">
        <v>84.70999999999999</v>
      </c>
      <c r="AN654" t="s">
        <v>7139</v>
      </c>
      <c r="AO654">
        <v>10284</v>
      </c>
      <c r="AU654">
        <v>0.21</v>
      </c>
      <c r="AV654" t="s">
        <v>477</v>
      </c>
      <c r="AW654" t="s">
        <v>7342</v>
      </c>
    </row>
    <row r="655" spans="1:50">
      <c r="A655" s="1">
        <f>HYPERLINK("https://lsnyc.legalserver.org/matter/dynamic-profile/view/1871301","18-1871301")</f>
        <v>0</v>
      </c>
      <c r="B655" t="s">
        <v>62</v>
      </c>
      <c r="C655" t="s">
        <v>104</v>
      </c>
      <c r="D655" t="s">
        <v>465</v>
      </c>
      <c r="E655" t="s">
        <v>262</v>
      </c>
      <c r="F655" t="s">
        <v>1077</v>
      </c>
      <c r="G655" t="s">
        <v>1702</v>
      </c>
      <c r="H655" t="s">
        <v>2834</v>
      </c>
      <c r="I655">
        <v>1</v>
      </c>
      <c r="J655" t="s">
        <v>3604</v>
      </c>
      <c r="K655">
        <v>10034</v>
      </c>
      <c r="L655" t="s">
        <v>3610</v>
      </c>
      <c r="M655" t="s">
        <v>3610</v>
      </c>
      <c r="O655" t="s">
        <v>4217</v>
      </c>
      <c r="P655" t="s">
        <v>4245</v>
      </c>
      <c r="Q655" t="s">
        <v>4249</v>
      </c>
      <c r="R655" t="s">
        <v>4258</v>
      </c>
      <c r="S655" t="s">
        <v>3611</v>
      </c>
      <c r="U655" t="s">
        <v>4268</v>
      </c>
      <c r="W655" t="s">
        <v>465</v>
      </c>
      <c r="X655">
        <v>818.49</v>
      </c>
      <c r="Y655" t="s">
        <v>4351</v>
      </c>
      <c r="Z655" t="s">
        <v>4357</v>
      </c>
      <c r="AA655" t="s">
        <v>4384</v>
      </c>
      <c r="AB655" t="s">
        <v>4917</v>
      </c>
      <c r="AD655" t="s">
        <v>6300</v>
      </c>
      <c r="AE655">
        <v>0</v>
      </c>
      <c r="AF655" t="s">
        <v>7101</v>
      </c>
      <c r="AG655" t="s">
        <v>7118</v>
      </c>
      <c r="AH655">
        <v>19</v>
      </c>
      <c r="AI655">
        <v>1</v>
      </c>
      <c r="AJ655">
        <v>0</v>
      </c>
      <c r="AK655">
        <v>84.70999999999999</v>
      </c>
      <c r="AN655" t="s">
        <v>7145</v>
      </c>
      <c r="AO655">
        <v>10284</v>
      </c>
      <c r="AU655">
        <v>1.1</v>
      </c>
      <c r="AV655" t="s">
        <v>378</v>
      </c>
      <c r="AW655" t="s">
        <v>7342</v>
      </c>
    </row>
    <row r="656" spans="1:50">
      <c r="A656" s="1">
        <f>HYPERLINK("https://lsnyc.legalserver.org/matter/dynamic-profile/view/0822592","16-0822592")</f>
        <v>0</v>
      </c>
      <c r="B656" t="s">
        <v>64</v>
      </c>
      <c r="C656" t="s">
        <v>104</v>
      </c>
      <c r="D656" t="s">
        <v>466</v>
      </c>
      <c r="E656" t="s">
        <v>335</v>
      </c>
      <c r="F656" t="s">
        <v>1033</v>
      </c>
      <c r="G656" t="s">
        <v>1867</v>
      </c>
      <c r="H656" t="s">
        <v>2642</v>
      </c>
      <c r="I656" t="s">
        <v>3333</v>
      </c>
      <c r="J656" t="s">
        <v>3604</v>
      </c>
      <c r="K656">
        <v>10034</v>
      </c>
      <c r="L656" t="s">
        <v>3609</v>
      </c>
      <c r="M656" t="s">
        <v>3609</v>
      </c>
      <c r="O656" t="s">
        <v>4211</v>
      </c>
      <c r="P656" t="s">
        <v>4244</v>
      </c>
      <c r="Q656" t="s">
        <v>4254</v>
      </c>
      <c r="R656" t="s">
        <v>4258</v>
      </c>
      <c r="S656" t="s">
        <v>3611</v>
      </c>
      <c r="U656" t="s">
        <v>4268</v>
      </c>
      <c r="W656" t="s">
        <v>643</v>
      </c>
      <c r="X656">
        <v>632.42</v>
      </c>
      <c r="Y656" t="s">
        <v>4351</v>
      </c>
      <c r="Z656" t="s">
        <v>4354</v>
      </c>
      <c r="AA656" t="s">
        <v>4390</v>
      </c>
      <c r="AB656" t="s">
        <v>4844</v>
      </c>
      <c r="AD656" t="s">
        <v>6229</v>
      </c>
      <c r="AE656">
        <v>49</v>
      </c>
      <c r="AF656" t="s">
        <v>7101</v>
      </c>
      <c r="AG656" t="s">
        <v>7116</v>
      </c>
      <c r="AH656">
        <v>35</v>
      </c>
      <c r="AI656">
        <v>1</v>
      </c>
      <c r="AJ656">
        <v>0</v>
      </c>
      <c r="AK656">
        <v>84.84999999999999</v>
      </c>
      <c r="AN656" t="s">
        <v>7139</v>
      </c>
      <c r="AO656">
        <v>10080</v>
      </c>
      <c r="AU656">
        <v>20.11</v>
      </c>
      <c r="AV656" t="s">
        <v>226</v>
      </c>
      <c r="AW656" t="s">
        <v>7341</v>
      </c>
    </row>
    <row r="657" spans="1:50">
      <c r="A657" s="1">
        <f>HYPERLINK("https://lsnyc.legalserver.org/matter/dynamic-profile/view/1856072","18-1856072")</f>
        <v>0</v>
      </c>
      <c r="B657" t="s">
        <v>64</v>
      </c>
      <c r="C657" t="s">
        <v>105</v>
      </c>
      <c r="D657" t="s">
        <v>456</v>
      </c>
      <c r="F657" t="s">
        <v>1078</v>
      </c>
      <c r="G657" t="s">
        <v>1109</v>
      </c>
      <c r="H657" t="s">
        <v>2642</v>
      </c>
      <c r="I657" t="s">
        <v>3435</v>
      </c>
      <c r="J657" t="s">
        <v>3604</v>
      </c>
      <c r="K657">
        <v>10034</v>
      </c>
      <c r="L657" t="s">
        <v>3610</v>
      </c>
      <c r="M657" t="s">
        <v>3609</v>
      </c>
      <c r="O657" t="s">
        <v>4213</v>
      </c>
      <c r="P657" t="s">
        <v>4241</v>
      </c>
      <c r="R657" t="s">
        <v>4258</v>
      </c>
      <c r="S657" t="s">
        <v>3610</v>
      </c>
      <c r="U657" t="s">
        <v>4268</v>
      </c>
      <c r="W657" t="s">
        <v>456</v>
      </c>
      <c r="X657">
        <v>1107</v>
      </c>
      <c r="Y657" t="s">
        <v>4351</v>
      </c>
      <c r="Z657" t="s">
        <v>4228</v>
      </c>
      <c r="AB657" t="s">
        <v>4918</v>
      </c>
      <c r="AD657" t="s">
        <v>6301</v>
      </c>
      <c r="AE657">
        <v>49</v>
      </c>
      <c r="AF657" t="s">
        <v>7101</v>
      </c>
      <c r="AG657" t="s">
        <v>7116</v>
      </c>
      <c r="AH657">
        <v>30</v>
      </c>
      <c r="AI657">
        <v>1</v>
      </c>
      <c r="AJ657">
        <v>0</v>
      </c>
      <c r="AK657">
        <v>85.13</v>
      </c>
      <c r="AN657" t="s">
        <v>7139</v>
      </c>
      <c r="AO657">
        <v>10267.2</v>
      </c>
      <c r="AU657">
        <v>0.25</v>
      </c>
      <c r="AV657" t="s">
        <v>335</v>
      </c>
      <c r="AW657" t="s">
        <v>7342</v>
      </c>
    </row>
    <row r="658" spans="1:50">
      <c r="A658" s="1">
        <f>HYPERLINK("https://lsnyc.legalserver.org/matter/dynamic-profile/view/1858247","18-1858247")</f>
        <v>0</v>
      </c>
      <c r="B658" t="s">
        <v>62</v>
      </c>
      <c r="C658" t="s">
        <v>104</v>
      </c>
      <c r="D658" t="s">
        <v>316</v>
      </c>
      <c r="E658" t="s">
        <v>271</v>
      </c>
      <c r="F658" t="s">
        <v>1077</v>
      </c>
      <c r="G658" t="s">
        <v>1702</v>
      </c>
      <c r="H658" t="s">
        <v>2834</v>
      </c>
      <c r="I658">
        <v>1</v>
      </c>
      <c r="J658" t="s">
        <v>3604</v>
      </c>
      <c r="K658">
        <v>10034</v>
      </c>
      <c r="L658" t="s">
        <v>3610</v>
      </c>
      <c r="M658" t="s">
        <v>3609</v>
      </c>
      <c r="O658" t="s">
        <v>4217</v>
      </c>
      <c r="P658" t="s">
        <v>4244</v>
      </c>
      <c r="Q658" t="s">
        <v>4251</v>
      </c>
      <c r="R658" t="s">
        <v>4258</v>
      </c>
      <c r="S658" t="s">
        <v>3611</v>
      </c>
      <c r="U658" t="s">
        <v>4268</v>
      </c>
      <c r="W658" t="s">
        <v>316</v>
      </c>
      <c r="X658">
        <v>818.49</v>
      </c>
      <c r="Y658" t="s">
        <v>4351</v>
      </c>
      <c r="Z658" t="s">
        <v>4354</v>
      </c>
      <c r="AA658" t="s">
        <v>4377</v>
      </c>
      <c r="AB658" t="s">
        <v>4917</v>
      </c>
      <c r="AD658" t="s">
        <v>6300</v>
      </c>
      <c r="AE658">
        <v>30</v>
      </c>
      <c r="AF658" t="s">
        <v>7101</v>
      </c>
      <c r="AG658" t="s">
        <v>7118</v>
      </c>
      <c r="AH658">
        <v>19</v>
      </c>
      <c r="AI658">
        <v>1</v>
      </c>
      <c r="AJ658">
        <v>0</v>
      </c>
      <c r="AK658">
        <v>85.27</v>
      </c>
      <c r="AN658" t="s">
        <v>7145</v>
      </c>
      <c r="AO658">
        <v>10284</v>
      </c>
      <c r="AU658">
        <v>16.2</v>
      </c>
      <c r="AV658" t="s">
        <v>271</v>
      </c>
      <c r="AW658" t="s">
        <v>7342</v>
      </c>
    </row>
    <row r="659" spans="1:50">
      <c r="A659" s="1">
        <f>HYPERLINK("https://lsnyc.legalserver.org/matter/dynamic-profile/view/0827345","17-0827345")</f>
        <v>0</v>
      </c>
      <c r="B659" t="s">
        <v>63</v>
      </c>
      <c r="C659" t="s">
        <v>105</v>
      </c>
      <c r="D659" t="s">
        <v>422</v>
      </c>
      <c r="F659" t="s">
        <v>833</v>
      </c>
      <c r="G659" t="s">
        <v>1958</v>
      </c>
      <c r="H659" t="s">
        <v>2637</v>
      </c>
      <c r="I659" t="s">
        <v>3436</v>
      </c>
      <c r="J659" t="s">
        <v>3604</v>
      </c>
      <c r="K659">
        <v>10034</v>
      </c>
      <c r="L659" t="s">
        <v>3610</v>
      </c>
      <c r="M659" t="s">
        <v>3609</v>
      </c>
      <c r="N659" t="s">
        <v>3860</v>
      </c>
      <c r="O659" t="s">
        <v>4213</v>
      </c>
      <c r="P659" t="s">
        <v>4241</v>
      </c>
      <c r="R659" t="s">
        <v>4258</v>
      </c>
      <c r="S659" t="s">
        <v>3610</v>
      </c>
      <c r="U659" t="s">
        <v>4268</v>
      </c>
      <c r="W659" t="s">
        <v>4307</v>
      </c>
      <c r="X659">
        <v>947.1900000000001</v>
      </c>
      <c r="Y659" t="s">
        <v>4351</v>
      </c>
      <c r="Z659" t="s">
        <v>4364</v>
      </c>
      <c r="AB659" t="s">
        <v>4919</v>
      </c>
      <c r="AD659" t="s">
        <v>6302</v>
      </c>
      <c r="AE659">
        <v>44</v>
      </c>
      <c r="AF659" t="s">
        <v>7101</v>
      </c>
      <c r="AG659" t="s">
        <v>3745</v>
      </c>
      <c r="AH659">
        <v>35</v>
      </c>
      <c r="AI659">
        <v>1</v>
      </c>
      <c r="AJ659">
        <v>0</v>
      </c>
      <c r="AK659">
        <v>85.56999999999999</v>
      </c>
      <c r="AN659" t="s">
        <v>7139</v>
      </c>
      <c r="AO659">
        <v>10320</v>
      </c>
      <c r="AU659">
        <v>0</v>
      </c>
      <c r="AW659" t="s">
        <v>63</v>
      </c>
    </row>
    <row r="660" spans="1:50">
      <c r="A660" s="1">
        <f>HYPERLINK("https://lsnyc.legalserver.org/matter/dynamic-profile/view/1902208","19-1902208")</f>
        <v>0</v>
      </c>
      <c r="B660" t="s">
        <v>87</v>
      </c>
      <c r="C660" t="s">
        <v>104</v>
      </c>
      <c r="D660" t="s">
        <v>467</v>
      </c>
      <c r="E660" t="s">
        <v>396</v>
      </c>
      <c r="F660" t="s">
        <v>1079</v>
      </c>
      <c r="G660" t="s">
        <v>1626</v>
      </c>
      <c r="H660" t="s">
        <v>2488</v>
      </c>
      <c r="I660" t="s">
        <v>3437</v>
      </c>
      <c r="J660" t="s">
        <v>3604</v>
      </c>
      <c r="K660">
        <v>10033</v>
      </c>
      <c r="L660" t="s">
        <v>3610</v>
      </c>
      <c r="M660" t="s">
        <v>3609</v>
      </c>
      <c r="O660" t="s">
        <v>4217</v>
      </c>
      <c r="P660" t="s">
        <v>4245</v>
      </c>
      <c r="Q660" t="s">
        <v>4250</v>
      </c>
      <c r="R660" t="s">
        <v>4258</v>
      </c>
      <c r="S660" t="s">
        <v>3611</v>
      </c>
      <c r="U660" t="s">
        <v>4268</v>
      </c>
      <c r="W660" t="s">
        <v>467</v>
      </c>
      <c r="X660">
        <v>1478.3</v>
      </c>
      <c r="Y660" t="s">
        <v>4351</v>
      </c>
      <c r="Z660" t="s">
        <v>4357</v>
      </c>
      <c r="AA660" t="s">
        <v>4373</v>
      </c>
      <c r="AB660" t="s">
        <v>4920</v>
      </c>
      <c r="AD660" t="s">
        <v>6303</v>
      </c>
      <c r="AE660">
        <v>480</v>
      </c>
      <c r="AF660" t="s">
        <v>7101</v>
      </c>
      <c r="AG660" t="s">
        <v>3745</v>
      </c>
      <c r="AH660">
        <v>19</v>
      </c>
      <c r="AI660">
        <v>2</v>
      </c>
      <c r="AJ660">
        <v>0</v>
      </c>
      <c r="AK660">
        <v>85.58</v>
      </c>
      <c r="AN660" t="s">
        <v>7138</v>
      </c>
      <c r="AO660">
        <v>14472</v>
      </c>
      <c r="AU660">
        <v>0.9</v>
      </c>
      <c r="AV660" t="s">
        <v>396</v>
      </c>
      <c r="AW660" t="s">
        <v>7342</v>
      </c>
      <c r="AX660" t="s">
        <v>7377</v>
      </c>
    </row>
    <row r="661" spans="1:50">
      <c r="A661" s="1">
        <f>HYPERLINK("https://lsnyc.legalserver.org/matter/dynamic-profile/view/1883936","18-1883936")</f>
        <v>0</v>
      </c>
      <c r="B661" t="s">
        <v>56</v>
      </c>
      <c r="C661" t="s">
        <v>104</v>
      </c>
      <c r="D661" t="s">
        <v>213</v>
      </c>
      <c r="E661" t="s">
        <v>227</v>
      </c>
      <c r="F661" t="s">
        <v>999</v>
      </c>
      <c r="G661" t="s">
        <v>1959</v>
      </c>
      <c r="H661" t="s">
        <v>2631</v>
      </c>
      <c r="I661">
        <v>55</v>
      </c>
      <c r="J661" t="s">
        <v>3604</v>
      </c>
      <c r="K661">
        <v>10034</v>
      </c>
      <c r="L661" t="s">
        <v>3610</v>
      </c>
      <c r="M661" t="s">
        <v>3610</v>
      </c>
      <c r="P661" t="s">
        <v>4245</v>
      </c>
      <c r="Q661" t="s">
        <v>4249</v>
      </c>
      <c r="R661" t="s">
        <v>4258</v>
      </c>
      <c r="S661" t="s">
        <v>3611</v>
      </c>
      <c r="U661" t="s">
        <v>4268</v>
      </c>
      <c r="W661" t="s">
        <v>213</v>
      </c>
      <c r="X661">
        <v>856</v>
      </c>
      <c r="Y661" t="s">
        <v>4351</v>
      </c>
      <c r="Z661" t="s">
        <v>4354</v>
      </c>
      <c r="AA661" t="s">
        <v>4377</v>
      </c>
      <c r="AB661" t="s">
        <v>4921</v>
      </c>
      <c r="AD661" t="s">
        <v>6304</v>
      </c>
      <c r="AE661">
        <v>25</v>
      </c>
      <c r="AF661" t="s">
        <v>7101</v>
      </c>
      <c r="AG661" t="s">
        <v>7116</v>
      </c>
      <c r="AH661">
        <v>43</v>
      </c>
      <c r="AI661">
        <v>1</v>
      </c>
      <c r="AJ661">
        <v>0</v>
      </c>
      <c r="AK661">
        <v>85.59999999999999</v>
      </c>
      <c r="AN661" t="s">
        <v>7139</v>
      </c>
      <c r="AO661">
        <v>10392</v>
      </c>
      <c r="AU661">
        <v>1</v>
      </c>
      <c r="AV661" t="s">
        <v>213</v>
      </c>
      <c r="AW661" t="s">
        <v>7342</v>
      </c>
    </row>
    <row r="662" spans="1:50">
      <c r="A662" s="1">
        <f>HYPERLINK("https://lsnyc.legalserver.org/matter/dynamic-profile/view/1868544","18-1868544")</f>
        <v>0</v>
      </c>
      <c r="B662" t="s">
        <v>61</v>
      </c>
      <c r="C662" t="s">
        <v>104</v>
      </c>
      <c r="D662" t="s">
        <v>211</v>
      </c>
      <c r="E662" t="s">
        <v>201</v>
      </c>
      <c r="F662" t="s">
        <v>815</v>
      </c>
      <c r="G662" t="s">
        <v>1960</v>
      </c>
      <c r="H662" t="s">
        <v>2614</v>
      </c>
      <c r="I662" t="s">
        <v>3342</v>
      </c>
      <c r="J662" t="s">
        <v>3604</v>
      </c>
      <c r="K662">
        <v>10034</v>
      </c>
      <c r="L662" t="s">
        <v>3610</v>
      </c>
      <c r="M662" t="s">
        <v>3610</v>
      </c>
      <c r="N662" t="s">
        <v>3861</v>
      </c>
      <c r="O662" t="s">
        <v>4210</v>
      </c>
      <c r="P662" t="s">
        <v>4245</v>
      </c>
      <c r="Q662" t="s">
        <v>4249</v>
      </c>
      <c r="R662" t="s">
        <v>4258</v>
      </c>
      <c r="S662" t="s">
        <v>3611</v>
      </c>
      <c r="U662" t="s">
        <v>4268</v>
      </c>
      <c r="V662" t="s">
        <v>4274</v>
      </c>
      <c r="W662" t="s">
        <v>566</v>
      </c>
      <c r="X662">
        <v>902</v>
      </c>
      <c r="Y662" t="s">
        <v>4351</v>
      </c>
      <c r="Z662" t="s">
        <v>4354</v>
      </c>
      <c r="AA662" t="s">
        <v>4377</v>
      </c>
      <c r="AB662" t="s">
        <v>4578</v>
      </c>
      <c r="AD662" t="s">
        <v>6305</v>
      </c>
      <c r="AE662">
        <v>0</v>
      </c>
      <c r="AF662" t="s">
        <v>7105</v>
      </c>
      <c r="AG662" t="s">
        <v>3745</v>
      </c>
      <c r="AH662">
        <v>18</v>
      </c>
      <c r="AI662">
        <v>1</v>
      </c>
      <c r="AJ662">
        <v>0</v>
      </c>
      <c r="AK662">
        <v>85.67</v>
      </c>
      <c r="AN662" t="s">
        <v>7139</v>
      </c>
      <c r="AO662">
        <v>10400</v>
      </c>
      <c r="AU662">
        <v>12.3</v>
      </c>
      <c r="AV662" t="s">
        <v>298</v>
      </c>
      <c r="AW662" t="s">
        <v>7344</v>
      </c>
    </row>
    <row r="663" spans="1:50">
      <c r="A663" s="1">
        <f>HYPERLINK("https://lsnyc.legalserver.org/matter/dynamic-profile/view/1871556","18-1871556")</f>
        <v>0</v>
      </c>
      <c r="B663" t="s">
        <v>56</v>
      </c>
      <c r="C663" t="s">
        <v>104</v>
      </c>
      <c r="D663" t="s">
        <v>119</v>
      </c>
      <c r="E663" t="s">
        <v>280</v>
      </c>
      <c r="F663" t="s">
        <v>719</v>
      </c>
      <c r="G663" t="s">
        <v>1961</v>
      </c>
      <c r="H663" t="s">
        <v>2835</v>
      </c>
      <c r="I663" t="s">
        <v>3288</v>
      </c>
      <c r="J663" t="s">
        <v>3604</v>
      </c>
      <c r="K663">
        <v>10034</v>
      </c>
      <c r="L663" t="s">
        <v>3610</v>
      </c>
      <c r="M663" t="s">
        <v>3610</v>
      </c>
      <c r="O663" t="s">
        <v>4213</v>
      </c>
      <c r="P663" t="s">
        <v>4242</v>
      </c>
      <c r="Q663" t="s">
        <v>4250</v>
      </c>
      <c r="R663" t="s">
        <v>4258</v>
      </c>
      <c r="S663" t="s">
        <v>3611</v>
      </c>
      <c r="U663" t="s">
        <v>4268</v>
      </c>
      <c r="W663" t="s">
        <v>119</v>
      </c>
      <c r="X663">
        <v>940.51</v>
      </c>
      <c r="Y663" t="s">
        <v>4351</v>
      </c>
      <c r="Z663" t="s">
        <v>4354</v>
      </c>
      <c r="AA663" t="s">
        <v>4373</v>
      </c>
      <c r="AB663" t="s">
        <v>4922</v>
      </c>
      <c r="AD663" t="s">
        <v>6306</v>
      </c>
      <c r="AE663">
        <v>20</v>
      </c>
      <c r="AF663" t="s">
        <v>7101</v>
      </c>
      <c r="AG663" t="s">
        <v>3745</v>
      </c>
      <c r="AH663">
        <v>20</v>
      </c>
      <c r="AI663">
        <v>1</v>
      </c>
      <c r="AJ663">
        <v>0</v>
      </c>
      <c r="AK663">
        <v>85.67</v>
      </c>
      <c r="AN663" t="s">
        <v>7139</v>
      </c>
      <c r="AO663">
        <v>10400</v>
      </c>
      <c r="AU663">
        <v>1.5</v>
      </c>
      <c r="AV663" t="s">
        <v>144</v>
      </c>
      <c r="AW663" t="s">
        <v>7342</v>
      </c>
    </row>
    <row r="664" spans="1:50">
      <c r="A664" s="1">
        <f>HYPERLINK("https://lsnyc.legalserver.org/matter/dynamic-profile/view/1858470","18-1858470")</f>
        <v>0</v>
      </c>
      <c r="B664" t="s">
        <v>58</v>
      </c>
      <c r="C664" t="s">
        <v>105</v>
      </c>
      <c r="D664" t="s">
        <v>453</v>
      </c>
      <c r="F664" t="s">
        <v>1080</v>
      </c>
      <c r="G664" t="s">
        <v>1913</v>
      </c>
      <c r="H664" t="s">
        <v>2836</v>
      </c>
      <c r="I664">
        <v>32</v>
      </c>
      <c r="J664" t="s">
        <v>3604</v>
      </c>
      <c r="K664">
        <v>10034</v>
      </c>
      <c r="L664" t="s">
        <v>3610</v>
      </c>
      <c r="M664" t="s">
        <v>3609</v>
      </c>
      <c r="P664" t="s">
        <v>4246</v>
      </c>
      <c r="R664" t="s">
        <v>4258</v>
      </c>
      <c r="S664" t="s">
        <v>3611</v>
      </c>
      <c r="U664" t="s">
        <v>4268</v>
      </c>
      <c r="W664" t="s">
        <v>453</v>
      </c>
      <c r="X664">
        <v>1189</v>
      </c>
      <c r="Y664" t="s">
        <v>4351</v>
      </c>
      <c r="Z664" t="s">
        <v>4357</v>
      </c>
      <c r="AB664" t="s">
        <v>4923</v>
      </c>
      <c r="AD664" t="s">
        <v>6307</v>
      </c>
      <c r="AE664">
        <v>42</v>
      </c>
      <c r="AF664" t="s">
        <v>7101</v>
      </c>
      <c r="AG664" t="s">
        <v>3745</v>
      </c>
      <c r="AH664">
        <v>40</v>
      </c>
      <c r="AI664">
        <v>1</v>
      </c>
      <c r="AJ664">
        <v>0</v>
      </c>
      <c r="AK664">
        <v>85.67</v>
      </c>
      <c r="AN664" t="s">
        <v>7139</v>
      </c>
      <c r="AO664">
        <v>10400</v>
      </c>
      <c r="AU664">
        <v>0</v>
      </c>
      <c r="AW664" t="s">
        <v>7342</v>
      </c>
    </row>
    <row r="665" spans="1:50">
      <c r="A665" s="1">
        <f>HYPERLINK("https://lsnyc.legalserver.org/matter/dynamic-profile/view/1873798","18-1873798")</f>
        <v>0</v>
      </c>
      <c r="B665" t="s">
        <v>62</v>
      </c>
      <c r="C665" t="s">
        <v>105</v>
      </c>
      <c r="D665" t="s">
        <v>287</v>
      </c>
      <c r="F665" t="s">
        <v>787</v>
      </c>
      <c r="G665" t="s">
        <v>1808</v>
      </c>
      <c r="H665" t="s">
        <v>2488</v>
      </c>
      <c r="I665" t="s">
        <v>3438</v>
      </c>
      <c r="J665" t="s">
        <v>3604</v>
      </c>
      <c r="K665">
        <v>10033</v>
      </c>
      <c r="L665" t="s">
        <v>3610</v>
      </c>
      <c r="M665" t="s">
        <v>3610</v>
      </c>
      <c r="O665" t="s">
        <v>4213</v>
      </c>
      <c r="P665" t="s">
        <v>4245</v>
      </c>
      <c r="R665" t="s">
        <v>4258</v>
      </c>
      <c r="S665" t="s">
        <v>3610</v>
      </c>
      <c r="U665" t="s">
        <v>4268</v>
      </c>
      <c r="W665" t="s">
        <v>287</v>
      </c>
      <c r="X665">
        <v>1180</v>
      </c>
      <c r="Y665" t="s">
        <v>4351</v>
      </c>
      <c r="Z665" t="s">
        <v>4352</v>
      </c>
      <c r="AB665" t="s">
        <v>4924</v>
      </c>
      <c r="AD665" t="s">
        <v>6308</v>
      </c>
      <c r="AE665">
        <v>232</v>
      </c>
      <c r="AF665" t="s">
        <v>7101</v>
      </c>
      <c r="AG665" t="s">
        <v>7116</v>
      </c>
      <c r="AH665">
        <v>21</v>
      </c>
      <c r="AI665">
        <v>1</v>
      </c>
      <c r="AJ665">
        <v>0</v>
      </c>
      <c r="AK665">
        <v>85.67</v>
      </c>
      <c r="AN665" t="s">
        <v>7139</v>
      </c>
      <c r="AO665">
        <v>10400</v>
      </c>
      <c r="AU665">
        <v>0.8</v>
      </c>
      <c r="AV665" t="s">
        <v>122</v>
      </c>
      <c r="AW665" t="s">
        <v>7342</v>
      </c>
    </row>
    <row r="666" spans="1:50">
      <c r="A666" s="1">
        <f>HYPERLINK("https://lsnyc.legalserver.org/matter/dynamic-profile/view/1877309","18-1877309")</f>
        <v>0</v>
      </c>
      <c r="B666" t="s">
        <v>61</v>
      </c>
      <c r="C666" t="s">
        <v>105</v>
      </c>
      <c r="D666" t="s">
        <v>468</v>
      </c>
      <c r="F666" t="s">
        <v>1081</v>
      </c>
      <c r="G666" t="s">
        <v>1855</v>
      </c>
      <c r="H666" t="s">
        <v>2734</v>
      </c>
      <c r="I666" t="s">
        <v>3274</v>
      </c>
      <c r="J666" t="s">
        <v>3604</v>
      </c>
      <c r="K666">
        <v>10040</v>
      </c>
      <c r="L666" t="s">
        <v>3610</v>
      </c>
      <c r="M666" t="s">
        <v>3610</v>
      </c>
      <c r="O666" t="s">
        <v>4231</v>
      </c>
      <c r="P666" t="s">
        <v>4245</v>
      </c>
      <c r="R666" t="s">
        <v>4258</v>
      </c>
      <c r="S666" t="s">
        <v>3611</v>
      </c>
      <c r="U666" t="s">
        <v>4268</v>
      </c>
      <c r="W666" t="s">
        <v>468</v>
      </c>
      <c r="X666">
        <v>1990.34</v>
      </c>
      <c r="Y666" t="s">
        <v>4351</v>
      </c>
      <c r="Z666" t="s">
        <v>4354</v>
      </c>
      <c r="AB666" t="s">
        <v>4925</v>
      </c>
      <c r="AD666" t="s">
        <v>6309</v>
      </c>
      <c r="AE666">
        <v>41</v>
      </c>
      <c r="AF666" t="s">
        <v>7101</v>
      </c>
      <c r="AG666" t="s">
        <v>7116</v>
      </c>
      <c r="AH666">
        <v>7</v>
      </c>
      <c r="AI666">
        <v>1</v>
      </c>
      <c r="AJ666">
        <v>0</v>
      </c>
      <c r="AK666">
        <v>85.7</v>
      </c>
      <c r="AN666" t="s">
        <v>7139</v>
      </c>
      <c r="AO666">
        <v>10404</v>
      </c>
      <c r="AU666">
        <v>2.4</v>
      </c>
      <c r="AV666" t="s">
        <v>600</v>
      </c>
      <c r="AW666" t="s">
        <v>7342</v>
      </c>
      <c r="AX666" t="s">
        <v>7377</v>
      </c>
    </row>
    <row r="667" spans="1:50">
      <c r="A667" s="1">
        <f>HYPERLINK("https://lsnyc.legalserver.org/matter/dynamic-profile/view/0829499","17-0829499")</f>
        <v>0</v>
      </c>
      <c r="B667" t="s">
        <v>51</v>
      </c>
      <c r="C667" t="s">
        <v>104</v>
      </c>
      <c r="D667" t="s">
        <v>469</v>
      </c>
      <c r="E667" t="s">
        <v>653</v>
      </c>
      <c r="F667" t="s">
        <v>1082</v>
      </c>
      <c r="G667" t="s">
        <v>1962</v>
      </c>
      <c r="H667" t="s">
        <v>2837</v>
      </c>
      <c r="J667" t="s">
        <v>3604</v>
      </c>
      <c r="K667">
        <v>10029</v>
      </c>
      <c r="L667" t="s">
        <v>3610</v>
      </c>
      <c r="M667" t="s">
        <v>3610</v>
      </c>
      <c r="N667" t="s">
        <v>3862</v>
      </c>
      <c r="O667" t="s">
        <v>4210</v>
      </c>
      <c r="P667" t="s">
        <v>4241</v>
      </c>
      <c r="Q667" t="s">
        <v>4248</v>
      </c>
      <c r="R667" t="s">
        <v>4258</v>
      </c>
      <c r="S667" t="s">
        <v>3611</v>
      </c>
      <c r="U667" t="s">
        <v>4268</v>
      </c>
      <c r="V667" t="s">
        <v>4274</v>
      </c>
      <c r="W667" t="s">
        <v>243</v>
      </c>
      <c r="X667">
        <v>1080</v>
      </c>
      <c r="Y667" t="s">
        <v>4351</v>
      </c>
      <c r="Z667" t="s">
        <v>4354</v>
      </c>
      <c r="AA667" t="s">
        <v>4375</v>
      </c>
      <c r="AB667" t="s">
        <v>4926</v>
      </c>
      <c r="AD667" t="s">
        <v>6310</v>
      </c>
      <c r="AE667">
        <v>936</v>
      </c>
      <c r="AF667" t="s">
        <v>7101</v>
      </c>
      <c r="AG667" t="s">
        <v>3745</v>
      </c>
      <c r="AH667">
        <v>6</v>
      </c>
      <c r="AI667">
        <v>2</v>
      </c>
      <c r="AJ667">
        <v>1</v>
      </c>
      <c r="AK667">
        <v>85.7</v>
      </c>
      <c r="AN667" t="s">
        <v>7148</v>
      </c>
      <c r="AO667">
        <v>17500</v>
      </c>
      <c r="AU667">
        <v>11.3</v>
      </c>
      <c r="AV667" t="s">
        <v>282</v>
      </c>
      <c r="AW667" t="s">
        <v>7372</v>
      </c>
    </row>
    <row r="668" spans="1:50">
      <c r="A668" s="1">
        <f>HYPERLINK("https://lsnyc.legalserver.org/matter/dynamic-profile/view/1902063","19-1902063")</f>
        <v>0</v>
      </c>
      <c r="B668" t="s">
        <v>69</v>
      </c>
      <c r="C668" t="s">
        <v>105</v>
      </c>
      <c r="D668" t="s">
        <v>122</v>
      </c>
      <c r="F668" t="s">
        <v>794</v>
      </c>
      <c r="G668" t="s">
        <v>1913</v>
      </c>
      <c r="H668" t="s">
        <v>2838</v>
      </c>
      <c r="I668" t="s">
        <v>3316</v>
      </c>
      <c r="J668" t="s">
        <v>3604</v>
      </c>
      <c r="K668">
        <v>10024</v>
      </c>
      <c r="L668" t="s">
        <v>3610</v>
      </c>
      <c r="M668" t="s">
        <v>3609</v>
      </c>
      <c r="O668" t="s">
        <v>4211</v>
      </c>
      <c r="P668" t="s">
        <v>4246</v>
      </c>
      <c r="R668" t="s">
        <v>4258</v>
      </c>
      <c r="S668" t="s">
        <v>3610</v>
      </c>
      <c r="U668" t="s">
        <v>4268</v>
      </c>
      <c r="V668" t="s">
        <v>4274</v>
      </c>
      <c r="W668" t="s">
        <v>122</v>
      </c>
      <c r="X668">
        <v>437</v>
      </c>
      <c r="Y668" t="s">
        <v>4351</v>
      </c>
      <c r="Z668" t="s">
        <v>4228</v>
      </c>
      <c r="AB668" t="s">
        <v>4927</v>
      </c>
      <c r="AD668" t="s">
        <v>6311</v>
      </c>
      <c r="AE668">
        <v>24</v>
      </c>
      <c r="AF668" t="s">
        <v>7104</v>
      </c>
      <c r="AG668" t="s">
        <v>3745</v>
      </c>
      <c r="AH668">
        <v>53</v>
      </c>
      <c r="AI668">
        <v>1</v>
      </c>
      <c r="AJ668">
        <v>0</v>
      </c>
      <c r="AK668">
        <v>85.89</v>
      </c>
      <c r="AN668" t="s">
        <v>7138</v>
      </c>
      <c r="AO668">
        <v>10728</v>
      </c>
      <c r="AU668">
        <v>4.5</v>
      </c>
      <c r="AV668" t="s">
        <v>529</v>
      </c>
      <c r="AW668" t="s">
        <v>7341</v>
      </c>
      <c r="AX668" t="s">
        <v>7377</v>
      </c>
    </row>
    <row r="669" spans="1:50">
      <c r="A669" s="1">
        <f>HYPERLINK("https://lsnyc.legalserver.org/matter/dynamic-profile/view/1858402","18-1858402")</f>
        <v>0</v>
      </c>
      <c r="B669" t="s">
        <v>53</v>
      </c>
      <c r="C669" t="s">
        <v>105</v>
      </c>
      <c r="D669" t="s">
        <v>453</v>
      </c>
      <c r="F669" t="s">
        <v>977</v>
      </c>
      <c r="G669" t="s">
        <v>1600</v>
      </c>
      <c r="H669" t="s">
        <v>2508</v>
      </c>
      <c r="I669">
        <v>610</v>
      </c>
      <c r="J669" t="s">
        <v>3604</v>
      </c>
      <c r="K669">
        <v>10029</v>
      </c>
      <c r="L669" t="s">
        <v>3610</v>
      </c>
      <c r="M669" t="s">
        <v>3610</v>
      </c>
      <c r="O669" t="s">
        <v>4211</v>
      </c>
      <c r="P669" t="s">
        <v>4242</v>
      </c>
      <c r="R669" t="s">
        <v>4258</v>
      </c>
      <c r="S669" t="s">
        <v>3611</v>
      </c>
      <c r="U669" t="s">
        <v>4268</v>
      </c>
      <c r="V669" t="s">
        <v>4274</v>
      </c>
      <c r="W669" t="s">
        <v>453</v>
      </c>
      <c r="X669">
        <v>2500</v>
      </c>
      <c r="Y669" t="s">
        <v>4351</v>
      </c>
      <c r="Z669" t="s">
        <v>4352</v>
      </c>
      <c r="AB669" t="s">
        <v>4928</v>
      </c>
      <c r="AD669" t="s">
        <v>6312</v>
      </c>
      <c r="AE669">
        <v>108</v>
      </c>
      <c r="AF669" t="s">
        <v>7106</v>
      </c>
      <c r="AG669" t="s">
        <v>7116</v>
      </c>
      <c r="AH669">
        <v>21</v>
      </c>
      <c r="AI669">
        <v>1</v>
      </c>
      <c r="AJ669">
        <v>2</v>
      </c>
      <c r="AK669">
        <v>85.95</v>
      </c>
      <c r="AN669" t="s">
        <v>7138</v>
      </c>
      <c r="AO669">
        <v>17550</v>
      </c>
      <c r="AU669">
        <v>34</v>
      </c>
      <c r="AV669" t="s">
        <v>315</v>
      </c>
      <c r="AW669" t="s">
        <v>7341</v>
      </c>
      <c r="AX669" t="s">
        <v>7377</v>
      </c>
    </row>
    <row r="670" spans="1:50">
      <c r="A670" s="1">
        <f>HYPERLINK("https://lsnyc.legalserver.org/matter/dynamic-profile/view/1839788","17-1839788")</f>
        <v>0</v>
      </c>
      <c r="B670" t="s">
        <v>69</v>
      </c>
      <c r="C670" t="s">
        <v>105</v>
      </c>
      <c r="D670" t="s">
        <v>470</v>
      </c>
      <c r="F670" t="s">
        <v>1083</v>
      </c>
      <c r="G670" t="s">
        <v>1913</v>
      </c>
      <c r="H670" t="s">
        <v>2839</v>
      </c>
      <c r="I670" t="s">
        <v>3311</v>
      </c>
      <c r="J670" t="s">
        <v>3604</v>
      </c>
      <c r="K670">
        <v>10029</v>
      </c>
      <c r="L670" t="s">
        <v>3610</v>
      </c>
      <c r="M670" t="s">
        <v>3609</v>
      </c>
      <c r="N670" t="s">
        <v>3863</v>
      </c>
      <c r="O670" t="s">
        <v>4210</v>
      </c>
      <c r="P670" t="s">
        <v>4241</v>
      </c>
      <c r="R670" t="s">
        <v>4258</v>
      </c>
      <c r="S670" t="s">
        <v>3611</v>
      </c>
      <c r="U670" t="s">
        <v>4268</v>
      </c>
      <c r="V670" t="s">
        <v>4274</v>
      </c>
      <c r="W670" t="s">
        <v>379</v>
      </c>
      <c r="X670">
        <v>637.2</v>
      </c>
      <c r="Y670" t="s">
        <v>4351</v>
      </c>
      <c r="Z670" t="s">
        <v>4357</v>
      </c>
      <c r="AB670" t="s">
        <v>4929</v>
      </c>
      <c r="AD670" t="s">
        <v>6313</v>
      </c>
      <c r="AE670">
        <v>10</v>
      </c>
      <c r="AF670" t="s">
        <v>7101</v>
      </c>
      <c r="AG670" t="s">
        <v>3745</v>
      </c>
      <c r="AH670">
        <v>11</v>
      </c>
      <c r="AI670">
        <v>1</v>
      </c>
      <c r="AJ670">
        <v>2</v>
      </c>
      <c r="AK670">
        <v>86.15000000000001</v>
      </c>
      <c r="AN670" t="s">
        <v>7139</v>
      </c>
      <c r="AO670">
        <v>27216</v>
      </c>
      <c r="AU670">
        <v>29.15</v>
      </c>
      <c r="AV670" t="s">
        <v>512</v>
      </c>
      <c r="AW670" t="s">
        <v>7341</v>
      </c>
      <c r="AX670" t="s">
        <v>7377</v>
      </c>
    </row>
    <row r="671" spans="1:50">
      <c r="A671" s="1">
        <f>HYPERLINK("https://lsnyc.legalserver.org/matter/dynamic-profile/view/1840620","17-1840620")</f>
        <v>0</v>
      </c>
      <c r="B671" t="s">
        <v>93</v>
      </c>
      <c r="C671" t="s">
        <v>104</v>
      </c>
      <c r="D671" t="s">
        <v>471</v>
      </c>
      <c r="E671" t="s">
        <v>655</v>
      </c>
      <c r="F671" t="s">
        <v>1084</v>
      </c>
      <c r="G671" t="s">
        <v>1704</v>
      </c>
      <c r="H671" t="s">
        <v>2840</v>
      </c>
      <c r="I671" t="s">
        <v>3439</v>
      </c>
      <c r="J671" t="s">
        <v>3604</v>
      </c>
      <c r="K671">
        <v>10035</v>
      </c>
      <c r="L671" t="s">
        <v>3610</v>
      </c>
      <c r="M671" t="s">
        <v>3610</v>
      </c>
      <c r="O671" t="s">
        <v>4211</v>
      </c>
      <c r="P671" t="s">
        <v>4242</v>
      </c>
      <c r="Q671" t="s">
        <v>4250</v>
      </c>
      <c r="R671" t="s">
        <v>4258</v>
      </c>
      <c r="S671" t="s">
        <v>3611</v>
      </c>
      <c r="U671" t="s">
        <v>4268</v>
      </c>
      <c r="V671" t="s">
        <v>4274</v>
      </c>
      <c r="W671" t="s">
        <v>471</v>
      </c>
      <c r="X671">
        <v>916</v>
      </c>
      <c r="Y671" t="s">
        <v>4351</v>
      </c>
      <c r="Z671" t="s">
        <v>4357</v>
      </c>
      <c r="AA671" t="s">
        <v>4373</v>
      </c>
      <c r="AB671" t="s">
        <v>4930</v>
      </c>
      <c r="AD671" t="s">
        <v>6314</v>
      </c>
      <c r="AE671">
        <v>255</v>
      </c>
      <c r="AF671" t="s">
        <v>7101</v>
      </c>
      <c r="AG671" t="s">
        <v>7116</v>
      </c>
      <c r="AH671">
        <v>36</v>
      </c>
      <c r="AI671">
        <v>1</v>
      </c>
      <c r="AJ671">
        <v>0</v>
      </c>
      <c r="AK671">
        <v>86.17</v>
      </c>
      <c r="AN671" t="s">
        <v>7138</v>
      </c>
      <c r="AO671">
        <v>10392</v>
      </c>
      <c r="AP671" t="s">
        <v>7179</v>
      </c>
      <c r="AU671">
        <v>4.01</v>
      </c>
      <c r="AV671" t="s">
        <v>302</v>
      </c>
      <c r="AW671" t="s">
        <v>7341</v>
      </c>
    </row>
    <row r="672" spans="1:50">
      <c r="A672" s="1">
        <f>HYPERLINK("https://lsnyc.legalserver.org/matter/dynamic-profile/view/1844969","17-1844969")</f>
        <v>0</v>
      </c>
      <c r="B672" t="s">
        <v>61</v>
      </c>
      <c r="C672" t="s">
        <v>105</v>
      </c>
      <c r="D672" t="s">
        <v>472</v>
      </c>
      <c r="F672" t="s">
        <v>1085</v>
      </c>
      <c r="G672" t="s">
        <v>1963</v>
      </c>
      <c r="H672" t="s">
        <v>2841</v>
      </c>
      <c r="I672" t="s">
        <v>3440</v>
      </c>
      <c r="J672" t="s">
        <v>3604</v>
      </c>
      <c r="K672">
        <v>10025</v>
      </c>
      <c r="L672" t="s">
        <v>3610</v>
      </c>
      <c r="M672" t="s">
        <v>3609</v>
      </c>
      <c r="N672" t="s">
        <v>3864</v>
      </c>
      <c r="O672" t="s">
        <v>4210</v>
      </c>
      <c r="P672" t="s">
        <v>4241</v>
      </c>
      <c r="R672" t="s">
        <v>4257</v>
      </c>
      <c r="S672" t="s">
        <v>3611</v>
      </c>
      <c r="U672" t="s">
        <v>4268</v>
      </c>
      <c r="W672" t="s">
        <v>4314</v>
      </c>
      <c r="X672">
        <v>1127</v>
      </c>
      <c r="Y672" t="s">
        <v>4351</v>
      </c>
      <c r="Z672" t="s">
        <v>4355</v>
      </c>
      <c r="AB672" t="s">
        <v>4931</v>
      </c>
      <c r="AD672" t="s">
        <v>6315</v>
      </c>
      <c r="AE672">
        <v>207</v>
      </c>
      <c r="AF672" t="s">
        <v>7105</v>
      </c>
      <c r="AG672" t="s">
        <v>3745</v>
      </c>
      <c r="AH672">
        <v>4</v>
      </c>
      <c r="AI672">
        <v>1</v>
      </c>
      <c r="AJ672">
        <v>0</v>
      </c>
      <c r="AK672">
        <v>86.23999999999999</v>
      </c>
      <c r="AL672" t="s">
        <v>369</v>
      </c>
      <c r="AN672" t="s">
        <v>7138</v>
      </c>
      <c r="AO672">
        <v>10400</v>
      </c>
      <c r="AU672">
        <v>63.7</v>
      </c>
      <c r="AV672" t="s">
        <v>179</v>
      </c>
      <c r="AW672" t="s">
        <v>7349</v>
      </c>
    </row>
    <row r="673" spans="1:50">
      <c r="A673" s="1">
        <f>HYPERLINK("https://lsnyc.legalserver.org/matter/dynamic-profile/view/1898899","19-1898899")</f>
        <v>0</v>
      </c>
      <c r="B673" t="s">
        <v>52</v>
      </c>
      <c r="C673" t="s">
        <v>105</v>
      </c>
      <c r="D673" t="s">
        <v>273</v>
      </c>
      <c r="F673" t="s">
        <v>1086</v>
      </c>
      <c r="G673" t="s">
        <v>1722</v>
      </c>
      <c r="H673" t="s">
        <v>2842</v>
      </c>
      <c r="I673">
        <v>32</v>
      </c>
      <c r="J673" t="s">
        <v>3604</v>
      </c>
      <c r="K673">
        <v>10034</v>
      </c>
      <c r="L673" t="s">
        <v>3610</v>
      </c>
      <c r="M673" t="s">
        <v>3610</v>
      </c>
      <c r="P673" t="s">
        <v>4241</v>
      </c>
      <c r="R673" t="s">
        <v>4258</v>
      </c>
      <c r="S673" t="s">
        <v>3611</v>
      </c>
      <c r="U673" t="s">
        <v>4268</v>
      </c>
      <c r="W673" t="s">
        <v>273</v>
      </c>
      <c r="X673">
        <v>0</v>
      </c>
      <c r="Y673" t="s">
        <v>4351</v>
      </c>
      <c r="Z673" t="s">
        <v>4354</v>
      </c>
      <c r="AB673" t="s">
        <v>4932</v>
      </c>
      <c r="AD673" t="s">
        <v>6316</v>
      </c>
      <c r="AE673">
        <v>0</v>
      </c>
      <c r="AF673" t="s">
        <v>7101</v>
      </c>
      <c r="AG673" t="s">
        <v>3745</v>
      </c>
      <c r="AH673">
        <v>0</v>
      </c>
      <c r="AI673">
        <v>1</v>
      </c>
      <c r="AJ673">
        <v>0</v>
      </c>
      <c r="AK673">
        <v>86.47</v>
      </c>
      <c r="AN673" t="s">
        <v>7138</v>
      </c>
      <c r="AO673">
        <v>10800</v>
      </c>
      <c r="AU673">
        <v>2.7</v>
      </c>
      <c r="AV673" t="s">
        <v>149</v>
      </c>
      <c r="AW673" t="s">
        <v>7342</v>
      </c>
    </row>
    <row r="674" spans="1:50">
      <c r="A674" s="1">
        <f>HYPERLINK("https://lsnyc.legalserver.org/matter/dynamic-profile/view/1902439","19-1902439")</f>
        <v>0</v>
      </c>
      <c r="B674" t="s">
        <v>81</v>
      </c>
      <c r="C674" t="s">
        <v>105</v>
      </c>
      <c r="D674" t="s">
        <v>330</v>
      </c>
      <c r="F674" t="s">
        <v>1087</v>
      </c>
      <c r="G674" t="s">
        <v>1964</v>
      </c>
      <c r="H674" t="s">
        <v>2843</v>
      </c>
      <c r="I674">
        <v>1</v>
      </c>
      <c r="J674" t="s">
        <v>3604</v>
      </c>
      <c r="K674">
        <v>10032</v>
      </c>
      <c r="L674" t="s">
        <v>3610</v>
      </c>
      <c r="M674" t="s">
        <v>3609</v>
      </c>
      <c r="N674" t="s">
        <v>3865</v>
      </c>
      <c r="O674" t="s">
        <v>4209</v>
      </c>
      <c r="P674" t="s">
        <v>4246</v>
      </c>
      <c r="R674" t="s">
        <v>4258</v>
      </c>
      <c r="S674" t="s">
        <v>3611</v>
      </c>
      <c r="U674" t="s">
        <v>4268</v>
      </c>
      <c r="W674" t="s">
        <v>330</v>
      </c>
      <c r="X674">
        <v>1308</v>
      </c>
      <c r="Y674" t="s">
        <v>4351</v>
      </c>
      <c r="Z674" t="s">
        <v>4353</v>
      </c>
      <c r="AB674" t="s">
        <v>4933</v>
      </c>
      <c r="AD674" t="s">
        <v>6317</v>
      </c>
      <c r="AE674">
        <v>0</v>
      </c>
      <c r="AF674" t="s">
        <v>7101</v>
      </c>
      <c r="AG674" t="s">
        <v>7116</v>
      </c>
      <c r="AH674">
        <v>48</v>
      </c>
      <c r="AI674">
        <v>1</v>
      </c>
      <c r="AJ674">
        <v>0</v>
      </c>
      <c r="AK674">
        <v>86.47</v>
      </c>
      <c r="AN674" t="s">
        <v>7138</v>
      </c>
      <c r="AO674">
        <v>10800</v>
      </c>
      <c r="AU674">
        <v>2.9</v>
      </c>
      <c r="AV674" t="s">
        <v>396</v>
      </c>
      <c r="AW674" t="s">
        <v>7347</v>
      </c>
      <c r="AX674" t="s">
        <v>7377</v>
      </c>
    </row>
    <row r="675" spans="1:50">
      <c r="A675" s="1">
        <f>HYPERLINK("https://lsnyc.legalserver.org/matter/dynamic-profile/view/0806931","16-0806931")</f>
        <v>0</v>
      </c>
      <c r="B675" t="s">
        <v>63</v>
      </c>
      <c r="C675" t="s">
        <v>105</v>
      </c>
      <c r="D675" t="s">
        <v>289</v>
      </c>
      <c r="F675" t="s">
        <v>1088</v>
      </c>
      <c r="G675" t="s">
        <v>1748</v>
      </c>
      <c r="H675" t="s">
        <v>2637</v>
      </c>
      <c r="I675" t="s">
        <v>3279</v>
      </c>
      <c r="J675" t="s">
        <v>3604</v>
      </c>
      <c r="K675">
        <v>10034</v>
      </c>
      <c r="L675" t="s">
        <v>3610</v>
      </c>
      <c r="M675" t="s">
        <v>3609</v>
      </c>
      <c r="N675" t="s">
        <v>3721</v>
      </c>
      <c r="O675" t="s">
        <v>4213</v>
      </c>
      <c r="P675" t="s">
        <v>4241</v>
      </c>
      <c r="R675" t="s">
        <v>4258</v>
      </c>
      <c r="S675" t="s">
        <v>3610</v>
      </c>
      <c r="U675" t="s">
        <v>4268</v>
      </c>
      <c r="W675" t="s">
        <v>4292</v>
      </c>
      <c r="X675">
        <v>858.17</v>
      </c>
      <c r="Y675" t="s">
        <v>4351</v>
      </c>
      <c r="Z675" t="s">
        <v>4364</v>
      </c>
      <c r="AB675" t="s">
        <v>4934</v>
      </c>
      <c r="AD675" t="s">
        <v>6318</v>
      </c>
      <c r="AE675">
        <v>44</v>
      </c>
      <c r="AF675" t="s">
        <v>7101</v>
      </c>
      <c r="AG675" t="s">
        <v>3745</v>
      </c>
      <c r="AH675">
        <v>23</v>
      </c>
      <c r="AI675">
        <v>2</v>
      </c>
      <c r="AJ675">
        <v>1</v>
      </c>
      <c r="AK675">
        <v>86.48999999999999</v>
      </c>
      <c r="AN675" t="s">
        <v>7139</v>
      </c>
      <c r="AO675">
        <v>17436</v>
      </c>
      <c r="AU675">
        <v>9.35</v>
      </c>
      <c r="AV675" t="s">
        <v>165</v>
      </c>
      <c r="AW675" t="s">
        <v>7341</v>
      </c>
    </row>
    <row r="676" spans="1:50">
      <c r="A676" s="1">
        <f>HYPERLINK("https://lsnyc.legalserver.org/matter/dynamic-profile/view/1874671","18-1874671")</f>
        <v>0</v>
      </c>
      <c r="B676" t="s">
        <v>56</v>
      </c>
      <c r="C676" t="s">
        <v>104</v>
      </c>
      <c r="D676" t="s">
        <v>144</v>
      </c>
      <c r="E676" t="s">
        <v>636</v>
      </c>
      <c r="F676" t="s">
        <v>1089</v>
      </c>
      <c r="G676" t="s">
        <v>1600</v>
      </c>
      <c r="H676" t="s">
        <v>2844</v>
      </c>
      <c r="I676" t="s">
        <v>3294</v>
      </c>
      <c r="J676" t="s">
        <v>3604</v>
      </c>
      <c r="K676">
        <v>10034</v>
      </c>
      <c r="L676" t="s">
        <v>3610</v>
      </c>
      <c r="M676" t="s">
        <v>3610</v>
      </c>
      <c r="O676" t="s">
        <v>4235</v>
      </c>
      <c r="P676" t="s">
        <v>4242</v>
      </c>
      <c r="Q676" t="s">
        <v>4250</v>
      </c>
      <c r="R676" t="s">
        <v>4258</v>
      </c>
      <c r="S676" t="s">
        <v>3611</v>
      </c>
      <c r="U676" t="s">
        <v>4268</v>
      </c>
      <c r="W676" t="s">
        <v>144</v>
      </c>
      <c r="X676">
        <v>1450</v>
      </c>
      <c r="Y676" t="s">
        <v>4351</v>
      </c>
      <c r="Z676" t="s">
        <v>4354</v>
      </c>
      <c r="AA676" t="s">
        <v>4373</v>
      </c>
      <c r="AB676" t="s">
        <v>4935</v>
      </c>
      <c r="AD676" t="s">
        <v>6319</v>
      </c>
      <c r="AE676">
        <v>73</v>
      </c>
      <c r="AF676" t="s">
        <v>7101</v>
      </c>
      <c r="AG676" t="s">
        <v>3745</v>
      </c>
      <c r="AH676">
        <v>9</v>
      </c>
      <c r="AI676">
        <v>1</v>
      </c>
      <c r="AJ676">
        <v>0</v>
      </c>
      <c r="AK676">
        <v>86.48999999999999</v>
      </c>
      <c r="AN676" t="s">
        <v>7139</v>
      </c>
      <c r="AO676">
        <v>10500</v>
      </c>
      <c r="AU676">
        <v>0.4</v>
      </c>
      <c r="AV676" t="s">
        <v>493</v>
      </c>
      <c r="AW676" t="s">
        <v>7342</v>
      </c>
    </row>
    <row r="677" spans="1:50">
      <c r="A677" s="1">
        <f>HYPERLINK("https://lsnyc.legalserver.org/matter/dynamic-profile/view/1892699","19-1892699")</f>
        <v>0</v>
      </c>
      <c r="B677" t="s">
        <v>60</v>
      </c>
      <c r="C677" t="s">
        <v>105</v>
      </c>
      <c r="D677" t="s">
        <v>190</v>
      </c>
      <c r="F677" t="s">
        <v>1090</v>
      </c>
      <c r="G677" t="s">
        <v>1965</v>
      </c>
      <c r="H677" t="s">
        <v>2845</v>
      </c>
      <c r="I677" t="s">
        <v>3441</v>
      </c>
      <c r="J677" t="s">
        <v>3604</v>
      </c>
      <c r="K677">
        <v>10034</v>
      </c>
      <c r="L677" t="s">
        <v>3610</v>
      </c>
      <c r="M677" t="s">
        <v>3610</v>
      </c>
      <c r="O677" t="s">
        <v>4218</v>
      </c>
      <c r="P677" t="s">
        <v>4242</v>
      </c>
      <c r="R677" t="s">
        <v>4258</v>
      </c>
      <c r="S677" t="s">
        <v>3611</v>
      </c>
      <c r="U677" t="s">
        <v>4268</v>
      </c>
      <c r="W677" t="s">
        <v>165</v>
      </c>
      <c r="X677">
        <v>1912</v>
      </c>
      <c r="Y677" t="s">
        <v>4351</v>
      </c>
      <c r="Z677" t="s">
        <v>4354</v>
      </c>
      <c r="AB677" t="s">
        <v>4936</v>
      </c>
      <c r="AC677" t="s">
        <v>5827</v>
      </c>
      <c r="AE677">
        <v>60</v>
      </c>
      <c r="AF677" t="s">
        <v>7101</v>
      </c>
      <c r="AG677" t="s">
        <v>3745</v>
      </c>
      <c r="AH677">
        <v>18</v>
      </c>
      <c r="AI677">
        <v>2</v>
      </c>
      <c r="AJ677">
        <v>1</v>
      </c>
      <c r="AK677">
        <v>86.58</v>
      </c>
      <c r="AN677" t="s">
        <v>7138</v>
      </c>
      <c r="AO677">
        <v>18468</v>
      </c>
      <c r="AU677">
        <v>1.75</v>
      </c>
      <c r="AV677" t="s">
        <v>352</v>
      </c>
      <c r="AW677" t="s">
        <v>7346</v>
      </c>
    </row>
    <row r="678" spans="1:50">
      <c r="A678" s="1">
        <f>HYPERLINK("https://lsnyc.legalserver.org/matter/dynamic-profile/view/1867970","18-1867970")</f>
        <v>0</v>
      </c>
      <c r="B678" t="s">
        <v>61</v>
      </c>
      <c r="C678" t="s">
        <v>105</v>
      </c>
      <c r="D678" t="s">
        <v>473</v>
      </c>
      <c r="F678" t="s">
        <v>979</v>
      </c>
      <c r="G678" t="s">
        <v>1713</v>
      </c>
      <c r="H678" t="s">
        <v>2846</v>
      </c>
      <c r="I678" t="s">
        <v>3295</v>
      </c>
      <c r="J678" t="s">
        <v>3604</v>
      </c>
      <c r="K678">
        <v>10034</v>
      </c>
      <c r="L678" t="s">
        <v>3610</v>
      </c>
      <c r="M678" t="s">
        <v>3609</v>
      </c>
      <c r="O678" t="s">
        <v>4221</v>
      </c>
      <c r="P678" t="s">
        <v>4244</v>
      </c>
      <c r="R678" t="s">
        <v>4258</v>
      </c>
      <c r="S678" t="s">
        <v>3611</v>
      </c>
      <c r="U678" t="s">
        <v>4268</v>
      </c>
      <c r="W678" t="s">
        <v>473</v>
      </c>
      <c r="X678">
        <v>432.57</v>
      </c>
      <c r="Y678" t="s">
        <v>4351</v>
      </c>
      <c r="Z678" t="s">
        <v>4357</v>
      </c>
      <c r="AB678" t="s">
        <v>4937</v>
      </c>
      <c r="AD678" t="s">
        <v>6320</v>
      </c>
      <c r="AE678">
        <v>41</v>
      </c>
      <c r="AF678" t="s">
        <v>7104</v>
      </c>
      <c r="AG678" t="s">
        <v>3745</v>
      </c>
      <c r="AH678">
        <v>51</v>
      </c>
      <c r="AI678">
        <v>1</v>
      </c>
      <c r="AJ678">
        <v>0</v>
      </c>
      <c r="AK678">
        <v>86.83</v>
      </c>
      <c r="AN678" t="s">
        <v>7138</v>
      </c>
      <c r="AO678">
        <v>10540.8</v>
      </c>
      <c r="AU678">
        <v>3.9</v>
      </c>
      <c r="AV678" t="s">
        <v>360</v>
      </c>
      <c r="AW678" t="s">
        <v>7342</v>
      </c>
    </row>
    <row r="679" spans="1:50">
      <c r="A679" s="1">
        <f>HYPERLINK("https://lsnyc.legalserver.org/matter/dynamic-profile/view/1867941","18-1867941")</f>
        <v>0</v>
      </c>
      <c r="B679" t="s">
        <v>61</v>
      </c>
      <c r="C679" t="s">
        <v>105</v>
      </c>
      <c r="D679" t="s">
        <v>473</v>
      </c>
      <c r="F679" t="s">
        <v>979</v>
      </c>
      <c r="G679" t="s">
        <v>1713</v>
      </c>
      <c r="H679" t="s">
        <v>2846</v>
      </c>
      <c r="I679" t="s">
        <v>3295</v>
      </c>
      <c r="J679" t="s">
        <v>3604</v>
      </c>
      <c r="K679">
        <v>10034</v>
      </c>
      <c r="L679" t="s">
        <v>3610</v>
      </c>
      <c r="M679" t="s">
        <v>3609</v>
      </c>
      <c r="N679" t="s">
        <v>3866</v>
      </c>
      <c r="O679" t="s">
        <v>4209</v>
      </c>
      <c r="P679" t="s">
        <v>4241</v>
      </c>
      <c r="R679" t="s">
        <v>4258</v>
      </c>
      <c r="S679" t="s">
        <v>3611</v>
      </c>
      <c r="U679" t="s">
        <v>4268</v>
      </c>
      <c r="W679" t="s">
        <v>473</v>
      </c>
      <c r="X679">
        <v>432.57</v>
      </c>
      <c r="Y679" t="s">
        <v>4351</v>
      </c>
      <c r="Z679" t="s">
        <v>4357</v>
      </c>
      <c r="AB679" t="s">
        <v>4937</v>
      </c>
      <c r="AD679" t="s">
        <v>6320</v>
      </c>
      <c r="AE679">
        <v>41</v>
      </c>
      <c r="AF679" t="s">
        <v>7104</v>
      </c>
      <c r="AG679" t="s">
        <v>3745</v>
      </c>
      <c r="AH679">
        <v>51</v>
      </c>
      <c r="AI679">
        <v>1</v>
      </c>
      <c r="AJ679">
        <v>0</v>
      </c>
      <c r="AK679">
        <v>86.83</v>
      </c>
      <c r="AN679" t="s">
        <v>7138</v>
      </c>
      <c r="AO679">
        <v>10540.8</v>
      </c>
      <c r="AU679">
        <v>8.199999999999999</v>
      </c>
      <c r="AV679" t="s">
        <v>658</v>
      </c>
      <c r="AW679" t="s">
        <v>7342</v>
      </c>
    </row>
    <row r="680" spans="1:50">
      <c r="A680" s="1">
        <f>HYPERLINK("https://lsnyc.legalserver.org/matter/dynamic-profile/view/1847636","17-1847636")</f>
        <v>0</v>
      </c>
      <c r="B680" t="s">
        <v>64</v>
      </c>
      <c r="C680" t="s">
        <v>105</v>
      </c>
      <c r="D680" t="s">
        <v>284</v>
      </c>
      <c r="F680" t="s">
        <v>1091</v>
      </c>
      <c r="G680" t="s">
        <v>1966</v>
      </c>
      <c r="H680" t="s">
        <v>2632</v>
      </c>
      <c r="I680" t="s">
        <v>3316</v>
      </c>
      <c r="J680" t="s">
        <v>3604</v>
      </c>
      <c r="K680">
        <v>10034</v>
      </c>
      <c r="L680" t="s">
        <v>3610</v>
      </c>
      <c r="M680" t="s">
        <v>3609</v>
      </c>
      <c r="O680" t="s">
        <v>4213</v>
      </c>
      <c r="P680" t="s">
        <v>4241</v>
      </c>
      <c r="R680" t="s">
        <v>4258</v>
      </c>
      <c r="S680" t="s">
        <v>3610</v>
      </c>
      <c r="U680" t="s">
        <v>4268</v>
      </c>
      <c r="W680" t="s">
        <v>609</v>
      </c>
      <c r="X680">
        <v>981.25</v>
      </c>
      <c r="Y680" t="s">
        <v>4351</v>
      </c>
      <c r="Z680" t="s">
        <v>4354</v>
      </c>
      <c r="AB680" t="s">
        <v>4938</v>
      </c>
      <c r="AD680" t="s">
        <v>6321</v>
      </c>
      <c r="AE680">
        <v>50</v>
      </c>
      <c r="AF680" t="s">
        <v>7101</v>
      </c>
      <c r="AG680" t="s">
        <v>3745</v>
      </c>
      <c r="AH680">
        <v>11</v>
      </c>
      <c r="AI680">
        <v>3</v>
      </c>
      <c r="AJ680">
        <v>2</v>
      </c>
      <c r="AK680">
        <v>86.87</v>
      </c>
      <c r="AN680" t="s">
        <v>7139</v>
      </c>
      <c r="AO680">
        <v>25000</v>
      </c>
      <c r="AU680">
        <v>0</v>
      </c>
      <c r="AW680" t="s">
        <v>7342</v>
      </c>
    </row>
    <row r="681" spans="1:50">
      <c r="A681" s="1">
        <f>HYPERLINK("https://lsnyc.legalserver.org/matter/dynamic-profile/view/1861669","18-1861669")</f>
        <v>0</v>
      </c>
      <c r="B681" t="s">
        <v>61</v>
      </c>
      <c r="C681" t="s">
        <v>104</v>
      </c>
      <c r="D681" t="s">
        <v>153</v>
      </c>
      <c r="E681" t="s">
        <v>662</v>
      </c>
      <c r="F681" t="s">
        <v>1092</v>
      </c>
      <c r="G681" t="s">
        <v>1844</v>
      </c>
      <c r="H681" t="s">
        <v>2664</v>
      </c>
      <c r="I681" t="s">
        <v>3316</v>
      </c>
      <c r="J681" t="s">
        <v>3604</v>
      </c>
      <c r="K681">
        <v>10034</v>
      </c>
      <c r="L681" t="s">
        <v>3610</v>
      </c>
      <c r="M681" t="s">
        <v>3609</v>
      </c>
      <c r="P681" t="s">
        <v>4245</v>
      </c>
      <c r="Q681" t="s">
        <v>4249</v>
      </c>
      <c r="R681" t="s">
        <v>4258</v>
      </c>
      <c r="S681" t="s">
        <v>3611</v>
      </c>
      <c r="U681" t="s">
        <v>4268</v>
      </c>
      <c r="W681" t="s">
        <v>153</v>
      </c>
      <c r="X681">
        <v>1499.97</v>
      </c>
      <c r="Y681" t="s">
        <v>4351</v>
      </c>
      <c r="Z681" t="s">
        <v>4354</v>
      </c>
      <c r="AA681" t="s">
        <v>4377</v>
      </c>
      <c r="AB681" t="s">
        <v>4939</v>
      </c>
      <c r="AD681" t="s">
        <v>6322</v>
      </c>
      <c r="AE681">
        <v>16</v>
      </c>
      <c r="AF681" t="s">
        <v>7101</v>
      </c>
      <c r="AG681" t="s">
        <v>7116</v>
      </c>
      <c r="AH681">
        <v>10</v>
      </c>
      <c r="AI681">
        <v>2</v>
      </c>
      <c r="AJ681">
        <v>1</v>
      </c>
      <c r="AK681">
        <v>86.97</v>
      </c>
      <c r="AN681" t="s">
        <v>7139</v>
      </c>
      <c r="AO681">
        <v>18072</v>
      </c>
      <c r="AU681">
        <v>3</v>
      </c>
      <c r="AV681" t="s">
        <v>151</v>
      </c>
      <c r="AW681" t="s">
        <v>7342</v>
      </c>
    </row>
    <row r="682" spans="1:50">
      <c r="A682" s="1">
        <f>HYPERLINK("https://lsnyc.legalserver.org/matter/dynamic-profile/view/1878913","18-1878913")</f>
        <v>0</v>
      </c>
      <c r="B682" t="s">
        <v>64</v>
      </c>
      <c r="C682" t="s">
        <v>105</v>
      </c>
      <c r="D682" t="s">
        <v>282</v>
      </c>
      <c r="F682" t="s">
        <v>1093</v>
      </c>
      <c r="G682" t="s">
        <v>1967</v>
      </c>
      <c r="H682" t="s">
        <v>2576</v>
      </c>
      <c r="I682" t="s">
        <v>3338</v>
      </c>
      <c r="J682" t="s">
        <v>3604</v>
      </c>
      <c r="K682">
        <v>10040</v>
      </c>
      <c r="L682" t="s">
        <v>3610</v>
      </c>
      <c r="M682" t="s">
        <v>3610</v>
      </c>
      <c r="O682" t="s">
        <v>4218</v>
      </c>
      <c r="P682" t="s">
        <v>4241</v>
      </c>
      <c r="R682" t="s">
        <v>4258</v>
      </c>
      <c r="S682" t="s">
        <v>3610</v>
      </c>
      <c r="U682" t="s">
        <v>4268</v>
      </c>
      <c r="W682" t="s">
        <v>282</v>
      </c>
      <c r="X682">
        <v>531.28</v>
      </c>
      <c r="Y682" t="s">
        <v>4351</v>
      </c>
      <c r="Z682" t="s">
        <v>4352</v>
      </c>
      <c r="AB682" t="s">
        <v>4940</v>
      </c>
      <c r="AD682" t="s">
        <v>6323</v>
      </c>
      <c r="AE682">
        <v>88</v>
      </c>
      <c r="AF682" t="s">
        <v>7101</v>
      </c>
      <c r="AG682" t="s">
        <v>7118</v>
      </c>
      <c r="AH682">
        <v>40</v>
      </c>
      <c r="AI682">
        <v>1</v>
      </c>
      <c r="AJ682">
        <v>0</v>
      </c>
      <c r="AK682">
        <v>86.98999999999999</v>
      </c>
      <c r="AN682" t="s">
        <v>7139</v>
      </c>
      <c r="AO682">
        <v>10560</v>
      </c>
      <c r="AU682">
        <v>0</v>
      </c>
      <c r="AW682" t="s">
        <v>7342</v>
      </c>
    </row>
    <row r="683" spans="1:50">
      <c r="A683" s="1">
        <f>HYPERLINK("https://lsnyc.legalserver.org/matter/dynamic-profile/view/1895732","19-1895732")</f>
        <v>0</v>
      </c>
      <c r="B683" t="s">
        <v>53</v>
      </c>
      <c r="C683" t="s">
        <v>104</v>
      </c>
      <c r="D683" t="s">
        <v>208</v>
      </c>
      <c r="E683" t="s">
        <v>325</v>
      </c>
      <c r="F683" t="s">
        <v>1094</v>
      </c>
      <c r="G683" t="s">
        <v>1968</v>
      </c>
      <c r="H683" t="s">
        <v>2536</v>
      </c>
      <c r="I683" t="s">
        <v>3442</v>
      </c>
      <c r="J683" t="s">
        <v>3604</v>
      </c>
      <c r="K683">
        <v>10029</v>
      </c>
      <c r="L683" t="s">
        <v>3610</v>
      </c>
      <c r="M683" t="s">
        <v>3610</v>
      </c>
      <c r="O683" t="s">
        <v>4212</v>
      </c>
      <c r="P683" t="s">
        <v>4245</v>
      </c>
      <c r="Q683" t="s">
        <v>4254</v>
      </c>
      <c r="R683" t="s">
        <v>4258</v>
      </c>
      <c r="S683" t="s">
        <v>3611</v>
      </c>
      <c r="U683" t="s">
        <v>4270</v>
      </c>
      <c r="V683" t="s">
        <v>4274</v>
      </c>
      <c r="W683" t="s">
        <v>208</v>
      </c>
      <c r="X683">
        <v>1100</v>
      </c>
      <c r="Y683" t="s">
        <v>4351</v>
      </c>
      <c r="Z683" t="s">
        <v>4357</v>
      </c>
      <c r="AA683" t="s">
        <v>4391</v>
      </c>
      <c r="AB683" t="s">
        <v>4941</v>
      </c>
      <c r="AD683" t="s">
        <v>6324</v>
      </c>
      <c r="AE683">
        <v>120</v>
      </c>
      <c r="AF683" t="s">
        <v>7102</v>
      </c>
      <c r="AG683" t="s">
        <v>7116</v>
      </c>
      <c r="AH683">
        <v>15</v>
      </c>
      <c r="AI683">
        <v>1</v>
      </c>
      <c r="AJ683">
        <v>0</v>
      </c>
      <c r="AK683">
        <v>87.09</v>
      </c>
      <c r="AN683" t="s">
        <v>7138</v>
      </c>
      <c r="AO683">
        <v>10878</v>
      </c>
      <c r="AU683">
        <v>16.25</v>
      </c>
      <c r="AV683" t="s">
        <v>129</v>
      </c>
      <c r="AW683" t="s">
        <v>7341</v>
      </c>
    </row>
    <row r="684" spans="1:50">
      <c r="A684" s="1">
        <f>HYPERLINK("https://lsnyc.legalserver.org/matter/dynamic-profile/view/1835837","17-1835837")</f>
        <v>0</v>
      </c>
      <c r="B684" t="s">
        <v>53</v>
      </c>
      <c r="C684" t="s">
        <v>105</v>
      </c>
      <c r="D684" t="s">
        <v>403</v>
      </c>
      <c r="F684" t="s">
        <v>815</v>
      </c>
      <c r="G684" t="s">
        <v>1792</v>
      </c>
      <c r="H684" t="s">
        <v>2734</v>
      </c>
      <c r="I684" t="s">
        <v>3430</v>
      </c>
      <c r="J684" t="s">
        <v>3604</v>
      </c>
      <c r="K684">
        <v>10040</v>
      </c>
      <c r="L684" t="s">
        <v>3610</v>
      </c>
      <c r="M684" t="s">
        <v>3609</v>
      </c>
      <c r="O684" t="s">
        <v>4220</v>
      </c>
      <c r="P684" t="s">
        <v>4243</v>
      </c>
      <c r="R684" t="s">
        <v>4258</v>
      </c>
      <c r="S684" t="s">
        <v>3610</v>
      </c>
      <c r="U684" t="s">
        <v>4268</v>
      </c>
      <c r="W684" t="s">
        <v>403</v>
      </c>
      <c r="X684">
        <v>989</v>
      </c>
      <c r="Y684" t="s">
        <v>4351</v>
      </c>
      <c r="Z684" t="s">
        <v>4352</v>
      </c>
      <c r="AB684" t="s">
        <v>4942</v>
      </c>
      <c r="AE684">
        <v>43</v>
      </c>
      <c r="AF684" t="s">
        <v>7101</v>
      </c>
      <c r="AG684" t="s">
        <v>7116</v>
      </c>
      <c r="AH684">
        <v>25</v>
      </c>
      <c r="AI684">
        <v>1</v>
      </c>
      <c r="AJ684">
        <v>0</v>
      </c>
      <c r="AK684">
        <v>87.36</v>
      </c>
      <c r="AL684" t="s">
        <v>7125</v>
      </c>
      <c r="AO684">
        <v>10536</v>
      </c>
      <c r="AU684">
        <v>0.1</v>
      </c>
      <c r="AV684" t="s">
        <v>193</v>
      </c>
      <c r="AW684" t="s">
        <v>7341</v>
      </c>
    </row>
    <row r="685" spans="1:50">
      <c r="A685" s="1">
        <f>HYPERLINK("https://lsnyc.legalserver.org/matter/dynamic-profile/view/1847273","17-1847273")</f>
        <v>0</v>
      </c>
      <c r="B685" t="s">
        <v>53</v>
      </c>
      <c r="C685" t="s">
        <v>105</v>
      </c>
      <c r="D685" t="s">
        <v>132</v>
      </c>
      <c r="F685" t="s">
        <v>815</v>
      </c>
      <c r="G685" t="s">
        <v>1792</v>
      </c>
      <c r="H685" t="s">
        <v>2734</v>
      </c>
      <c r="I685" t="s">
        <v>3430</v>
      </c>
      <c r="J685" t="s">
        <v>3604</v>
      </c>
      <c r="K685">
        <v>10040</v>
      </c>
      <c r="L685" t="s">
        <v>3610</v>
      </c>
      <c r="M685" t="s">
        <v>3609</v>
      </c>
      <c r="N685" t="s">
        <v>3867</v>
      </c>
      <c r="O685" t="s">
        <v>4220</v>
      </c>
      <c r="P685" t="s">
        <v>4244</v>
      </c>
      <c r="R685" t="s">
        <v>4258</v>
      </c>
      <c r="S685" t="s">
        <v>3610</v>
      </c>
      <c r="U685" t="s">
        <v>4268</v>
      </c>
      <c r="W685" t="s">
        <v>132</v>
      </c>
      <c r="X685">
        <v>989</v>
      </c>
      <c r="Y685" t="s">
        <v>4351</v>
      </c>
      <c r="Z685" t="s">
        <v>4354</v>
      </c>
      <c r="AB685" t="s">
        <v>4942</v>
      </c>
      <c r="AE685">
        <v>43</v>
      </c>
      <c r="AF685" t="s">
        <v>7101</v>
      </c>
      <c r="AG685" t="s">
        <v>7116</v>
      </c>
      <c r="AH685">
        <v>25</v>
      </c>
      <c r="AI685">
        <v>1</v>
      </c>
      <c r="AJ685">
        <v>0</v>
      </c>
      <c r="AK685">
        <v>87.36</v>
      </c>
      <c r="AL685" t="s">
        <v>7125</v>
      </c>
      <c r="AN685" t="s">
        <v>7139</v>
      </c>
      <c r="AO685">
        <v>10536</v>
      </c>
      <c r="AP685" t="s">
        <v>7180</v>
      </c>
      <c r="AU685">
        <v>0.1</v>
      </c>
      <c r="AV685" t="s">
        <v>193</v>
      </c>
      <c r="AW685" t="s">
        <v>7342</v>
      </c>
    </row>
    <row r="686" spans="1:50">
      <c r="A686" s="1">
        <f>HYPERLINK("https://lsnyc.legalserver.org/matter/dynamic-profile/view/1882730","18-1882730")</f>
        <v>0</v>
      </c>
      <c r="B686" t="s">
        <v>56</v>
      </c>
      <c r="C686" t="s">
        <v>104</v>
      </c>
      <c r="D686" t="s">
        <v>192</v>
      </c>
      <c r="E686" t="s">
        <v>669</v>
      </c>
      <c r="F686" t="s">
        <v>1095</v>
      </c>
      <c r="G686" t="s">
        <v>1969</v>
      </c>
      <c r="H686" t="s">
        <v>2847</v>
      </c>
      <c r="I686" t="s">
        <v>3335</v>
      </c>
      <c r="J686" t="s">
        <v>3604</v>
      </c>
      <c r="K686">
        <v>10034</v>
      </c>
      <c r="L686" t="s">
        <v>3610</v>
      </c>
      <c r="M686" t="s">
        <v>3610</v>
      </c>
      <c r="P686" t="s">
        <v>4242</v>
      </c>
      <c r="Q686" t="s">
        <v>4250</v>
      </c>
      <c r="R686" t="s">
        <v>4258</v>
      </c>
      <c r="S686" t="s">
        <v>3611</v>
      </c>
      <c r="U686" t="s">
        <v>4268</v>
      </c>
      <c r="W686" t="s">
        <v>192</v>
      </c>
      <c r="X686">
        <v>690.7</v>
      </c>
      <c r="Y686" t="s">
        <v>4351</v>
      </c>
      <c r="Z686" t="s">
        <v>4354</v>
      </c>
      <c r="AA686" t="s">
        <v>4373</v>
      </c>
      <c r="AB686" t="s">
        <v>4943</v>
      </c>
      <c r="AD686" t="s">
        <v>6325</v>
      </c>
      <c r="AE686">
        <v>22</v>
      </c>
      <c r="AF686" t="s">
        <v>7101</v>
      </c>
      <c r="AG686" t="s">
        <v>7118</v>
      </c>
      <c r="AH686">
        <v>40</v>
      </c>
      <c r="AI686">
        <v>1</v>
      </c>
      <c r="AJ686">
        <v>0</v>
      </c>
      <c r="AK686">
        <v>87.38</v>
      </c>
      <c r="AN686" t="s">
        <v>7139</v>
      </c>
      <c r="AO686">
        <v>10608</v>
      </c>
      <c r="AU686">
        <v>0.2</v>
      </c>
      <c r="AV686" t="s">
        <v>636</v>
      </c>
      <c r="AW686" t="s">
        <v>7342</v>
      </c>
    </row>
    <row r="687" spans="1:50">
      <c r="A687" s="1">
        <f>HYPERLINK("https://lsnyc.legalserver.org/matter/dynamic-profile/view/0818096","16-0818096")</f>
        <v>0</v>
      </c>
      <c r="B687" t="s">
        <v>66</v>
      </c>
      <c r="C687" t="s">
        <v>104</v>
      </c>
      <c r="D687" t="s">
        <v>223</v>
      </c>
      <c r="E687" t="s">
        <v>119</v>
      </c>
      <c r="F687" t="s">
        <v>1096</v>
      </c>
      <c r="G687" t="s">
        <v>1683</v>
      </c>
      <c r="H687" t="s">
        <v>2848</v>
      </c>
      <c r="I687">
        <v>41</v>
      </c>
      <c r="J687" t="s">
        <v>3604</v>
      </c>
      <c r="K687">
        <v>10030</v>
      </c>
      <c r="L687" t="s">
        <v>3610</v>
      </c>
      <c r="M687" t="s">
        <v>3609</v>
      </c>
      <c r="N687" t="s">
        <v>3868</v>
      </c>
      <c r="O687" t="s">
        <v>4210</v>
      </c>
      <c r="P687" t="s">
        <v>4241</v>
      </c>
      <c r="Q687" t="s">
        <v>4248</v>
      </c>
      <c r="R687" t="s">
        <v>4258</v>
      </c>
      <c r="S687" t="s">
        <v>3611</v>
      </c>
      <c r="T687" t="s">
        <v>4259</v>
      </c>
      <c r="U687" t="s">
        <v>4268</v>
      </c>
      <c r="W687" t="s">
        <v>234</v>
      </c>
      <c r="X687">
        <v>2700</v>
      </c>
      <c r="Y687" t="s">
        <v>4351</v>
      </c>
      <c r="AA687" t="s">
        <v>4374</v>
      </c>
      <c r="AB687" t="s">
        <v>4944</v>
      </c>
      <c r="AD687" t="s">
        <v>6326</v>
      </c>
      <c r="AE687">
        <v>0</v>
      </c>
      <c r="AF687" t="s">
        <v>7101</v>
      </c>
      <c r="AG687" t="s">
        <v>3745</v>
      </c>
      <c r="AH687">
        <v>16</v>
      </c>
      <c r="AI687">
        <v>1</v>
      </c>
      <c r="AJ687">
        <v>0</v>
      </c>
      <c r="AK687">
        <v>87.54000000000001</v>
      </c>
      <c r="AN687" t="s">
        <v>7149</v>
      </c>
      <c r="AO687">
        <v>10400</v>
      </c>
      <c r="AU687">
        <v>37.95</v>
      </c>
      <c r="AV687" t="s">
        <v>234</v>
      </c>
      <c r="AW687" t="s">
        <v>7340</v>
      </c>
    </row>
    <row r="688" spans="1:50">
      <c r="A688" s="1">
        <f>HYPERLINK("https://lsnyc.legalserver.org/matter/dynamic-profile/view/1840792","17-1840792")</f>
        <v>0</v>
      </c>
      <c r="B688" t="s">
        <v>51</v>
      </c>
      <c r="C688" t="s">
        <v>104</v>
      </c>
      <c r="D688" t="s">
        <v>304</v>
      </c>
      <c r="E688" t="s">
        <v>385</v>
      </c>
      <c r="F688" t="s">
        <v>1097</v>
      </c>
      <c r="G688" t="s">
        <v>1913</v>
      </c>
      <c r="H688" t="s">
        <v>2849</v>
      </c>
      <c r="I688">
        <v>1</v>
      </c>
      <c r="J688" t="s">
        <v>3604</v>
      </c>
      <c r="K688">
        <v>10029</v>
      </c>
      <c r="L688" t="s">
        <v>3610</v>
      </c>
      <c r="M688" t="s">
        <v>3610</v>
      </c>
      <c r="N688" t="s">
        <v>3869</v>
      </c>
      <c r="O688" t="s">
        <v>4210</v>
      </c>
      <c r="P688" t="s">
        <v>4241</v>
      </c>
      <c r="Q688" t="s">
        <v>4248</v>
      </c>
      <c r="R688" t="s">
        <v>4258</v>
      </c>
      <c r="S688" t="s">
        <v>3611</v>
      </c>
      <c r="U688" t="s">
        <v>4268</v>
      </c>
      <c r="V688" t="s">
        <v>4274</v>
      </c>
      <c r="W688" t="s">
        <v>304</v>
      </c>
      <c r="X688">
        <v>450</v>
      </c>
      <c r="Y688" t="s">
        <v>4351</v>
      </c>
      <c r="Z688" t="s">
        <v>4354</v>
      </c>
      <c r="AA688" t="s">
        <v>4375</v>
      </c>
      <c r="AB688" t="s">
        <v>4945</v>
      </c>
      <c r="AD688" t="s">
        <v>6327</v>
      </c>
      <c r="AE688">
        <v>5</v>
      </c>
      <c r="AF688" t="s">
        <v>7101</v>
      </c>
      <c r="AG688" t="s">
        <v>3745</v>
      </c>
      <c r="AH688">
        <v>40</v>
      </c>
      <c r="AI688">
        <v>1</v>
      </c>
      <c r="AJ688">
        <v>0</v>
      </c>
      <c r="AK688">
        <v>87.56</v>
      </c>
      <c r="AN688" t="s">
        <v>7138</v>
      </c>
      <c r="AO688">
        <v>10560</v>
      </c>
      <c r="AU688">
        <v>23.8</v>
      </c>
      <c r="AV688" t="s">
        <v>603</v>
      </c>
      <c r="AW688" t="s">
        <v>7341</v>
      </c>
    </row>
    <row r="689" spans="1:50">
      <c r="A689" s="1">
        <f>HYPERLINK("https://lsnyc.legalserver.org/matter/dynamic-profile/view/1878325","18-1878325")</f>
        <v>0</v>
      </c>
      <c r="B689" t="s">
        <v>74</v>
      </c>
      <c r="C689" t="s">
        <v>105</v>
      </c>
      <c r="D689" t="s">
        <v>110</v>
      </c>
      <c r="F689" t="s">
        <v>1098</v>
      </c>
      <c r="G689" t="s">
        <v>1970</v>
      </c>
      <c r="H689" t="s">
        <v>2850</v>
      </c>
      <c r="I689">
        <v>1</v>
      </c>
      <c r="J689" t="s">
        <v>3604</v>
      </c>
      <c r="K689">
        <v>10033</v>
      </c>
      <c r="L689" t="s">
        <v>3610</v>
      </c>
      <c r="M689" t="s">
        <v>3609</v>
      </c>
      <c r="N689" t="s">
        <v>3870</v>
      </c>
      <c r="O689" t="s">
        <v>4209</v>
      </c>
      <c r="P689" t="s">
        <v>4242</v>
      </c>
      <c r="R689" t="s">
        <v>4258</v>
      </c>
      <c r="S689" t="s">
        <v>3611</v>
      </c>
      <c r="U689" t="s">
        <v>4268</v>
      </c>
      <c r="W689" t="s">
        <v>254</v>
      </c>
      <c r="X689">
        <v>1157.5</v>
      </c>
      <c r="Y689" t="s">
        <v>4351</v>
      </c>
      <c r="Z689" t="s">
        <v>4361</v>
      </c>
      <c r="AB689" t="s">
        <v>4946</v>
      </c>
      <c r="AE689">
        <v>0</v>
      </c>
      <c r="AF689" t="s">
        <v>7101</v>
      </c>
      <c r="AG689" t="s">
        <v>3745</v>
      </c>
      <c r="AH689">
        <v>14</v>
      </c>
      <c r="AI689">
        <v>2</v>
      </c>
      <c r="AJ689">
        <v>1</v>
      </c>
      <c r="AK689">
        <v>87.58</v>
      </c>
      <c r="AN689" t="s">
        <v>7139</v>
      </c>
      <c r="AO689">
        <v>18200</v>
      </c>
      <c r="AU689">
        <v>1.8</v>
      </c>
      <c r="AV689" t="s">
        <v>236</v>
      </c>
      <c r="AW689" t="s">
        <v>7341</v>
      </c>
    </row>
    <row r="690" spans="1:50">
      <c r="A690" s="1">
        <f>HYPERLINK("https://lsnyc.legalserver.org/matter/dynamic-profile/view/1882776","18-1882776")</f>
        <v>0</v>
      </c>
      <c r="B690" t="s">
        <v>62</v>
      </c>
      <c r="C690" t="s">
        <v>105</v>
      </c>
      <c r="D690" t="s">
        <v>474</v>
      </c>
      <c r="F690" t="s">
        <v>1099</v>
      </c>
      <c r="G690" t="s">
        <v>1730</v>
      </c>
      <c r="H690" t="s">
        <v>2851</v>
      </c>
      <c r="I690">
        <v>4</v>
      </c>
      <c r="J690" t="s">
        <v>3604</v>
      </c>
      <c r="K690">
        <v>10032</v>
      </c>
      <c r="L690" t="s">
        <v>3610</v>
      </c>
      <c r="M690" t="s">
        <v>3610</v>
      </c>
      <c r="O690" t="s">
        <v>4219</v>
      </c>
      <c r="P690" t="s">
        <v>4245</v>
      </c>
      <c r="R690" t="s">
        <v>4258</v>
      </c>
      <c r="S690" t="s">
        <v>3611</v>
      </c>
      <c r="U690" t="s">
        <v>4268</v>
      </c>
      <c r="W690" t="s">
        <v>474</v>
      </c>
      <c r="X690">
        <v>1025</v>
      </c>
      <c r="Y690" t="s">
        <v>4351</v>
      </c>
      <c r="Z690" t="s">
        <v>4354</v>
      </c>
      <c r="AB690" t="s">
        <v>4947</v>
      </c>
      <c r="AD690" t="s">
        <v>6328</v>
      </c>
      <c r="AE690">
        <v>42</v>
      </c>
      <c r="AF690" t="s">
        <v>7101</v>
      </c>
      <c r="AG690" t="s">
        <v>3745</v>
      </c>
      <c r="AH690">
        <v>24</v>
      </c>
      <c r="AI690">
        <v>2</v>
      </c>
      <c r="AJ690">
        <v>1</v>
      </c>
      <c r="AK690">
        <v>87.58</v>
      </c>
      <c r="AN690" t="s">
        <v>7139</v>
      </c>
      <c r="AO690">
        <v>18200</v>
      </c>
      <c r="AU690">
        <v>7.1</v>
      </c>
      <c r="AV690" t="s">
        <v>677</v>
      </c>
      <c r="AW690" t="s">
        <v>7342</v>
      </c>
    </row>
    <row r="691" spans="1:50">
      <c r="A691" s="1">
        <f>HYPERLINK("https://lsnyc.legalserver.org/matter/dynamic-profile/view/1861085","18-1861085")</f>
        <v>0</v>
      </c>
      <c r="B691" t="s">
        <v>75</v>
      </c>
      <c r="C691" t="s">
        <v>105</v>
      </c>
      <c r="D691" t="s">
        <v>475</v>
      </c>
      <c r="F691" t="s">
        <v>1100</v>
      </c>
      <c r="G691" t="s">
        <v>1754</v>
      </c>
      <c r="H691" t="s">
        <v>2852</v>
      </c>
      <c r="I691" t="s">
        <v>3443</v>
      </c>
      <c r="J691" t="s">
        <v>3604</v>
      </c>
      <c r="K691">
        <v>10016</v>
      </c>
      <c r="L691" t="s">
        <v>3610</v>
      </c>
      <c r="M691" t="s">
        <v>3609</v>
      </c>
      <c r="N691" t="s">
        <v>3871</v>
      </c>
      <c r="O691" t="s">
        <v>4209</v>
      </c>
      <c r="P691" t="s">
        <v>4245</v>
      </c>
      <c r="R691" t="s">
        <v>4258</v>
      </c>
      <c r="T691" t="s">
        <v>4259</v>
      </c>
      <c r="U691" t="s">
        <v>4268</v>
      </c>
      <c r="W691" t="s">
        <v>278</v>
      </c>
      <c r="X691">
        <v>3633</v>
      </c>
      <c r="Y691" t="s">
        <v>4351</v>
      </c>
      <c r="Z691" t="s">
        <v>4364</v>
      </c>
      <c r="AB691" t="s">
        <v>4948</v>
      </c>
      <c r="AD691" t="s">
        <v>6329</v>
      </c>
      <c r="AE691">
        <v>0</v>
      </c>
      <c r="AF691" t="s">
        <v>7105</v>
      </c>
      <c r="AG691" t="s">
        <v>7116</v>
      </c>
      <c r="AH691">
        <v>25</v>
      </c>
      <c r="AI691">
        <v>1</v>
      </c>
      <c r="AJ691">
        <v>0</v>
      </c>
      <c r="AK691">
        <v>87.81</v>
      </c>
      <c r="AO691">
        <v>10660</v>
      </c>
      <c r="AU691">
        <v>8.800000000000001</v>
      </c>
      <c r="AV691" t="s">
        <v>392</v>
      </c>
      <c r="AW691" t="s">
        <v>7350</v>
      </c>
    </row>
    <row r="692" spans="1:50">
      <c r="A692" s="1">
        <f>HYPERLINK("https://lsnyc.legalserver.org/matter/dynamic-profile/view/1876348","18-1876348")</f>
        <v>0</v>
      </c>
      <c r="B692" t="s">
        <v>62</v>
      </c>
      <c r="C692" t="s">
        <v>105</v>
      </c>
      <c r="D692" t="s">
        <v>476</v>
      </c>
      <c r="F692" t="s">
        <v>1079</v>
      </c>
      <c r="G692" t="s">
        <v>1626</v>
      </c>
      <c r="H692" t="s">
        <v>2488</v>
      </c>
      <c r="I692" t="s">
        <v>3437</v>
      </c>
      <c r="J692" t="s">
        <v>3604</v>
      </c>
      <c r="K692">
        <v>10033</v>
      </c>
      <c r="L692" t="s">
        <v>3610</v>
      </c>
      <c r="M692" t="s">
        <v>3610</v>
      </c>
      <c r="O692" t="s">
        <v>4213</v>
      </c>
      <c r="P692" t="s">
        <v>4245</v>
      </c>
      <c r="R692" t="s">
        <v>4258</v>
      </c>
      <c r="S692" t="s">
        <v>3610</v>
      </c>
      <c r="U692" t="s">
        <v>4268</v>
      </c>
      <c r="W692" t="s">
        <v>476</v>
      </c>
      <c r="X692">
        <v>1478.3</v>
      </c>
      <c r="Y692" t="s">
        <v>4351</v>
      </c>
      <c r="Z692" t="s">
        <v>4354</v>
      </c>
      <c r="AB692" t="s">
        <v>4920</v>
      </c>
      <c r="AD692" t="s">
        <v>6303</v>
      </c>
      <c r="AE692">
        <v>232</v>
      </c>
      <c r="AF692" t="s">
        <v>7101</v>
      </c>
      <c r="AG692" t="s">
        <v>7116</v>
      </c>
      <c r="AH692">
        <v>19</v>
      </c>
      <c r="AI692">
        <v>2</v>
      </c>
      <c r="AJ692">
        <v>0</v>
      </c>
      <c r="AK692">
        <v>87.92</v>
      </c>
      <c r="AN692" t="s">
        <v>7138</v>
      </c>
      <c r="AO692">
        <v>14472</v>
      </c>
      <c r="AU692">
        <v>0.6</v>
      </c>
      <c r="AV692" t="s">
        <v>330</v>
      </c>
      <c r="AW692" t="s">
        <v>7342</v>
      </c>
    </row>
    <row r="693" spans="1:50">
      <c r="A693" s="1">
        <f>HYPERLINK("https://lsnyc.legalserver.org/matter/dynamic-profile/view/1843489","17-1843489")</f>
        <v>0</v>
      </c>
      <c r="B693" t="s">
        <v>61</v>
      </c>
      <c r="C693" t="s">
        <v>105</v>
      </c>
      <c r="D693" t="s">
        <v>354</v>
      </c>
      <c r="F693" t="s">
        <v>1101</v>
      </c>
      <c r="G693" t="s">
        <v>1662</v>
      </c>
      <c r="H693" t="s">
        <v>2725</v>
      </c>
      <c r="I693">
        <v>33</v>
      </c>
      <c r="J693" t="s">
        <v>3604</v>
      </c>
      <c r="K693">
        <v>10031</v>
      </c>
      <c r="L693" t="s">
        <v>3610</v>
      </c>
      <c r="M693" t="s">
        <v>3609</v>
      </c>
      <c r="N693" t="s">
        <v>3872</v>
      </c>
      <c r="O693" t="s">
        <v>4210</v>
      </c>
      <c r="P693" t="s">
        <v>4241</v>
      </c>
      <c r="R693" t="s">
        <v>4258</v>
      </c>
      <c r="S693" t="s">
        <v>3611</v>
      </c>
      <c r="U693" t="s">
        <v>4268</v>
      </c>
      <c r="W693" t="s">
        <v>328</v>
      </c>
      <c r="X693">
        <v>424.4</v>
      </c>
      <c r="Y693" t="s">
        <v>4351</v>
      </c>
      <c r="Z693" t="s">
        <v>4354</v>
      </c>
      <c r="AB693" t="s">
        <v>4949</v>
      </c>
      <c r="AD693" t="s">
        <v>6330</v>
      </c>
      <c r="AE693">
        <v>26</v>
      </c>
      <c r="AF693" t="s">
        <v>7101</v>
      </c>
      <c r="AG693" t="s">
        <v>3745</v>
      </c>
      <c r="AH693">
        <v>60</v>
      </c>
      <c r="AI693">
        <v>1</v>
      </c>
      <c r="AJ693">
        <v>0</v>
      </c>
      <c r="AK693">
        <v>88.06</v>
      </c>
      <c r="AL693" t="s">
        <v>614</v>
      </c>
      <c r="AN693" t="s">
        <v>7138</v>
      </c>
      <c r="AO693">
        <v>10620</v>
      </c>
      <c r="AU693">
        <v>22.1</v>
      </c>
      <c r="AV693" t="s">
        <v>190</v>
      </c>
      <c r="AW693" t="s">
        <v>7342</v>
      </c>
    </row>
    <row r="694" spans="1:50">
      <c r="A694" s="1">
        <f>HYPERLINK("https://lsnyc.legalserver.org/matter/dynamic-profile/view/1903017","19-1903017")</f>
        <v>0</v>
      </c>
      <c r="B694" t="s">
        <v>53</v>
      </c>
      <c r="C694" t="s">
        <v>105</v>
      </c>
      <c r="D694" t="s">
        <v>477</v>
      </c>
      <c r="F694" t="s">
        <v>733</v>
      </c>
      <c r="G694" t="s">
        <v>1621</v>
      </c>
      <c r="H694" t="s">
        <v>2508</v>
      </c>
      <c r="I694">
        <v>409</v>
      </c>
      <c r="J694" t="s">
        <v>3604</v>
      </c>
      <c r="K694">
        <v>10029</v>
      </c>
      <c r="L694" t="s">
        <v>3610</v>
      </c>
      <c r="M694" t="s">
        <v>3609</v>
      </c>
      <c r="O694" t="s">
        <v>4213</v>
      </c>
      <c r="P694" t="s">
        <v>4241</v>
      </c>
      <c r="R694" t="s">
        <v>4258</v>
      </c>
      <c r="S694" t="s">
        <v>3610</v>
      </c>
      <c r="U694" t="s">
        <v>4268</v>
      </c>
      <c r="V694" t="s">
        <v>4274</v>
      </c>
      <c r="W694" t="s">
        <v>512</v>
      </c>
      <c r="X694">
        <v>271</v>
      </c>
      <c r="Y694" t="s">
        <v>4351</v>
      </c>
      <c r="Z694" t="s">
        <v>4357</v>
      </c>
      <c r="AB694" t="s">
        <v>4452</v>
      </c>
      <c r="AD694" t="s">
        <v>5892</v>
      </c>
      <c r="AE694">
        <v>108</v>
      </c>
      <c r="AF694" t="s">
        <v>7106</v>
      </c>
      <c r="AG694" t="s">
        <v>7116</v>
      </c>
      <c r="AH694">
        <v>30</v>
      </c>
      <c r="AI694">
        <v>1</v>
      </c>
      <c r="AJ694">
        <v>0</v>
      </c>
      <c r="AK694">
        <v>88.39</v>
      </c>
      <c r="AN694" t="s">
        <v>7139</v>
      </c>
      <c r="AO694">
        <v>11040</v>
      </c>
      <c r="AU694">
        <v>0.25</v>
      </c>
      <c r="AV694" t="s">
        <v>678</v>
      </c>
      <c r="AW694" t="s">
        <v>7341</v>
      </c>
      <c r="AX694" t="s">
        <v>7377</v>
      </c>
    </row>
    <row r="695" spans="1:50">
      <c r="A695" s="1">
        <f>HYPERLINK("https://lsnyc.legalserver.org/matter/dynamic-profile/view/1900587","19-1900587")</f>
        <v>0</v>
      </c>
      <c r="B695" t="s">
        <v>74</v>
      </c>
      <c r="C695" t="s">
        <v>105</v>
      </c>
      <c r="D695" t="s">
        <v>196</v>
      </c>
      <c r="F695" t="s">
        <v>1102</v>
      </c>
      <c r="G695" t="s">
        <v>1971</v>
      </c>
      <c r="H695" t="s">
        <v>2853</v>
      </c>
      <c r="J695" t="s">
        <v>3606</v>
      </c>
      <c r="K695">
        <v>11219</v>
      </c>
      <c r="L695" t="s">
        <v>3610</v>
      </c>
      <c r="M695" t="s">
        <v>3609</v>
      </c>
      <c r="O695" t="s">
        <v>4211</v>
      </c>
      <c r="P695" t="s">
        <v>4245</v>
      </c>
      <c r="R695" t="s">
        <v>4258</v>
      </c>
      <c r="S695" t="s">
        <v>3611</v>
      </c>
      <c r="U695" t="s">
        <v>4268</v>
      </c>
      <c r="X695">
        <v>0</v>
      </c>
      <c r="Y695" t="s">
        <v>4351</v>
      </c>
      <c r="Z695" t="s">
        <v>4352</v>
      </c>
      <c r="AB695" t="s">
        <v>4950</v>
      </c>
      <c r="AE695">
        <v>0</v>
      </c>
      <c r="AF695" t="s">
        <v>7105</v>
      </c>
      <c r="AG695" t="s">
        <v>3745</v>
      </c>
      <c r="AH695">
        <v>0</v>
      </c>
      <c r="AI695">
        <v>2</v>
      </c>
      <c r="AJ695">
        <v>0</v>
      </c>
      <c r="AK695">
        <v>88.63</v>
      </c>
      <c r="AN695" t="s">
        <v>7144</v>
      </c>
      <c r="AO695">
        <v>14988</v>
      </c>
      <c r="AU695">
        <v>0</v>
      </c>
      <c r="AW695" t="s">
        <v>7344</v>
      </c>
      <c r="AX695" t="s">
        <v>7377</v>
      </c>
    </row>
    <row r="696" spans="1:50">
      <c r="A696" s="1">
        <f>HYPERLINK("https://lsnyc.legalserver.org/matter/dynamic-profile/view/1851045","17-1851045")</f>
        <v>0</v>
      </c>
      <c r="B696" t="s">
        <v>61</v>
      </c>
      <c r="C696" t="s">
        <v>104</v>
      </c>
      <c r="D696" t="s">
        <v>286</v>
      </c>
      <c r="E696" t="s">
        <v>485</v>
      </c>
      <c r="F696" t="s">
        <v>786</v>
      </c>
      <c r="G696" t="s">
        <v>1972</v>
      </c>
      <c r="H696" t="s">
        <v>2854</v>
      </c>
      <c r="I696">
        <v>2</v>
      </c>
      <c r="J696" t="s">
        <v>3604</v>
      </c>
      <c r="K696">
        <v>10034</v>
      </c>
      <c r="L696" t="s">
        <v>3610</v>
      </c>
      <c r="M696" t="s">
        <v>3610</v>
      </c>
      <c r="O696" t="s">
        <v>4210</v>
      </c>
      <c r="P696" t="s">
        <v>4245</v>
      </c>
      <c r="Q696" t="s">
        <v>4249</v>
      </c>
      <c r="R696" t="s">
        <v>4258</v>
      </c>
      <c r="S696" t="s">
        <v>3611</v>
      </c>
      <c r="U696" t="s">
        <v>4268</v>
      </c>
      <c r="W696" t="s">
        <v>286</v>
      </c>
      <c r="X696">
        <v>765.87</v>
      </c>
      <c r="Y696" t="s">
        <v>4351</v>
      </c>
      <c r="Z696" t="s">
        <v>4354</v>
      </c>
      <c r="AA696" t="s">
        <v>4373</v>
      </c>
      <c r="AB696" t="s">
        <v>4951</v>
      </c>
      <c r="AD696" t="s">
        <v>6331</v>
      </c>
      <c r="AE696">
        <v>25</v>
      </c>
      <c r="AF696" t="s">
        <v>7101</v>
      </c>
      <c r="AG696" t="s">
        <v>3745</v>
      </c>
      <c r="AH696">
        <v>9</v>
      </c>
      <c r="AI696">
        <v>2</v>
      </c>
      <c r="AJ696">
        <v>0</v>
      </c>
      <c r="AK696">
        <v>88.67</v>
      </c>
      <c r="AN696" t="s">
        <v>7138</v>
      </c>
      <c r="AO696">
        <v>14400</v>
      </c>
      <c r="AU696">
        <v>4.5</v>
      </c>
      <c r="AV696" t="s">
        <v>481</v>
      </c>
      <c r="AW696" t="s">
        <v>7342</v>
      </c>
    </row>
    <row r="697" spans="1:50">
      <c r="A697" s="1">
        <f>HYPERLINK("https://lsnyc.legalserver.org/matter/dynamic-profile/view/1843299","17-1843299")</f>
        <v>0</v>
      </c>
      <c r="B697" t="s">
        <v>94</v>
      </c>
      <c r="C697" t="s">
        <v>104</v>
      </c>
      <c r="D697" t="s">
        <v>415</v>
      </c>
      <c r="E697" t="s">
        <v>236</v>
      </c>
      <c r="F697" t="s">
        <v>1103</v>
      </c>
      <c r="G697" t="s">
        <v>1973</v>
      </c>
      <c r="H697" t="s">
        <v>2855</v>
      </c>
      <c r="I697" t="s">
        <v>3444</v>
      </c>
      <c r="J697" t="s">
        <v>3604</v>
      </c>
      <c r="K697">
        <v>10031</v>
      </c>
      <c r="L697" t="s">
        <v>3610</v>
      </c>
      <c r="M697" t="s">
        <v>3611</v>
      </c>
      <c r="N697" t="s">
        <v>3873</v>
      </c>
      <c r="O697" t="s">
        <v>4209</v>
      </c>
      <c r="P697" t="s">
        <v>4241</v>
      </c>
      <c r="Q697" t="s">
        <v>4248</v>
      </c>
      <c r="R697" t="s">
        <v>4258</v>
      </c>
      <c r="S697" t="s">
        <v>3611</v>
      </c>
      <c r="T697" t="s">
        <v>4261</v>
      </c>
      <c r="U697" t="s">
        <v>4271</v>
      </c>
      <c r="V697" t="s">
        <v>4274</v>
      </c>
      <c r="W697" t="s">
        <v>415</v>
      </c>
      <c r="X697">
        <v>1700</v>
      </c>
      <c r="Y697" t="s">
        <v>4351</v>
      </c>
      <c r="Z697" t="s">
        <v>4354</v>
      </c>
      <c r="AA697" t="s">
        <v>4374</v>
      </c>
      <c r="AB697" t="s">
        <v>4952</v>
      </c>
      <c r="AD697" t="s">
        <v>6332</v>
      </c>
      <c r="AE697">
        <v>25</v>
      </c>
      <c r="AF697" t="s">
        <v>7106</v>
      </c>
      <c r="AG697" t="s">
        <v>7116</v>
      </c>
      <c r="AH697">
        <v>8</v>
      </c>
      <c r="AI697">
        <v>1</v>
      </c>
      <c r="AJ697">
        <v>1</v>
      </c>
      <c r="AK697">
        <v>88.67</v>
      </c>
      <c r="AN697" t="s">
        <v>7138</v>
      </c>
      <c r="AO697">
        <v>14400</v>
      </c>
      <c r="AU697">
        <v>24.1</v>
      </c>
      <c r="AV697" t="s">
        <v>293</v>
      </c>
      <c r="AW697" t="s">
        <v>7368</v>
      </c>
    </row>
    <row r="698" spans="1:50">
      <c r="A698" s="1">
        <f>HYPERLINK("https://lsnyc.legalserver.org/matter/dynamic-profile/view/1864136","18-1864136")</f>
        <v>0</v>
      </c>
      <c r="B698" t="s">
        <v>53</v>
      </c>
      <c r="C698" t="s">
        <v>105</v>
      </c>
      <c r="D698" t="s">
        <v>161</v>
      </c>
      <c r="F698" t="s">
        <v>1104</v>
      </c>
      <c r="G698" t="s">
        <v>1600</v>
      </c>
      <c r="H698" t="s">
        <v>2508</v>
      </c>
      <c r="I698">
        <v>514</v>
      </c>
      <c r="J698" t="s">
        <v>3604</v>
      </c>
      <c r="K698">
        <v>10029</v>
      </c>
      <c r="L698" t="s">
        <v>3610</v>
      </c>
      <c r="M698" t="s">
        <v>3610</v>
      </c>
      <c r="N698" t="s">
        <v>3642</v>
      </c>
      <c r="O698" t="s">
        <v>4213</v>
      </c>
      <c r="P698" t="s">
        <v>4241</v>
      </c>
      <c r="R698" t="s">
        <v>4258</v>
      </c>
      <c r="S698" t="s">
        <v>3610</v>
      </c>
      <c r="U698" t="s">
        <v>4268</v>
      </c>
      <c r="V698" t="s">
        <v>4274</v>
      </c>
      <c r="W698" t="s">
        <v>161</v>
      </c>
      <c r="X698">
        <v>0</v>
      </c>
      <c r="Y698" t="s">
        <v>4351</v>
      </c>
      <c r="Z698" t="s">
        <v>4352</v>
      </c>
      <c r="AB698" t="s">
        <v>4953</v>
      </c>
      <c r="AD698" t="s">
        <v>6333</v>
      </c>
      <c r="AE698">
        <v>108</v>
      </c>
      <c r="AF698" t="s">
        <v>7106</v>
      </c>
      <c r="AG698" t="s">
        <v>7116</v>
      </c>
      <c r="AH698">
        <v>26</v>
      </c>
      <c r="AI698">
        <v>1</v>
      </c>
      <c r="AJ698">
        <v>0</v>
      </c>
      <c r="AK698">
        <v>88.67</v>
      </c>
      <c r="AN698" t="s">
        <v>7138</v>
      </c>
      <c r="AO698">
        <v>10764</v>
      </c>
      <c r="AU698">
        <v>0.5</v>
      </c>
      <c r="AV698" t="s">
        <v>688</v>
      </c>
      <c r="AW698" t="s">
        <v>7341</v>
      </c>
    </row>
    <row r="699" spans="1:50">
      <c r="A699" s="1">
        <f>HYPERLINK("https://lsnyc.legalserver.org/matter/dynamic-profile/view/1840418","17-1840418")</f>
        <v>0</v>
      </c>
      <c r="B699" t="s">
        <v>63</v>
      </c>
      <c r="C699" t="s">
        <v>104</v>
      </c>
      <c r="D699" t="s">
        <v>297</v>
      </c>
      <c r="E699" t="s">
        <v>561</v>
      </c>
      <c r="F699" t="s">
        <v>733</v>
      </c>
      <c r="G699" t="s">
        <v>1609</v>
      </c>
      <c r="H699" t="s">
        <v>2647</v>
      </c>
      <c r="I699">
        <v>24</v>
      </c>
      <c r="J699" t="s">
        <v>3604</v>
      </c>
      <c r="K699">
        <v>10033</v>
      </c>
      <c r="L699" t="s">
        <v>3610</v>
      </c>
      <c r="M699" t="s">
        <v>3609</v>
      </c>
      <c r="N699" t="s">
        <v>3736</v>
      </c>
      <c r="O699" t="s">
        <v>4225</v>
      </c>
      <c r="P699" t="s">
        <v>4241</v>
      </c>
      <c r="Q699" t="s">
        <v>4248</v>
      </c>
      <c r="R699" t="s">
        <v>4258</v>
      </c>
      <c r="S699" t="s">
        <v>3610</v>
      </c>
      <c r="U699" t="s">
        <v>4268</v>
      </c>
      <c r="W699" t="s">
        <v>4315</v>
      </c>
      <c r="X699">
        <v>1268.01</v>
      </c>
      <c r="Y699" t="s">
        <v>4351</v>
      </c>
      <c r="Z699" t="s">
        <v>4354</v>
      </c>
      <c r="AA699" t="s">
        <v>4378</v>
      </c>
      <c r="AB699" t="s">
        <v>4954</v>
      </c>
      <c r="AE699">
        <v>33</v>
      </c>
      <c r="AF699" t="s">
        <v>7101</v>
      </c>
      <c r="AG699" t="s">
        <v>7116</v>
      </c>
      <c r="AH699">
        <v>23</v>
      </c>
      <c r="AI699">
        <v>2</v>
      </c>
      <c r="AJ699">
        <v>0</v>
      </c>
      <c r="AK699">
        <v>88.89</v>
      </c>
      <c r="AL699" t="s">
        <v>7124</v>
      </c>
      <c r="AN699" t="s">
        <v>7139</v>
      </c>
      <c r="AO699">
        <v>14436</v>
      </c>
      <c r="AU699">
        <v>2</v>
      </c>
      <c r="AV699" t="s">
        <v>111</v>
      </c>
      <c r="AW699" t="s">
        <v>7342</v>
      </c>
    </row>
    <row r="700" spans="1:50">
      <c r="A700" s="1">
        <f>HYPERLINK("https://lsnyc.legalserver.org/matter/dynamic-profile/view/1878299","18-1878299")</f>
        <v>0</v>
      </c>
      <c r="B700" t="s">
        <v>67</v>
      </c>
      <c r="C700" t="s">
        <v>104</v>
      </c>
      <c r="D700" t="s">
        <v>168</v>
      </c>
      <c r="E700" t="s">
        <v>209</v>
      </c>
      <c r="F700" t="s">
        <v>1105</v>
      </c>
      <c r="G700" t="s">
        <v>1974</v>
      </c>
      <c r="H700" t="s">
        <v>2856</v>
      </c>
      <c r="I700">
        <v>109</v>
      </c>
      <c r="J700" t="s">
        <v>3604</v>
      </c>
      <c r="K700">
        <v>10035</v>
      </c>
      <c r="L700" t="s">
        <v>3610</v>
      </c>
      <c r="M700" t="s">
        <v>3610</v>
      </c>
      <c r="N700" t="s">
        <v>3874</v>
      </c>
      <c r="O700" t="s">
        <v>4210</v>
      </c>
      <c r="P700" t="s">
        <v>4242</v>
      </c>
      <c r="Q700" t="s">
        <v>4250</v>
      </c>
      <c r="R700" t="s">
        <v>4258</v>
      </c>
      <c r="S700" t="s">
        <v>3611</v>
      </c>
      <c r="T700" t="s">
        <v>4258</v>
      </c>
      <c r="U700" t="s">
        <v>4268</v>
      </c>
      <c r="V700" t="s">
        <v>4276</v>
      </c>
      <c r="W700" t="s">
        <v>417</v>
      </c>
      <c r="X700">
        <v>1519</v>
      </c>
      <c r="Y700" t="s">
        <v>4351</v>
      </c>
      <c r="Z700" t="s">
        <v>4357</v>
      </c>
      <c r="AA700" t="s">
        <v>4373</v>
      </c>
      <c r="AB700" t="s">
        <v>4955</v>
      </c>
      <c r="AD700" t="s">
        <v>6334</v>
      </c>
      <c r="AE700">
        <v>132</v>
      </c>
      <c r="AF700" t="s">
        <v>7112</v>
      </c>
      <c r="AG700" t="s">
        <v>3745</v>
      </c>
      <c r="AH700">
        <v>22</v>
      </c>
      <c r="AI700">
        <v>1</v>
      </c>
      <c r="AJ700">
        <v>0</v>
      </c>
      <c r="AK700">
        <v>88.95999999999999</v>
      </c>
      <c r="AN700" t="s">
        <v>7138</v>
      </c>
      <c r="AO700">
        <v>10800</v>
      </c>
      <c r="AU700">
        <v>0.2</v>
      </c>
      <c r="AV700" t="s">
        <v>209</v>
      </c>
      <c r="AW700" t="s">
        <v>7373</v>
      </c>
    </row>
    <row r="701" spans="1:50">
      <c r="A701" s="1">
        <f>HYPERLINK("https://lsnyc.legalserver.org/matter/dynamic-profile/view/1861665","18-1861665")</f>
        <v>0</v>
      </c>
      <c r="B701" t="s">
        <v>61</v>
      </c>
      <c r="C701" t="s">
        <v>104</v>
      </c>
      <c r="D701" t="s">
        <v>153</v>
      </c>
      <c r="E701" t="s">
        <v>201</v>
      </c>
      <c r="F701" t="s">
        <v>815</v>
      </c>
      <c r="G701" t="s">
        <v>1975</v>
      </c>
      <c r="H701" t="s">
        <v>2857</v>
      </c>
      <c r="I701">
        <v>51</v>
      </c>
      <c r="J701" t="s">
        <v>3604</v>
      </c>
      <c r="K701">
        <v>10033</v>
      </c>
      <c r="L701" t="s">
        <v>3610</v>
      </c>
      <c r="M701" t="s">
        <v>3610</v>
      </c>
      <c r="O701" t="s">
        <v>4219</v>
      </c>
      <c r="P701" t="s">
        <v>4244</v>
      </c>
      <c r="Q701" t="s">
        <v>4249</v>
      </c>
      <c r="R701" t="s">
        <v>4258</v>
      </c>
      <c r="S701" t="s">
        <v>3611</v>
      </c>
      <c r="U701" t="s">
        <v>4268</v>
      </c>
      <c r="W701" t="s">
        <v>153</v>
      </c>
      <c r="X701">
        <v>797.16</v>
      </c>
      <c r="Y701" t="s">
        <v>4351</v>
      </c>
      <c r="Z701" t="s">
        <v>4354</v>
      </c>
      <c r="AA701" t="s">
        <v>4377</v>
      </c>
      <c r="AB701" t="s">
        <v>4956</v>
      </c>
      <c r="AE701">
        <v>20</v>
      </c>
      <c r="AF701" t="s">
        <v>7101</v>
      </c>
      <c r="AG701" t="s">
        <v>7118</v>
      </c>
      <c r="AH701">
        <v>28</v>
      </c>
      <c r="AI701">
        <v>1</v>
      </c>
      <c r="AJ701">
        <v>0</v>
      </c>
      <c r="AK701">
        <v>89.06</v>
      </c>
      <c r="AN701" t="s">
        <v>7139</v>
      </c>
      <c r="AO701">
        <v>10812</v>
      </c>
      <c r="AU701">
        <v>3.8</v>
      </c>
      <c r="AV701" t="s">
        <v>531</v>
      </c>
      <c r="AW701" t="s">
        <v>7342</v>
      </c>
    </row>
    <row r="702" spans="1:50">
      <c r="A702" s="1">
        <f>HYPERLINK("https://lsnyc.legalserver.org/matter/dynamic-profile/view/1843620","17-1843620")</f>
        <v>0</v>
      </c>
      <c r="B702" t="s">
        <v>56</v>
      </c>
      <c r="C702" t="s">
        <v>105</v>
      </c>
      <c r="D702" t="s">
        <v>188</v>
      </c>
      <c r="F702" t="s">
        <v>1106</v>
      </c>
      <c r="G702" t="s">
        <v>1976</v>
      </c>
      <c r="H702" t="s">
        <v>2534</v>
      </c>
      <c r="I702" t="s">
        <v>3314</v>
      </c>
      <c r="J702" t="s">
        <v>3604</v>
      </c>
      <c r="K702">
        <v>10040</v>
      </c>
      <c r="L702" t="s">
        <v>3611</v>
      </c>
      <c r="M702" t="s">
        <v>3610</v>
      </c>
      <c r="O702" t="s">
        <v>4213</v>
      </c>
      <c r="P702" t="s">
        <v>4243</v>
      </c>
      <c r="R702" t="s">
        <v>4258</v>
      </c>
      <c r="S702" t="s">
        <v>3610</v>
      </c>
      <c r="U702" t="s">
        <v>4268</v>
      </c>
      <c r="X702">
        <v>825</v>
      </c>
      <c r="Y702" t="s">
        <v>4351</v>
      </c>
      <c r="Z702" t="s">
        <v>4354</v>
      </c>
      <c r="AB702" t="s">
        <v>4957</v>
      </c>
      <c r="AE702">
        <v>44</v>
      </c>
      <c r="AF702" t="s">
        <v>7101</v>
      </c>
      <c r="AG702" t="s">
        <v>3745</v>
      </c>
      <c r="AH702">
        <v>20</v>
      </c>
      <c r="AI702">
        <v>2</v>
      </c>
      <c r="AJ702">
        <v>1</v>
      </c>
      <c r="AK702">
        <v>89.13</v>
      </c>
      <c r="AL702" t="s">
        <v>246</v>
      </c>
      <c r="AN702" t="s">
        <v>7139</v>
      </c>
      <c r="AO702">
        <v>18200</v>
      </c>
      <c r="AU702">
        <v>0.11</v>
      </c>
      <c r="AV702" t="s">
        <v>131</v>
      </c>
      <c r="AW702" t="s">
        <v>7342</v>
      </c>
    </row>
    <row r="703" spans="1:50">
      <c r="A703" s="1">
        <f>HYPERLINK("https://lsnyc.legalserver.org/matter/dynamic-profile/view/0798517","16-0798517")</f>
        <v>0</v>
      </c>
      <c r="B703" t="s">
        <v>78</v>
      </c>
      <c r="C703" t="s">
        <v>105</v>
      </c>
      <c r="D703" t="s">
        <v>478</v>
      </c>
      <c r="F703" t="s">
        <v>958</v>
      </c>
      <c r="G703" t="s">
        <v>1594</v>
      </c>
      <c r="H703" t="s">
        <v>2858</v>
      </c>
      <c r="I703">
        <v>2</v>
      </c>
      <c r="J703" t="s">
        <v>3604</v>
      </c>
      <c r="K703">
        <v>10035</v>
      </c>
      <c r="L703" t="s">
        <v>3610</v>
      </c>
      <c r="M703" t="s">
        <v>3609</v>
      </c>
      <c r="N703" t="s">
        <v>3745</v>
      </c>
      <c r="O703" t="s">
        <v>4225</v>
      </c>
      <c r="P703" t="s">
        <v>4244</v>
      </c>
      <c r="R703" t="s">
        <v>4258</v>
      </c>
      <c r="S703" t="s">
        <v>3611</v>
      </c>
      <c r="U703" t="s">
        <v>4268</v>
      </c>
      <c r="V703" t="s">
        <v>4274</v>
      </c>
      <c r="W703" t="s">
        <v>4316</v>
      </c>
      <c r="X703">
        <v>1500</v>
      </c>
      <c r="Y703" t="s">
        <v>4351</v>
      </c>
      <c r="Z703" t="s">
        <v>4371</v>
      </c>
      <c r="AB703" t="s">
        <v>4958</v>
      </c>
      <c r="AD703" t="s">
        <v>6335</v>
      </c>
      <c r="AE703">
        <v>30</v>
      </c>
      <c r="AF703" t="s">
        <v>7101</v>
      </c>
      <c r="AG703" t="s">
        <v>3745</v>
      </c>
      <c r="AH703">
        <v>4</v>
      </c>
      <c r="AI703">
        <v>1</v>
      </c>
      <c r="AJ703">
        <v>2</v>
      </c>
      <c r="AK703">
        <v>89.29000000000001</v>
      </c>
      <c r="AN703" t="s">
        <v>7138</v>
      </c>
      <c r="AO703">
        <v>18000</v>
      </c>
      <c r="AU703">
        <v>43</v>
      </c>
      <c r="AV703" t="s">
        <v>363</v>
      </c>
      <c r="AW703" t="s">
        <v>7341</v>
      </c>
    </row>
    <row r="704" spans="1:50">
      <c r="A704" s="1">
        <f>HYPERLINK("https://lsnyc.legalserver.org/matter/dynamic-profile/view/1865023","18-1865023")</f>
        <v>0</v>
      </c>
      <c r="B704" t="s">
        <v>82</v>
      </c>
      <c r="C704" t="s">
        <v>104</v>
      </c>
      <c r="D704" t="s">
        <v>479</v>
      </c>
      <c r="E704" t="s">
        <v>488</v>
      </c>
      <c r="F704" t="s">
        <v>1107</v>
      </c>
      <c r="G704" t="s">
        <v>1146</v>
      </c>
      <c r="H704" t="s">
        <v>2859</v>
      </c>
      <c r="I704">
        <v>46</v>
      </c>
      <c r="J704" t="s">
        <v>3604</v>
      </c>
      <c r="K704">
        <v>10034</v>
      </c>
      <c r="L704" t="s">
        <v>3611</v>
      </c>
      <c r="M704" t="s">
        <v>3609</v>
      </c>
      <c r="O704" t="s">
        <v>4213</v>
      </c>
      <c r="P704" t="s">
        <v>4244</v>
      </c>
      <c r="Q704" t="s">
        <v>4254</v>
      </c>
      <c r="R704" t="s">
        <v>4258</v>
      </c>
      <c r="S704" t="s">
        <v>3611</v>
      </c>
      <c r="U704" t="s">
        <v>4268</v>
      </c>
      <c r="X704">
        <v>2400</v>
      </c>
      <c r="Y704" t="s">
        <v>4351</v>
      </c>
      <c r="AA704" t="s">
        <v>4374</v>
      </c>
      <c r="AB704" t="s">
        <v>4959</v>
      </c>
      <c r="AD704" t="s">
        <v>6336</v>
      </c>
      <c r="AE704">
        <v>30</v>
      </c>
      <c r="AF704" t="s">
        <v>7101</v>
      </c>
      <c r="AG704" t="s">
        <v>3745</v>
      </c>
      <c r="AH704">
        <v>8</v>
      </c>
      <c r="AI704">
        <v>2</v>
      </c>
      <c r="AJ704">
        <v>2</v>
      </c>
      <c r="AK704">
        <v>89.47</v>
      </c>
      <c r="AN704" t="s">
        <v>7138</v>
      </c>
      <c r="AO704">
        <v>22456</v>
      </c>
      <c r="AU704">
        <v>1.6</v>
      </c>
      <c r="AV704" t="s">
        <v>654</v>
      </c>
      <c r="AW704" t="s">
        <v>7344</v>
      </c>
    </row>
    <row r="705" spans="1:50">
      <c r="A705" s="1">
        <f>HYPERLINK("https://lsnyc.legalserver.org/matter/dynamic-profile/view/1854905","17-1854905")</f>
        <v>0</v>
      </c>
      <c r="B705" t="s">
        <v>63</v>
      </c>
      <c r="C705" t="s">
        <v>104</v>
      </c>
      <c r="D705" t="s">
        <v>480</v>
      </c>
      <c r="E705" t="s">
        <v>227</v>
      </c>
      <c r="F705" t="s">
        <v>977</v>
      </c>
      <c r="G705" t="s">
        <v>1977</v>
      </c>
      <c r="H705" t="s">
        <v>2860</v>
      </c>
      <c r="I705" t="s">
        <v>3311</v>
      </c>
      <c r="J705" t="s">
        <v>3604</v>
      </c>
      <c r="K705">
        <v>10034</v>
      </c>
      <c r="L705" t="s">
        <v>3610</v>
      </c>
      <c r="M705" t="s">
        <v>3609</v>
      </c>
      <c r="P705" t="s">
        <v>4241</v>
      </c>
      <c r="Q705" t="s">
        <v>4251</v>
      </c>
      <c r="R705" t="s">
        <v>4258</v>
      </c>
      <c r="S705" t="s">
        <v>3611</v>
      </c>
      <c r="U705" t="s">
        <v>4268</v>
      </c>
      <c r="W705" t="s">
        <v>480</v>
      </c>
      <c r="X705">
        <v>900</v>
      </c>
      <c r="Y705" t="s">
        <v>4351</v>
      </c>
      <c r="Z705" t="s">
        <v>4357</v>
      </c>
      <c r="AA705" t="s">
        <v>4379</v>
      </c>
      <c r="AB705" t="s">
        <v>4960</v>
      </c>
      <c r="AD705" t="s">
        <v>6337</v>
      </c>
      <c r="AE705">
        <v>48</v>
      </c>
      <c r="AF705" t="s">
        <v>7101</v>
      </c>
      <c r="AG705" t="s">
        <v>7118</v>
      </c>
      <c r="AH705">
        <v>38</v>
      </c>
      <c r="AI705">
        <v>1</v>
      </c>
      <c r="AJ705">
        <v>0</v>
      </c>
      <c r="AK705">
        <v>89.55</v>
      </c>
      <c r="AN705" t="s">
        <v>7138</v>
      </c>
      <c r="AO705">
        <v>10800</v>
      </c>
      <c r="AU705">
        <v>2.8</v>
      </c>
      <c r="AV705" t="s">
        <v>378</v>
      </c>
      <c r="AW705" t="s">
        <v>7342</v>
      </c>
    </row>
    <row r="706" spans="1:50">
      <c r="A706" s="1">
        <f>HYPERLINK("https://lsnyc.legalserver.org/matter/dynamic-profile/view/1878888","18-1878888")</f>
        <v>0</v>
      </c>
      <c r="B706" t="s">
        <v>53</v>
      </c>
      <c r="C706" t="s">
        <v>104</v>
      </c>
      <c r="D706" t="s">
        <v>282</v>
      </c>
      <c r="E706" t="s">
        <v>325</v>
      </c>
      <c r="F706" t="s">
        <v>1094</v>
      </c>
      <c r="G706" t="s">
        <v>1968</v>
      </c>
      <c r="H706" t="s">
        <v>2536</v>
      </c>
      <c r="I706" t="s">
        <v>3442</v>
      </c>
      <c r="J706" t="s">
        <v>3604</v>
      </c>
      <c r="K706">
        <v>10029</v>
      </c>
      <c r="L706" t="s">
        <v>3610</v>
      </c>
      <c r="M706" t="s">
        <v>3610</v>
      </c>
      <c r="N706" t="s">
        <v>3875</v>
      </c>
      <c r="O706" t="s">
        <v>4209</v>
      </c>
      <c r="P706" t="s">
        <v>4241</v>
      </c>
      <c r="Q706" t="s">
        <v>4248</v>
      </c>
      <c r="R706" t="s">
        <v>4258</v>
      </c>
      <c r="S706" t="s">
        <v>3611</v>
      </c>
      <c r="U706" t="s">
        <v>4268</v>
      </c>
      <c r="V706" t="s">
        <v>4274</v>
      </c>
      <c r="W706" t="s">
        <v>282</v>
      </c>
      <c r="X706">
        <v>1100</v>
      </c>
      <c r="Y706" t="s">
        <v>4351</v>
      </c>
      <c r="Z706" t="s">
        <v>4366</v>
      </c>
      <c r="AA706" t="s">
        <v>4374</v>
      </c>
      <c r="AB706" t="s">
        <v>4941</v>
      </c>
      <c r="AD706" t="s">
        <v>6324</v>
      </c>
      <c r="AE706">
        <v>120</v>
      </c>
      <c r="AF706" t="s">
        <v>7102</v>
      </c>
      <c r="AG706" t="s">
        <v>7116</v>
      </c>
      <c r="AH706">
        <v>15</v>
      </c>
      <c r="AI706">
        <v>1</v>
      </c>
      <c r="AJ706">
        <v>0</v>
      </c>
      <c r="AK706">
        <v>89.59999999999999</v>
      </c>
      <c r="AN706" t="s">
        <v>7138</v>
      </c>
      <c r="AO706">
        <v>10878</v>
      </c>
      <c r="AQ706" t="s">
        <v>7198</v>
      </c>
      <c r="AR706" t="s">
        <v>7205</v>
      </c>
      <c r="AS706" t="s">
        <v>7231</v>
      </c>
      <c r="AT706" t="s">
        <v>7259</v>
      </c>
      <c r="AU706">
        <v>35.7</v>
      </c>
      <c r="AV706" t="s">
        <v>426</v>
      </c>
      <c r="AW706" t="s">
        <v>7341</v>
      </c>
      <c r="AX706" t="s">
        <v>7377</v>
      </c>
    </row>
    <row r="707" spans="1:50">
      <c r="A707" s="1">
        <f>HYPERLINK("https://lsnyc.legalserver.org/matter/dynamic-profile/view/1864176","18-1864176")</f>
        <v>0</v>
      </c>
      <c r="B707" t="s">
        <v>61</v>
      </c>
      <c r="C707" t="s">
        <v>104</v>
      </c>
      <c r="D707" t="s">
        <v>161</v>
      </c>
      <c r="E707" t="s">
        <v>201</v>
      </c>
      <c r="F707" t="s">
        <v>933</v>
      </c>
      <c r="G707" t="s">
        <v>1978</v>
      </c>
      <c r="H707" t="s">
        <v>2619</v>
      </c>
      <c r="I707" t="s">
        <v>3365</v>
      </c>
      <c r="J707" t="s">
        <v>3604</v>
      </c>
      <c r="K707">
        <v>10033</v>
      </c>
      <c r="L707" t="s">
        <v>3610</v>
      </c>
      <c r="M707" t="s">
        <v>3610</v>
      </c>
      <c r="N707" t="s">
        <v>3876</v>
      </c>
      <c r="O707" t="s">
        <v>4210</v>
      </c>
      <c r="P707" t="s">
        <v>4245</v>
      </c>
      <c r="Q707" t="s">
        <v>4249</v>
      </c>
      <c r="R707" t="s">
        <v>4258</v>
      </c>
      <c r="U707" t="s">
        <v>4268</v>
      </c>
      <c r="W707" t="s">
        <v>161</v>
      </c>
      <c r="X707">
        <v>0</v>
      </c>
      <c r="Y707" t="s">
        <v>4351</v>
      </c>
      <c r="Z707" t="s">
        <v>4354</v>
      </c>
      <c r="AA707" t="s">
        <v>4377</v>
      </c>
      <c r="AB707" t="s">
        <v>4961</v>
      </c>
      <c r="AC707" t="s">
        <v>5828</v>
      </c>
      <c r="AD707" t="s">
        <v>6338</v>
      </c>
      <c r="AE707">
        <v>29</v>
      </c>
      <c r="AF707" t="s">
        <v>7101</v>
      </c>
      <c r="AG707" t="s">
        <v>3745</v>
      </c>
      <c r="AH707">
        <v>27</v>
      </c>
      <c r="AI707">
        <v>2</v>
      </c>
      <c r="AJ707">
        <v>0</v>
      </c>
      <c r="AK707">
        <v>89.75</v>
      </c>
      <c r="AO707">
        <v>14773</v>
      </c>
      <c r="AU707">
        <v>14.2</v>
      </c>
      <c r="AV707" t="s">
        <v>106</v>
      </c>
      <c r="AW707" t="s">
        <v>7342</v>
      </c>
    </row>
    <row r="708" spans="1:50">
      <c r="A708" s="1">
        <f>HYPERLINK("https://lsnyc.legalserver.org/matter/dynamic-profile/view/1898437","19-1898437")</f>
        <v>0</v>
      </c>
      <c r="B708" t="s">
        <v>56</v>
      </c>
      <c r="C708" t="s">
        <v>105</v>
      </c>
      <c r="D708" t="s">
        <v>156</v>
      </c>
      <c r="F708" t="s">
        <v>1108</v>
      </c>
      <c r="G708" t="s">
        <v>1913</v>
      </c>
      <c r="H708" t="s">
        <v>2534</v>
      </c>
      <c r="I708" t="s">
        <v>3345</v>
      </c>
      <c r="J708" t="s">
        <v>3604</v>
      </c>
      <c r="K708">
        <v>10040</v>
      </c>
      <c r="L708" t="s">
        <v>3610</v>
      </c>
      <c r="M708" t="s">
        <v>3610</v>
      </c>
      <c r="P708" t="s">
        <v>4242</v>
      </c>
      <c r="R708" t="s">
        <v>4258</v>
      </c>
      <c r="S708" t="s">
        <v>3611</v>
      </c>
      <c r="U708" t="s">
        <v>4268</v>
      </c>
      <c r="W708" t="s">
        <v>156</v>
      </c>
      <c r="X708">
        <v>1045.94</v>
      </c>
      <c r="Y708" t="s">
        <v>4351</v>
      </c>
      <c r="Z708" t="s">
        <v>4357</v>
      </c>
      <c r="AB708" t="s">
        <v>4962</v>
      </c>
      <c r="AD708" t="s">
        <v>6339</v>
      </c>
      <c r="AE708">
        <v>44</v>
      </c>
      <c r="AF708" t="s">
        <v>7101</v>
      </c>
      <c r="AG708" t="s">
        <v>3745</v>
      </c>
      <c r="AH708">
        <v>36</v>
      </c>
      <c r="AI708">
        <v>3</v>
      </c>
      <c r="AJ708">
        <v>0</v>
      </c>
      <c r="AK708">
        <v>89.84999999999999</v>
      </c>
      <c r="AN708" t="s">
        <v>7139</v>
      </c>
      <c r="AO708">
        <v>19164</v>
      </c>
      <c r="AU708">
        <v>18.8</v>
      </c>
      <c r="AV708" t="s">
        <v>7293</v>
      </c>
      <c r="AW708" t="s">
        <v>7342</v>
      </c>
    </row>
    <row r="709" spans="1:50">
      <c r="A709" s="1">
        <f>HYPERLINK("https://lsnyc.legalserver.org/matter/dynamic-profile/view/0806919","16-0806919")</f>
        <v>0</v>
      </c>
      <c r="B709" t="s">
        <v>63</v>
      </c>
      <c r="C709" t="s">
        <v>105</v>
      </c>
      <c r="D709" t="s">
        <v>289</v>
      </c>
      <c r="F709" t="s">
        <v>723</v>
      </c>
      <c r="G709" t="s">
        <v>1771</v>
      </c>
      <c r="H709" t="s">
        <v>2637</v>
      </c>
      <c r="I709" t="s">
        <v>3285</v>
      </c>
      <c r="J709" t="s">
        <v>3604</v>
      </c>
      <c r="K709">
        <v>10034</v>
      </c>
      <c r="L709" t="s">
        <v>3610</v>
      </c>
      <c r="M709" t="s">
        <v>3609</v>
      </c>
      <c r="N709" t="s">
        <v>3721</v>
      </c>
      <c r="O709" t="s">
        <v>4213</v>
      </c>
      <c r="P709" t="s">
        <v>4241</v>
      </c>
      <c r="R709" t="s">
        <v>4258</v>
      </c>
      <c r="S709" t="s">
        <v>3610</v>
      </c>
      <c r="U709" t="s">
        <v>4268</v>
      </c>
      <c r="W709" t="s">
        <v>4292</v>
      </c>
      <c r="X709">
        <v>629.17</v>
      </c>
      <c r="Y709" t="s">
        <v>4351</v>
      </c>
      <c r="Z709" t="s">
        <v>4364</v>
      </c>
      <c r="AB709" t="s">
        <v>4963</v>
      </c>
      <c r="AD709" t="s">
        <v>6340</v>
      </c>
      <c r="AE709">
        <v>44</v>
      </c>
      <c r="AF709" t="s">
        <v>7101</v>
      </c>
      <c r="AG709" t="s">
        <v>3745</v>
      </c>
      <c r="AH709">
        <v>29</v>
      </c>
      <c r="AI709">
        <v>2</v>
      </c>
      <c r="AJ709">
        <v>0</v>
      </c>
      <c r="AK709">
        <v>89.89</v>
      </c>
      <c r="AN709" t="s">
        <v>7139</v>
      </c>
      <c r="AO709">
        <v>14400</v>
      </c>
      <c r="AU709">
        <v>26.1</v>
      </c>
      <c r="AV709" t="s">
        <v>491</v>
      </c>
      <c r="AW709" t="s">
        <v>7341</v>
      </c>
    </row>
    <row r="710" spans="1:50">
      <c r="A710" s="1">
        <f>HYPERLINK("https://lsnyc.legalserver.org/matter/dynamic-profile/view/0822574","16-0822574")</f>
        <v>0</v>
      </c>
      <c r="B710" t="s">
        <v>63</v>
      </c>
      <c r="C710" t="s">
        <v>104</v>
      </c>
      <c r="D710" t="s">
        <v>466</v>
      </c>
      <c r="E710" t="s">
        <v>512</v>
      </c>
      <c r="F710" t="s">
        <v>1109</v>
      </c>
      <c r="G710" t="s">
        <v>1902</v>
      </c>
      <c r="H710" t="s">
        <v>2652</v>
      </c>
      <c r="I710" t="s">
        <v>3315</v>
      </c>
      <c r="J710" t="s">
        <v>3604</v>
      </c>
      <c r="K710">
        <v>10034</v>
      </c>
      <c r="L710" t="s">
        <v>3610</v>
      </c>
      <c r="M710" t="s">
        <v>3609</v>
      </c>
      <c r="O710" t="s">
        <v>4220</v>
      </c>
      <c r="P710" t="s">
        <v>4243</v>
      </c>
      <c r="Q710" t="s">
        <v>4252</v>
      </c>
      <c r="R710" t="s">
        <v>4258</v>
      </c>
      <c r="S710" t="s">
        <v>3610</v>
      </c>
      <c r="U710" t="s">
        <v>4268</v>
      </c>
      <c r="W710" t="s">
        <v>518</v>
      </c>
      <c r="X710">
        <v>709.67</v>
      </c>
      <c r="Y710" t="s">
        <v>4351</v>
      </c>
      <c r="Z710" t="s">
        <v>4352</v>
      </c>
      <c r="AA710" t="s">
        <v>4379</v>
      </c>
      <c r="AB710" t="s">
        <v>4964</v>
      </c>
      <c r="AD710" t="s">
        <v>6341</v>
      </c>
      <c r="AE710">
        <v>22</v>
      </c>
      <c r="AF710" t="s">
        <v>7101</v>
      </c>
      <c r="AG710" t="s">
        <v>3745</v>
      </c>
      <c r="AH710">
        <v>38</v>
      </c>
      <c r="AI710">
        <v>1</v>
      </c>
      <c r="AJ710">
        <v>0</v>
      </c>
      <c r="AK710">
        <v>90.09999999999999</v>
      </c>
      <c r="AN710" t="s">
        <v>7139</v>
      </c>
      <c r="AO710">
        <v>10704</v>
      </c>
      <c r="AU710">
        <v>0.2</v>
      </c>
      <c r="AV710" t="s">
        <v>7316</v>
      </c>
      <c r="AW710" t="s">
        <v>7341</v>
      </c>
    </row>
    <row r="711" spans="1:50">
      <c r="A711" s="1">
        <f>HYPERLINK("https://lsnyc.legalserver.org/matter/dynamic-profile/view/1876936","18-1876936")</f>
        <v>0</v>
      </c>
      <c r="B711" t="s">
        <v>62</v>
      </c>
      <c r="C711" t="s">
        <v>105</v>
      </c>
      <c r="D711" t="s">
        <v>204</v>
      </c>
      <c r="F711" t="s">
        <v>1110</v>
      </c>
      <c r="G711" t="s">
        <v>887</v>
      </c>
      <c r="H711" t="s">
        <v>2861</v>
      </c>
      <c r="I711" t="s">
        <v>3445</v>
      </c>
      <c r="J711" t="s">
        <v>3604</v>
      </c>
      <c r="K711">
        <v>10033</v>
      </c>
      <c r="L711" t="s">
        <v>3610</v>
      </c>
      <c r="M711" t="s">
        <v>3610</v>
      </c>
      <c r="O711" t="s">
        <v>4213</v>
      </c>
      <c r="P711" t="s">
        <v>4245</v>
      </c>
      <c r="R711" t="s">
        <v>4258</v>
      </c>
      <c r="S711" t="s">
        <v>3610</v>
      </c>
      <c r="U711" t="s">
        <v>4268</v>
      </c>
      <c r="W711" t="s">
        <v>204</v>
      </c>
      <c r="X711">
        <v>1026</v>
      </c>
      <c r="Y711" t="s">
        <v>4351</v>
      </c>
      <c r="Z711" t="s">
        <v>4352</v>
      </c>
      <c r="AB711" t="s">
        <v>4965</v>
      </c>
      <c r="AD711" t="s">
        <v>6342</v>
      </c>
      <c r="AE711">
        <v>232</v>
      </c>
      <c r="AF711" t="s">
        <v>7101</v>
      </c>
      <c r="AG711" t="s">
        <v>7118</v>
      </c>
      <c r="AH711">
        <v>25</v>
      </c>
      <c r="AI711">
        <v>2</v>
      </c>
      <c r="AJ711">
        <v>0</v>
      </c>
      <c r="AK711">
        <v>90.40000000000001</v>
      </c>
      <c r="AO711">
        <v>14880</v>
      </c>
      <c r="AU711">
        <v>0.4</v>
      </c>
      <c r="AV711" t="s">
        <v>680</v>
      </c>
      <c r="AW711" t="s">
        <v>7342</v>
      </c>
    </row>
    <row r="712" spans="1:50">
      <c r="A712" s="1">
        <f>HYPERLINK("https://lsnyc.legalserver.org/matter/dynamic-profile/view/1892335","19-1892335")</f>
        <v>0</v>
      </c>
      <c r="B712" t="s">
        <v>83</v>
      </c>
      <c r="C712" t="s">
        <v>104</v>
      </c>
      <c r="D712" t="s">
        <v>442</v>
      </c>
      <c r="E712" t="s">
        <v>129</v>
      </c>
      <c r="F712" t="s">
        <v>1111</v>
      </c>
      <c r="G712" t="s">
        <v>1979</v>
      </c>
      <c r="H712" t="s">
        <v>2862</v>
      </c>
      <c r="I712">
        <v>5</v>
      </c>
      <c r="J712" t="s">
        <v>3604</v>
      </c>
      <c r="K712">
        <v>10029</v>
      </c>
      <c r="L712" t="s">
        <v>3610</v>
      </c>
      <c r="M712" t="s">
        <v>3610</v>
      </c>
      <c r="O712" t="s">
        <v>4212</v>
      </c>
      <c r="P712" t="s">
        <v>4244</v>
      </c>
      <c r="Q712" t="s">
        <v>4254</v>
      </c>
      <c r="R712" t="s">
        <v>4258</v>
      </c>
      <c r="S712" t="s">
        <v>3611</v>
      </c>
      <c r="U712" t="s">
        <v>4270</v>
      </c>
      <c r="V712" t="s">
        <v>4274</v>
      </c>
      <c r="W712" t="s">
        <v>148</v>
      </c>
      <c r="X712">
        <v>1223.47</v>
      </c>
      <c r="Y712" t="s">
        <v>4351</v>
      </c>
      <c r="Z712" t="s">
        <v>4356</v>
      </c>
      <c r="AA712" t="s">
        <v>4376</v>
      </c>
      <c r="AB712" t="s">
        <v>4966</v>
      </c>
      <c r="AC712" t="s">
        <v>5829</v>
      </c>
      <c r="AE712">
        <v>0</v>
      </c>
      <c r="AF712" t="s">
        <v>7101</v>
      </c>
      <c r="AG712" t="s">
        <v>3745</v>
      </c>
      <c r="AH712">
        <v>10</v>
      </c>
      <c r="AI712">
        <v>1</v>
      </c>
      <c r="AJ712">
        <v>4</v>
      </c>
      <c r="AK712">
        <v>90.56999999999999</v>
      </c>
      <c r="AN712" t="s">
        <v>7139</v>
      </c>
      <c r="AO712">
        <v>27324</v>
      </c>
      <c r="AU712">
        <v>9.5</v>
      </c>
      <c r="AV712" t="s">
        <v>674</v>
      </c>
      <c r="AW712" t="s">
        <v>7341</v>
      </c>
    </row>
    <row r="713" spans="1:50">
      <c r="A713" s="1">
        <f>HYPERLINK("https://lsnyc.legalserver.org/matter/dynamic-profile/view/1862681","18-1862681")</f>
        <v>0</v>
      </c>
      <c r="B713" t="s">
        <v>64</v>
      </c>
      <c r="C713" t="s">
        <v>104</v>
      </c>
      <c r="D713" t="s">
        <v>481</v>
      </c>
      <c r="E713" t="s">
        <v>159</v>
      </c>
      <c r="F713" t="s">
        <v>1112</v>
      </c>
      <c r="G713" t="s">
        <v>1980</v>
      </c>
      <c r="H713" t="s">
        <v>2835</v>
      </c>
      <c r="I713" t="s">
        <v>3316</v>
      </c>
      <c r="J713" t="s">
        <v>3604</v>
      </c>
      <c r="K713">
        <v>10034</v>
      </c>
      <c r="L713" t="s">
        <v>3610</v>
      </c>
      <c r="M713" t="s">
        <v>3609</v>
      </c>
      <c r="N713" t="s">
        <v>3877</v>
      </c>
      <c r="O713" t="s">
        <v>4209</v>
      </c>
      <c r="P713" t="s">
        <v>4241</v>
      </c>
      <c r="Q713" t="s">
        <v>4248</v>
      </c>
      <c r="R713" t="s">
        <v>4258</v>
      </c>
      <c r="S713" t="s">
        <v>3611</v>
      </c>
      <c r="U713" t="s">
        <v>4268</v>
      </c>
      <c r="W713" t="s">
        <v>481</v>
      </c>
      <c r="X713">
        <v>896.53</v>
      </c>
      <c r="Y713" t="s">
        <v>4351</v>
      </c>
      <c r="Z713" t="s">
        <v>4354</v>
      </c>
      <c r="AA713" t="s">
        <v>4374</v>
      </c>
      <c r="AB713" t="s">
        <v>4967</v>
      </c>
      <c r="AD713" t="s">
        <v>6343</v>
      </c>
      <c r="AE713">
        <v>121</v>
      </c>
      <c r="AF713" t="s">
        <v>7101</v>
      </c>
      <c r="AG713" t="s">
        <v>3745</v>
      </c>
      <c r="AH713">
        <v>27</v>
      </c>
      <c r="AI713">
        <v>3</v>
      </c>
      <c r="AJ713">
        <v>0</v>
      </c>
      <c r="AK713">
        <v>90.90000000000001</v>
      </c>
      <c r="AN713" t="s">
        <v>7139</v>
      </c>
      <c r="AO713">
        <v>18888</v>
      </c>
      <c r="AU713">
        <v>45.85</v>
      </c>
      <c r="AV713" t="s">
        <v>7298</v>
      </c>
      <c r="AW713" t="s">
        <v>7342</v>
      </c>
    </row>
    <row r="714" spans="1:50">
      <c r="A714" s="1">
        <f>HYPERLINK("https://lsnyc.legalserver.org/matter/dynamic-profile/view/0818715","16-0818715")</f>
        <v>0</v>
      </c>
      <c r="B714" t="s">
        <v>61</v>
      </c>
      <c r="C714" t="s">
        <v>105</v>
      </c>
      <c r="D714" t="s">
        <v>482</v>
      </c>
      <c r="F714" t="s">
        <v>1113</v>
      </c>
      <c r="G714" t="s">
        <v>1746</v>
      </c>
      <c r="H714" t="s">
        <v>2863</v>
      </c>
      <c r="I714" t="s">
        <v>3315</v>
      </c>
      <c r="J714" t="s">
        <v>3604</v>
      </c>
      <c r="K714">
        <v>10035</v>
      </c>
      <c r="L714" t="s">
        <v>3610</v>
      </c>
      <c r="M714" t="s">
        <v>3609</v>
      </c>
      <c r="N714" t="s">
        <v>3878</v>
      </c>
      <c r="O714" t="s">
        <v>4210</v>
      </c>
      <c r="P714" t="s">
        <v>4243</v>
      </c>
      <c r="R714" t="s">
        <v>4258</v>
      </c>
      <c r="S714" t="s">
        <v>3611</v>
      </c>
      <c r="U714" t="s">
        <v>4268</v>
      </c>
      <c r="W714" t="s">
        <v>482</v>
      </c>
      <c r="X714">
        <v>1650</v>
      </c>
      <c r="Y714" t="s">
        <v>4351</v>
      </c>
      <c r="Z714" t="s">
        <v>4371</v>
      </c>
      <c r="AB714" t="s">
        <v>4968</v>
      </c>
      <c r="AD714" t="s">
        <v>6344</v>
      </c>
      <c r="AE714">
        <v>100</v>
      </c>
      <c r="AF714" t="s">
        <v>7101</v>
      </c>
      <c r="AG714" t="s">
        <v>3745</v>
      </c>
      <c r="AH714">
        <v>5</v>
      </c>
      <c r="AI714">
        <v>1</v>
      </c>
      <c r="AJ714">
        <v>0</v>
      </c>
      <c r="AK714">
        <v>90.91</v>
      </c>
      <c r="AN714" t="s">
        <v>7138</v>
      </c>
      <c r="AO714">
        <v>10800</v>
      </c>
      <c r="AU714">
        <v>83.40000000000001</v>
      </c>
      <c r="AV714" t="s">
        <v>685</v>
      </c>
      <c r="AW714" t="s">
        <v>7341</v>
      </c>
    </row>
    <row r="715" spans="1:50">
      <c r="A715" s="1">
        <f>HYPERLINK("https://lsnyc.legalserver.org/matter/dynamic-profile/view/0821146","16-0821146")</f>
        <v>0</v>
      </c>
      <c r="B715" t="s">
        <v>63</v>
      </c>
      <c r="C715" t="s">
        <v>104</v>
      </c>
      <c r="D715" t="s">
        <v>483</v>
      </c>
      <c r="E715" t="s">
        <v>227</v>
      </c>
      <c r="F715" t="s">
        <v>977</v>
      </c>
      <c r="G715" t="s">
        <v>1977</v>
      </c>
      <c r="H715" t="s">
        <v>2860</v>
      </c>
      <c r="I715" t="s">
        <v>3311</v>
      </c>
      <c r="J715" t="s">
        <v>3604</v>
      </c>
      <c r="K715">
        <v>10034</v>
      </c>
      <c r="L715" t="s">
        <v>3609</v>
      </c>
      <c r="M715" t="s">
        <v>3609</v>
      </c>
      <c r="O715" t="s">
        <v>4213</v>
      </c>
      <c r="P715" t="s">
        <v>4244</v>
      </c>
      <c r="Q715" t="s">
        <v>4248</v>
      </c>
      <c r="R715" t="s">
        <v>4258</v>
      </c>
      <c r="S715" t="s">
        <v>3610</v>
      </c>
      <c r="U715" t="s">
        <v>4268</v>
      </c>
      <c r="W715" t="s">
        <v>369</v>
      </c>
      <c r="X715">
        <v>900</v>
      </c>
      <c r="Y715" t="s">
        <v>4351</v>
      </c>
      <c r="Z715" t="s">
        <v>4352</v>
      </c>
      <c r="AA715" t="s">
        <v>4379</v>
      </c>
      <c r="AB715" t="s">
        <v>4960</v>
      </c>
      <c r="AD715" t="s">
        <v>6337</v>
      </c>
      <c r="AE715">
        <v>48</v>
      </c>
      <c r="AF715" t="s">
        <v>7101</v>
      </c>
      <c r="AG715" t="s">
        <v>7118</v>
      </c>
      <c r="AH715">
        <v>38</v>
      </c>
      <c r="AI715">
        <v>1</v>
      </c>
      <c r="AJ715">
        <v>0</v>
      </c>
      <c r="AK715">
        <v>90.91</v>
      </c>
      <c r="AN715" t="s">
        <v>7138</v>
      </c>
      <c r="AO715">
        <v>10800</v>
      </c>
      <c r="AU715">
        <v>138.45</v>
      </c>
      <c r="AV715" t="s">
        <v>378</v>
      </c>
      <c r="AW715" t="s">
        <v>7341</v>
      </c>
    </row>
    <row r="716" spans="1:50">
      <c r="A716" s="1">
        <f>HYPERLINK("https://lsnyc.legalserver.org/matter/dynamic-profile/view/1855265","18-1855265")</f>
        <v>0</v>
      </c>
      <c r="B716" t="s">
        <v>93</v>
      </c>
      <c r="C716" t="s">
        <v>104</v>
      </c>
      <c r="D716" t="s">
        <v>484</v>
      </c>
      <c r="E716" t="s">
        <v>385</v>
      </c>
      <c r="F716" t="s">
        <v>1114</v>
      </c>
      <c r="G716" t="s">
        <v>1981</v>
      </c>
      <c r="H716" t="s">
        <v>2550</v>
      </c>
      <c r="I716">
        <v>511</v>
      </c>
      <c r="J716" t="s">
        <v>3604</v>
      </c>
      <c r="K716">
        <v>10035</v>
      </c>
      <c r="L716" t="s">
        <v>3610</v>
      </c>
      <c r="M716" t="s">
        <v>3610</v>
      </c>
      <c r="N716" t="s">
        <v>3879</v>
      </c>
      <c r="O716" t="s">
        <v>4209</v>
      </c>
      <c r="P716" t="s">
        <v>4242</v>
      </c>
      <c r="Q716" t="s">
        <v>4250</v>
      </c>
      <c r="R716" t="s">
        <v>4258</v>
      </c>
      <c r="S716" t="s">
        <v>3611</v>
      </c>
      <c r="U716" t="s">
        <v>4268</v>
      </c>
      <c r="W716" t="s">
        <v>421</v>
      </c>
      <c r="X716">
        <v>1500</v>
      </c>
      <c r="Y716" t="s">
        <v>4351</v>
      </c>
      <c r="Z716" t="s">
        <v>4361</v>
      </c>
      <c r="AA716" t="s">
        <v>4373</v>
      </c>
      <c r="AB716" t="s">
        <v>4969</v>
      </c>
      <c r="AD716" t="s">
        <v>6345</v>
      </c>
      <c r="AE716">
        <v>60</v>
      </c>
      <c r="AF716" t="s">
        <v>7106</v>
      </c>
      <c r="AG716" t="s">
        <v>7116</v>
      </c>
      <c r="AH716">
        <v>3</v>
      </c>
      <c r="AI716">
        <v>1</v>
      </c>
      <c r="AJ716">
        <v>0</v>
      </c>
      <c r="AK716">
        <v>91.23999999999999</v>
      </c>
      <c r="AN716" t="s">
        <v>7138</v>
      </c>
      <c r="AO716">
        <v>11004</v>
      </c>
      <c r="AU716">
        <v>19.38</v>
      </c>
      <c r="AV716" t="s">
        <v>678</v>
      </c>
      <c r="AW716" t="s">
        <v>7352</v>
      </c>
    </row>
    <row r="717" spans="1:50">
      <c r="A717" s="1">
        <f>HYPERLINK("https://lsnyc.legalserver.org/matter/dynamic-profile/view/1885182","18-1885182")</f>
        <v>0</v>
      </c>
      <c r="B717" t="s">
        <v>83</v>
      </c>
      <c r="C717" t="s">
        <v>104</v>
      </c>
      <c r="D717" t="s">
        <v>485</v>
      </c>
      <c r="E717" t="s">
        <v>156</v>
      </c>
      <c r="F717" t="s">
        <v>836</v>
      </c>
      <c r="G717" t="s">
        <v>1982</v>
      </c>
      <c r="H717" t="s">
        <v>2804</v>
      </c>
      <c r="I717">
        <v>24</v>
      </c>
      <c r="J717" t="s">
        <v>3604</v>
      </c>
      <c r="K717">
        <v>10035</v>
      </c>
      <c r="L717" t="s">
        <v>3610</v>
      </c>
      <c r="M717" t="s">
        <v>3610</v>
      </c>
      <c r="O717" t="s">
        <v>4212</v>
      </c>
      <c r="P717" t="s">
        <v>4243</v>
      </c>
      <c r="Q717" t="s">
        <v>4254</v>
      </c>
      <c r="R717" t="s">
        <v>4258</v>
      </c>
      <c r="S717" t="s">
        <v>3611</v>
      </c>
      <c r="U717" t="s">
        <v>4270</v>
      </c>
      <c r="V717" t="s">
        <v>4274</v>
      </c>
      <c r="W717" t="s">
        <v>485</v>
      </c>
      <c r="X717">
        <v>2037</v>
      </c>
      <c r="Y717" t="s">
        <v>4351</v>
      </c>
      <c r="Z717" t="s">
        <v>4356</v>
      </c>
      <c r="AA717" t="s">
        <v>4392</v>
      </c>
      <c r="AB717" t="s">
        <v>4970</v>
      </c>
      <c r="AD717" t="s">
        <v>6346</v>
      </c>
      <c r="AE717">
        <v>35</v>
      </c>
      <c r="AF717" t="s">
        <v>7101</v>
      </c>
      <c r="AG717" t="s">
        <v>7116</v>
      </c>
      <c r="AH717">
        <v>27</v>
      </c>
      <c r="AI717">
        <v>3</v>
      </c>
      <c r="AJ717">
        <v>0</v>
      </c>
      <c r="AK717">
        <v>91.33</v>
      </c>
      <c r="AN717" t="s">
        <v>7138</v>
      </c>
      <c r="AO717">
        <v>18978.96</v>
      </c>
      <c r="AU717">
        <v>22.5</v>
      </c>
      <c r="AV717" t="s">
        <v>340</v>
      </c>
      <c r="AW717" t="s">
        <v>7341</v>
      </c>
    </row>
    <row r="718" spans="1:50">
      <c r="A718" s="1">
        <f>HYPERLINK("https://lsnyc.legalserver.org/matter/dynamic-profile/view/1868285","18-1868285")</f>
        <v>0</v>
      </c>
      <c r="B718" t="s">
        <v>53</v>
      </c>
      <c r="C718" t="s">
        <v>104</v>
      </c>
      <c r="D718" t="s">
        <v>486</v>
      </c>
      <c r="E718" t="s">
        <v>488</v>
      </c>
      <c r="F718" t="s">
        <v>1115</v>
      </c>
      <c r="G718" t="s">
        <v>1983</v>
      </c>
      <c r="H718" t="s">
        <v>2833</v>
      </c>
      <c r="I718">
        <v>25</v>
      </c>
      <c r="J718" t="s">
        <v>3604</v>
      </c>
      <c r="K718">
        <v>10040</v>
      </c>
      <c r="L718" t="s">
        <v>3610</v>
      </c>
      <c r="M718" t="s">
        <v>3610</v>
      </c>
      <c r="N718" t="s">
        <v>3880</v>
      </c>
      <c r="O718" t="s">
        <v>4213</v>
      </c>
      <c r="P718" t="s">
        <v>4241</v>
      </c>
      <c r="Q718" t="s">
        <v>4248</v>
      </c>
      <c r="R718" t="s">
        <v>4258</v>
      </c>
      <c r="S718" t="s">
        <v>3611</v>
      </c>
      <c r="U718" t="s">
        <v>4268</v>
      </c>
      <c r="W718" t="s">
        <v>486</v>
      </c>
      <c r="X718">
        <v>798</v>
      </c>
      <c r="Y718" t="s">
        <v>4351</v>
      </c>
      <c r="Z718" t="s">
        <v>4357</v>
      </c>
      <c r="AA718" t="s">
        <v>4379</v>
      </c>
      <c r="AB718" t="s">
        <v>4971</v>
      </c>
      <c r="AD718" t="s">
        <v>6347</v>
      </c>
      <c r="AE718">
        <v>45</v>
      </c>
      <c r="AF718" t="s">
        <v>7101</v>
      </c>
      <c r="AG718" t="s">
        <v>3745</v>
      </c>
      <c r="AH718">
        <v>41</v>
      </c>
      <c r="AI718">
        <v>2</v>
      </c>
      <c r="AJ718">
        <v>1</v>
      </c>
      <c r="AK718">
        <v>91.47</v>
      </c>
      <c r="AN718" t="s">
        <v>7139</v>
      </c>
      <c r="AO718">
        <v>19008</v>
      </c>
      <c r="AQ718" t="s">
        <v>7197</v>
      </c>
      <c r="AR718" t="s">
        <v>7220</v>
      </c>
      <c r="AS718" t="s">
        <v>7231</v>
      </c>
      <c r="AT718" t="s">
        <v>7260</v>
      </c>
      <c r="AU718">
        <v>2.6</v>
      </c>
      <c r="AV718" t="s">
        <v>488</v>
      </c>
      <c r="AW718" t="s">
        <v>7342</v>
      </c>
    </row>
    <row r="719" spans="1:50">
      <c r="A719" s="1">
        <f>HYPERLINK("https://lsnyc.legalserver.org/matter/dynamic-profile/view/1855559","18-1855559")</f>
        <v>0</v>
      </c>
      <c r="B719" t="s">
        <v>63</v>
      </c>
      <c r="C719" t="s">
        <v>104</v>
      </c>
      <c r="D719" t="s">
        <v>420</v>
      </c>
      <c r="E719" t="s">
        <v>341</v>
      </c>
      <c r="F719" t="s">
        <v>1116</v>
      </c>
      <c r="G719" t="s">
        <v>1984</v>
      </c>
      <c r="H719" t="s">
        <v>2864</v>
      </c>
      <c r="I719" t="s">
        <v>3446</v>
      </c>
      <c r="J719" t="s">
        <v>3604</v>
      </c>
      <c r="K719">
        <v>10034</v>
      </c>
      <c r="L719" t="s">
        <v>3610</v>
      </c>
      <c r="M719" t="s">
        <v>3609</v>
      </c>
      <c r="O719" t="s">
        <v>4219</v>
      </c>
      <c r="P719" t="s">
        <v>4242</v>
      </c>
      <c r="Q719" t="s">
        <v>4250</v>
      </c>
      <c r="R719" t="s">
        <v>4258</v>
      </c>
      <c r="S719" t="s">
        <v>3611</v>
      </c>
      <c r="U719" t="s">
        <v>4268</v>
      </c>
      <c r="W719" t="s">
        <v>420</v>
      </c>
      <c r="X719">
        <v>1397</v>
      </c>
      <c r="Y719" t="s">
        <v>4351</v>
      </c>
      <c r="Z719" t="s">
        <v>4354</v>
      </c>
      <c r="AA719" t="s">
        <v>4373</v>
      </c>
      <c r="AB719" t="s">
        <v>4972</v>
      </c>
      <c r="AD719" t="s">
        <v>6348</v>
      </c>
      <c r="AE719">
        <v>66</v>
      </c>
      <c r="AF719" t="s">
        <v>7101</v>
      </c>
      <c r="AG719" t="s">
        <v>7116</v>
      </c>
      <c r="AH719">
        <v>18</v>
      </c>
      <c r="AI719">
        <v>2</v>
      </c>
      <c r="AJ719">
        <v>0</v>
      </c>
      <c r="AK719">
        <v>91.51000000000001</v>
      </c>
      <c r="AN719" t="s">
        <v>7139</v>
      </c>
      <c r="AO719">
        <v>14861.34</v>
      </c>
      <c r="AU719">
        <v>0.4</v>
      </c>
      <c r="AV719" t="s">
        <v>341</v>
      </c>
      <c r="AW719" t="s">
        <v>7342</v>
      </c>
    </row>
    <row r="720" spans="1:50">
      <c r="A720" s="1">
        <f>HYPERLINK("https://lsnyc.legalserver.org/matter/dynamic-profile/view/1878613","18-1878613")</f>
        <v>0</v>
      </c>
      <c r="B720" t="s">
        <v>62</v>
      </c>
      <c r="C720" t="s">
        <v>104</v>
      </c>
      <c r="D720" t="s">
        <v>362</v>
      </c>
      <c r="E720" t="s">
        <v>345</v>
      </c>
      <c r="F720" t="s">
        <v>1117</v>
      </c>
      <c r="G720" t="s">
        <v>1985</v>
      </c>
      <c r="H720" t="s">
        <v>2865</v>
      </c>
      <c r="I720" t="s">
        <v>3447</v>
      </c>
      <c r="J720" t="s">
        <v>3604</v>
      </c>
      <c r="K720">
        <v>10034</v>
      </c>
      <c r="L720" t="s">
        <v>3610</v>
      </c>
      <c r="M720" t="s">
        <v>3610</v>
      </c>
      <c r="O720" t="s">
        <v>4209</v>
      </c>
      <c r="P720" t="s">
        <v>4242</v>
      </c>
      <c r="Q720" t="s">
        <v>4250</v>
      </c>
      <c r="R720" t="s">
        <v>4258</v>
      </c>
      <c r="S720" t="s">
        <v>3611</v>
      </c>
      <c r="U720" t="s">
        <v>4268</v>
      </c>
      <c r="V720" t="s">
        <v>4274</v>
      </c>
      <c r="W720" t="s">
        <v>362</v>
      </c>
      <c r="X720">
        <v>861.77</v>
      </c>
      <c r="Y720" t="s">
        <v>4351</v>
      </c>
      <c r="Z720" t="s">
        <v>4354</v>
      </c>
      <c r="AA720" t="s">
        <v>4373</v>
      </c>
      <c r="AB720" t="s">
        <v>4973</v>
      </c>
      <c r="AD720" t="s">
        <v>6349</v>
      </c>
      <c r="AE720">
        <v>48</v>
      </c>
      <c r="AF720" t="s">
        <v>7101</v>
      </c>
      <c r="AG720" t="s">
        <v>7118</v>
      </c>
      <c r="AH720">
        <v>10</v>
      </c>
      <c r="AI720">
        <v>2</v>
      </c>
      <c r="AJ720">
        <v>0</v>
      </c>
      <c r="AK720">
        <v>92</v>
      </c>
      <c r="AN720" t="s">
        <v>7139</v>
      </c>
      <c r="AO720">
        <v>15144</v>
      </c>
      <c r="AU720">
        <v>1.1</v>
      </c>
      <c r="AV720" t="s">
        <v>437</v>
      </c>
      <c r="AW720" t="s">
        <v>7342</v>
      </c>
    </row>
    <row r="721" spans="1:50">
      <c r="A721" s="1">
        <f>HYPERLINK("https://lsnyc.legalserver.org/matter/dynamic-profile/view/0827315","17-0827315")</f>
        <v>0</v>
      </c>
      <c r="B721" t="s">
        <v>63</v>
      </c>
      <c r="C721" t="s">
        <v>105</v>
      </c>
      <c r="D721" t="s">
        <v>422</v>
      </c>
      <c r="F721" t="s">
        <v>1070</v>
      </c>
      <c r="G721" t="s">
        <v>1599</v>
      </c>
      <c r="H721" t="s">
        <v>2637</v>
      </c>
      <c r="I721" t="s">
        <v>3348</v>
      </c>
      <c r="J721" t="s">
        <v>3604</v>
      </c>
      <c r="K721">
        <v>10034</v>
      </c>
      <c r="L721" t="s">
        <v>3610</v>
      </c>
      <c r="M721" t="s">
        <v>3609</v>
      </c>
      <c r="N721" t="s">
        <v>3881</v>
      </c>
      <c r="O721" t="s">
        <v>4213</v>
      </c>
      <c r="P721" t="s">
        <v>4241</v>
      </c>
      <c r="R721" t="s">
        <v>4258</v>
      </c>
      <c r="S721" t="s">
        <v>3610</v>
      </c>
      <c r="U721" t="s">
        <v>4268</v>
      </c>
      <c r="W721" t="s">
        <v>4317</v>
      </c>
      <c r="X721">
        <v>1422.5</v>
      </c>
      <c r="Y721" t="s">
        <v>4351</v>
      </c>
      <c r="Z721" t="s">
        <v>4364</v>
      </c>
      <c r="AB721" t="s">
        <v>4974</v>
      </c>
      <c r="AD721" t="s">
        <v>6350</v>
      </c>
      <c r="AE721">
        <v>44</v>
      </c>
      <c r="AF721" t="s">
        <v>7101</v>
      </c>
      <c r="AG721" t="s">
        <v>7116</v>
      </c>
      <c r="AH721">
        <v>14</v>
      </c>
      <c r="AI721">
        <v>2</v>
      </c>
      <c r="AJ721">
        <v>0</v>
      </c>
      <c r="AK721">
        <v>92.14</v>
      </c>
      <c r="AN721" t="s">
        <v>7139</v>
      </c>
      <c r="AO721">
        <v>14964</v>
      </c>
      <c r="AU721">
        <v>1.25</v>
      </c>
      <c r="AV721" t="s">
        <v>4311</v>
      </c>
      <c r="AW721" t="s">
        <v>63</v>
      </c>
    </row>
    <row r="722" spans="1:50">
      <c r="A722" s="1">
        <f>HYPERLINK("https://lsnyc.legalserver.org/matter/dynamic-profile/view/1864115","18-1864115")</f>
        <v>0</v>
      </c>
      <c r="B722" t="s">
        <v>56</v>
      </c>
      <c r="C722" t="s">
        <v>105</v>
      </c>
      <c r="D722" t="s">
        <v>161</v>
      </c>
      <c r="F722" t="s">
        <v>1108</v>
      </c>
      <c r="G722" t="s">
        <v>1913</v>
      </c>
      <c r="H722" t="s">
        <v>2534</v>
      </c>
      <c r="I722" t="s">
        <v>3345</v>
      </c>
      <c r="J722" t="s">
        <v>3604</v>
      </c>
      <c r="K722">
        <v>10040</v>
      </c>
      <c r="L722" t="s">
        <v>3610</v>
      </c>
      <c r="M722" t="s">
        <v>3609</v>
      </c>
      <c r="N722" t="s">
        <v>3656</v>
      </c>
      <c r="O722" t="s">
        <v>4213</v>
      </c>
      <c r="P722" t="s">
        <v>4241</v>
      </c>
      <c r="R722" t="s">
        <v>4258</v>
      </c>
      <c r="S722" t="s">
        <v>3610</v>
      </c>
      <c r="U722" t="s">
        <v>4268</v>
      </c>
      <c r="W722" t="s">
        <v>4299</v>
      </c>
      <c r="X722">
        <v>1045.94</v>
      </c>
      <c r="Y722" t="s">
        <v>4351</v>
      </c>
      <c r="Z722" t="s">
        <v>4357</v>
      </c>
      <c r="AB722" t="s">
        <v>4962</v>
      </c>
      <c r="AD722" t="s">
        <v>6339</v>
      </c>
      <c r="AE722">
        <v>44</v>
      </c>
      <c r="AF722" t="s">
        <v>7101</v>
      </c>
      <c r="AG722" t="s">
        <v>3745</v>
      </c>
      <c r="AH722">
        <v>36</v>
      </c>
      <c r="AI722">
        <v>3</v>
      </c>
      <c r="AJ722">
        <v>0</v>
      </c>
      <c r="AK722">
        <v>92.22</v>
      </c>
      <c r="AL722" t="s">
        <v>246</v>
      </c>
      <c r="AN722" t="s">
        <v>7139</v>
      </c>
      <c r="AO722">
        <v>19164</v>
      </c>
      <c r="AU722">
        <v>55.65</v>
      </c>
      <c r="AV722" t="s">
        <v>7293</v>
      </c>
      <c r="AW722" t="s">
        <v>7342</v>
      </c>
    </row>
    <row r="723" spans="1:50">
      <c r="A723" s="1">
        <f>HYPERLINK("https://lsnyc.legalserver.org/matter/dynamic-profile/view/1891535","19-1891535")</f>
        <v>0</v>
      </c>
      <c r="B723" t="s">
        <v>69</v>
      </c>
      <c r="C723" t="s">
        <v>105</v>
      </c>
      <c r="D723" t="s">
        <v>487</v>
      </c>
      <c r="F723" t="s">
        <v>1118</v>
      </c>
      <c r="G723" t="s">
        <v>1606</v>
      </c>
      <c r="H723" t="s">
        <v>2866</v>
      </c>
      <c r="I723" t="s">
        <v>3316</v>
      </c>
      <c r="J723" t="s">
        <v>3604</v>
      </c>
      <c r="K723">
        <v>10035</v>
      </c>
      <c r="L723" t="s">
        <v>3610</v>
      </c>
      <c r="M723" t="s">
        <v>3610</v>
      </c>
      <c r="O723" t="s">
        <v>4211</v>
      </c>
      <c r="P723" t="s">
        <v>4246</v>
      </c>
      <c r="R723" t="s">
        <v>4258</v>
      </c>
      <c r="S723" t="s">
        <v>3610</v>
      </c>
      <c r="U723" t="s">
        <v>4268</v>
      </c>
      <c r="V723" t="s">
        <v>4274</v>
      </c>
      <c r="W723" t="s">
        <v>4318</v>
      </c>
      <c r="X723">
        <v>1530</v>
      </c>
      <c r="Y723" t="s">
        <v>4351</v>
      </c>
      <c r="Z723" t="s">
        <v>4363</v>
      </c>
      <c r="AB723" t="s">
        <v>4975</v>
      </c>
      <c r="AD723" t="s">
        <v>6351</v>
      </c>
      <c r="AE723">
        <v>30</v>
      </c>
      <c r="AF723" t="s">
        <v>7101</v>
      </c>
      <c r="AG723" t="s">
        <v>3745</v>
      </c>
      <c r="AH723">
        <v>3</v>
      </c>
      <c r="AI723">
        <v>1</v>
      </c>
      <c r="AJ723">
        <v>1</v>
      </c>
      <c r="AK723">
        <v>92.25</v>
      </c>
      <c r="AN723" t="s">
        <v>7138</v>
      </c>
      <c r="AO723">
        <v>15600</v>
      </c>
      <c r="AU723">
        <v>58.52</v>
      </c>
      <c r="AV723" t="s">
        <v>666</v>
      </c>
      <c r="AW723" t="s">
        <v>7352</v>
      </c>
    </row>
    <row r="724" spans="1:50">
      <c r="A724" s="1">
        <f>HYPERLINK("https://lsnyc.legalserver.org/matter/dynamic-profile/view/1903617","19-1903617")</f>
        <v>0</v>
      </c>
      <c r="B724" t="s">
        <v>78</v>
      </c>
      <c r="C724" t="s">
        <v>105</v>
      </c>
      <c r="D724" t="s">
        <v>325</v>
      </c>
      <c r="F724" t="s">
        <v>850</v>
      </c>
      <c r="G724" t="s">
        <v>1986</v>
      </c>
      <c r="H724" t="s">
        <v>2867</v>
      </c>
      <c r="I724" t="s">
        <v>3324</v>
      </c>
      <c r="J724" t="s">
        <v>3604</v>
      </c>
      <c r="K724">
        <v>10033</v>
      </c>
      <c r="L724" t="s">
        <v>3609</v>
      </c>
      <c r="M724" t="s">
        <v>3609</v>
      </c>
      <c r="N724">
        <v>62779</v>
      </c>
      <c r="O724" t="s">
        <v>4210</v>
      </c>
      <c r="R724" t="s">
        <v>4258</v>
      </c>
      <c r="U724" t="s">
        <v>4268</v>
      </c>
      <c r="X724">
        <v>1123.72</v>
      </c>
      <c r="Y724" t="s">
        <v>4351</v>
      </c>
      <c r="AB724" t="s">
        <v>4976</v>
      </c>
      <c r="AD724" t="s">
        <v>6352</v>
      </c>
      <c r="AE724">
        <v>0</v>
      </c>
      <c r="AH724">
        <v>29</v>
      </c>
      <c r="AI724">
        <v>2</v>
      </c>
      <c r="AJ724">
        <v>0</v>
      </c>
      <c r="AK724">
        <v>92.25</v>
      </c>
      <c r="AN724" t="s">
        <v>7139</v>
      </c>
      <c r="AO724">
        <v>15600</v>
      </c>
      <c r="AU724">
        <v>1</v>
      </c>
      <c r="AV724" t="s">
        <v>325</v>
      </c>
      <c r="AW724" t="s">
        <v>7340</v>
      </c>
    </row>
    <row r="725" spans="1:50">
      <c r="A725" s="1">
        <f>HYPERLINK("https://lsnyc.legalserver.org/matter/dynamic-profile/view/1855266","18-1855266")</f>
        <v>0</v>
      </c>
      <c r="B725" t="s">
        <v>64</v>
      </c>
      <c r="C725" t="s">
        <v>104</v>
      </c>
      <c r="D725" t="s">
        <v>484</v>
      </c>
      <c r="E725" t="s">
        <v>260</v>
      </c>
      <c r="F725" t="s">
        <v>831</v>
      </c>
      <c r="G725" t="s">
        <v>1987</v>
      </c>
      <c r="H725" t="s">
        <v>2834</v>
      </c>
      <c r="I725">
        <v>45</v>
      </c>
      <c r="J725" t="s">
        <v>3604</v>
      </c>
      <c r="K725">
        <v>10034</v>
      </c>
      <c r="L725" t="s">
        <v>3610</v>
      </c>
      <c r="M725" t="s">
        <v>3609</v>
      </c>
      <c r="O725" t="s">
        <v>4219</v>
      </c>
      <c r="P725" t="s">
        <v>4244</v>
      </c>
      <c r="Q725" t="s">
        <v>4254</v>
      </c>
      <c r="R725" t="s">
        <v>4258</v>
      </c>
      <c r="S725" t="s">
        <v>3611</v>
      </c>
      <c r="U725" t="s">
        <v>4268</v>
      </c>
      <c r="W725" t="s">
        <v>484</v>
      </c>
      <c r="X725">
        <v>913.5</v>
      </c>
      <c r="Y725" t="s">
        <v>4351</v>
      </c>
      <c r="Z725" t="s">
        <v>4357</v>
      </c>
      <c r="AA725" t="s">
        <v>4377</v>
      </c>
      <c r="AB725" t="s">
        <v>4678</v>
      </c>
      <c r="AD725" t="s">
        <v>6353</v>
      </c>
      <c r="AE725">
        <v>30</v>
      </c>
      <c r="AF725" t="s">
        <v>7101</v>
      </c>
      <c r="AG725" t="s">
        <v>3745</v>
      </c>
      <c r="AH725">
        <v>17</v>
      </c>
      <c r="AI725">
        <v>1</v>
      </c>
      <c r="AJ725">
        <v>1</v>
      </c>
      <c r="AK725">
        <v>92.36</v>
      </c>
      <c r="AN725" t="s">
        <v>7138</v>
      </c>
      <c r="AO725">
        <v>15000</v>
      </c>
      <c r="AU725">
        <v>2</v>
      </c>
      <c r="AV725" t="s">
        <v>7317</v>
      </c>
      <c r="AW725" t="s">
        <v>7342</v>
      </c>
    </row>
    <row r="726" spans="1:50">
      <c r="A726" s="1">
        <f>HYPERLINK("https://lsnyc.legalserver.org/matter/dynamic-profile/view/1841429","17-1841429")</f>
        <v>0</v>
      </c>
      <c r="B726" t="s">
        <v>61</v>
      </c>
      <c r="C726" t="s">
        <v>105</v>
      </c>
      <c r="D726" t="s">
        <v>380</v>
      </c>
      <c r="F726" t="s">
        <v>951</v>
      </c>
      <c r="G726" t="s">
        <v>1790</v>
      </c>
      <c r="H726" t="s">
        <v>2697</v>
      </c>
      <c r="I726" t="s">
        <v>3448</v>
      </c>
      <c r="J726" t="s">
        <v>3604</v>
      </c>
      <c r="K726">
        <v>10034</v>
      </c>
      <c r="L726" t="s">
        <v>3610</v>
      </c>
      <c r="M726" t="s">
        <v>3609</v>
      </c>
      <c r="O726" t="s">
        <v>4221</v>
      </c>
      <c r="P726" t="s">
        <v>4244</v>
      </c>
      <c r="R726" t="s">
        <v>4258</v>
      </c>
      <c r="S726" t="s">
        <v>3611</v>
      </c>
      <c r="U726" t="s">
        <v>4268</v>
      </c>
      <c r="W726" t="s">
        <v>133</v>
      </c>
      <c r="X726">
        <v>719.53</v>
      </c>
      <c r="Y726" t="s">
        <v>4351</v>
      </c>
      <c r="Z726" t="s">
        <v>4354</v>
      </c>
      <c r="AB726" t="s">
        <v>4977</v>
      </c>
      <c r="AD726" t="s">
        <v>6354</v>
      </c>
      <c r="AE726">
        <v>31</v>
      </c>
      <c r="AF726" t="s">
        <v>7101</v>
      </c>
      <c r="AG726" t="s">
        <v>7118</v>
      </c>
      <c r="AH726">
        <v>27</v>
      </c>
      <c r="AI726">
        <v>3</v>
      </c>
      <c r="AJ726">
        <v>0</v>
      </c>
      <c r="AK726">
        <v>92.38</v>
      </c>
      <c r="AN726" t="s">
        <v>7139</v>
      </c>
      <c r="AO726">
        <v>18864</v>
      </c>
      <c r="AU726">
        <v>9.199999999999999</v>
      </c>
      <c r="AV726" t="s">
        <v>578</v>
      </c>
      <c r="AW726" t="s">
        <v>7342</v>
      </c>
    </row>
    <row r="727" spans="1:50">
      <c r="A727" s="1">
        <f>HYPERLINK("https://lsnyc.legalserver.org/matter/dynamic-profile/view/0814936","16-0814936")</f>
        <v>0</v>
      </c>
      <c r="B727" t="s">
        <v>82</v>
      </c>
      <c r="C727" t="s">
        <v>104</v>
      </c>
      <c r="D727" t="s">
        <v>409</v>
      </c>
      <c r="E727" t="s">
        <v>488</v>
      </c>
      <c r="F727" t="s">
        <v>1107</v>
      </c>
      <c r="G727" t="s">
        <v>1146</v>
      </c>
      <c r="H727" t="s">
        <v>2859</v>
      </c>
      <c r="I727">
        <v>46</v>
      </c>
      <c r="J727" t="s">
        <v>3604</v>
      </c>
      <c r="K727">
        <v>10034</v>
      </c>
      <c r="L727" t="s">
        <v>3609</v>
      </c>
      <c r="M727" t="s">
        <v>3609</v>
      </c>
      <c r="N727" t="s">
        <v>3882</v>
      </c>
      <c r="O727" t="s">
        <v>4209</v>
      </c>
      <c r="P727" t="s">
        <v>4241</v>
      </c>
      <c r="Q727" t="s">
        <v>4248</v>
      </c>
      <c r="R727" t="s">
        <v>4258</v>
      </c>
      <c r="S727" t="s">
        <v>3611</v>
      </c>
      <c r="U727" t="s">
        <v>4268</v>
      </c>
      <c r="W727" t="s">
        <v>4319</v>
      </c>
      <c r="X727">
        <v>2400</v>
      </c>
      <c r="Y727" t="s">
        <v>4351</v>
      </c>
      <c r="Z727" t="s">
        <v>4354</v>
      </c>
      <c r="AA727" t="s">
        <v>4374</v>
      </c>
      <c r="AB727" t="s">
        <v>4959</v>
      </c>
      <c r="AD727" t="s">
        <v>6336</v>
      </c>
      <c r="AE727">
        <v>30</v>
      </c>
      <c r="AF727" t="s">
        <v>7101</v>
      </c>
      <c r="AG727" t="s">
        <v>3745</v>
      </c>
      <c r="AH727">
        <v>8</v>
      </c>
      <c r="AI727">
        <v>2</v>
      </c>
      <c r="AJ727">
        <v>2</v>
      </c>
      <c r="AK727">
        <v>92.41</v>
      </c>
      <c r="AN727" t="s">
        <v>7139</v>
      </c>
      <c r="AO727">
        <v>22456</v>
      </c>
      <c r="AU727">
        <v>90.09999999999999</v>
      </c>
      <c r="AV727" t="s">
        <v>654</v>
      </c>
      <c r="AW727" t="s">
        <v>7374</v>
      </c>
    </row>
    <row r="728" spans="1:50">
      <c r="A728" s="1">
        <f>HYPERLINK("https://lsnyc.legalserver.org/matter/dynamic-profile/view/0816266","16-0816266")</f>
        <v>0</v>
      </c>
      <c r="B728" t="s">
        <v>82</v>
      </c>
      <c r="C728" t="s">
        <v>104</v>
      </c>
      <c r="D728" t="s">
        <v>368</v>
      </c>
      <c r="E728" t="s">
        <v>488</v>
      </c>
      <c r="F728" t="s">
        <v>1107</v>
      </c>
      <c r="G728" t="s">
        <v>1146</v>
      </c>
      <c r="H728" t="s">
        <v>2859</v>
      </c>
      <c r="I728">
        <v>46</v>
      </c>
      <c r="J728" t="s">
        <v>3604</v>
      </c>
      <c r="K728">
        <v>10034</v>
      </c>
      <c r="L728" t="s">
        <v>3610</v>
      </c>
      <c r="M728" t="s">
        <v>3609</v>
      </c>
      <c r="P728" t="s">
        <v>4244</v>
      </c>
      <c r="Q728" t="s">
        <v>4248</v>
      </c>
      <c r="R728" t="s">
        <v>4258</v>
      </c>
      <c r="S728" t="s">
        <v>3611</v>
      </c>
      <c r="U728" t="s">
        <v>4268</v>
      </c>
      <c r="W728" t="s">
        <v>368</v>
      </c>
      <c r="X728">
        <v>2400</v>
      </c>
      <c r="Y728" t="s">
        <v>4351</v>
      </c>
      <c r="Z728" t="s">
        <v>4354</v>
      </c>
      <c r="AA728" t="s">
        <v>4374</v>
      </c>
      <c r="AB728" t="s">
        <v>4959</v>
      </c>
      <c r="AD728" t="s">
        <v>6336</v>
      </c>
      <c r="AE728">
        <v>30</v>
      </c>
      <c r="AF728" t="s">
        <v>7101</v>
      </c>
      <c r="AG728" t="s">
        <v>3745</v>
      </c>
      <c r="AH728">
        <v>8</v>
      </c>
      <c r="AI728">
        <v>2</v>
      </c>
      <c r="AJ728">
        <v>2</v>
      </c>
      <c r="AK728">
        <v>92.41</v>
      </c>
      <c r="AN728" t="s">
        <v>7138</v>
      </c>
      <c r="AO728">
        <v>22456</v>
      </c>
      <c r="AU728">
        <v>15</v>
      </c>
      <c r="AV728" t="s">
        <v>169</v>
      </c>
      <c r="AW728" t="s">
        <v>7341</v>
      </c>
    </row>
    <row r="729" spans="1:50">
      <c r="A729" s="1">
        <f>HYPERLINK("https://lsnyc.legalserver.org/matter/dynamic-profile/view/0824540","17-0824540")</f>
        <v>0</v>
      </c>
      <c r="B729" t="s">
        <v>72</v>
      </c>
      <c r="C729" t="s">
        <v>105</v>
      </c>
      <c r="D729" t="s">
        <v>230</v>
      </c>
      <c r="F729" t="s">
        <v>855</v>
      </c>
      <c r="G729" t="s">
        <v>1988</v>
      </c>
      <c r="H729" t="s">
        <v>2868</v>
      </c>
      <c r="I729" t="s">
        <v>3449</v>
      </c>
      <c r="J729" t="s">
        <v>3604</v>
      </c>
      <c r="K729">
        <v>10029</v>
      </c>
      <c r="L729" t="s">
        <v>3610</v>
      </c>
      <c r="M729" t="s">
        <v>3609</v>
      </c>
      <c r="O729" t="s">
        <v>4231</v>
      </c>
      <c r="P729" t="s">
        <v>4244</v>
      </c>
      <c r="R729" t="s">
        <v>4258</v>
      </c>
      <c r="S729" t="s">
        <v>3611</v>
      </c>
      <c r="U729" t="s">
        <v>4271</v>
      </c>
      <c r="W729" t="s">
        <v>4311</v>
      </c>
      <c r="X729">
        <v>1016</v>
      </c>
      <c r="Y729" t="s">
        <v>4351</v>
      </c>
      <c r="Z729" t="s">
        <v>4357</v>
      </c>
      <c r="AB729" t="s">
        <v>4978</v>
      </c>
      <c r="AD729" t="s">
        <v>6355</v>
      </c>
      <c r="AE729">
        <v>23</v>
      </c>
      <c r="AF729" t="s">
        <v>7101</v>
      </c>
      <c r="AG729" t="s">
        <v>3745</v>
      </c>
      <c r="AH729">
        <v>24</v>
      </c>
      <c r="AI729">
        <v>1</v>
      </c>
      <c r="AJ729">
        <v>1</v>
      </c>
      <c r="AK729">
        <v>92.48999999999999</v>
      </c>
      <c r="AN729" t="s">
        <v>7138</v>
      </c>
      <c r="AO729">
        <v>14817</v>
      </c>
      <c r="AU729">
        <v>17.7</v>
      </c>
      <c r="AV729" t="s">
        <v>435</v>
      </c>
      <c r="AW729" t="s">
        <v>7341</v>
      </c>
      <c r="AX729" t="s">
        <v>7377</v>
      </c>
    </row>
    <row r="730" spans="1:50">
      <c r="A730" s="1">
        <f>HYPERLINK("https://lsnyc.legalserver.org/matter/dynamic-profile/view/1840175","17-1840175")</f>
        <v>0</v>
      </c>
      <c r="B730" t="s">
        <v>53</v>
      </c>
      <c r="C730" t="s">
        <v>104</v>
      </c>
      <c r="D730" t="s">
        <v>258</v>
      </c>
      <c r="E730" t="s">
        <v>335</v>
      </c>
      <c r="F730" t="s">
        <v>1115</v>
      </c>
      <c r="G730" t="s">
        <v>1983</v>
      </c>
      <c r="H730" t="s">
        <v>2833</v>
      </c>
      <c r="I730">
        <v>25</v>
      </c>
      <c r="J730" t="s">
        <v>3604</v>
      </c>
      <c r="K730">
        <v>10040</v>
      </c>
      <c r="L730" t="s">
        <v>3610</v>
      </c>
      <c r="M730" t="s">
        <v>3610</v>
      </c>
      <c r="N730" t="s">
        <v>3883</v>
      </c>
      <c r="O730" t="s">
        <v>4221</v>
      </c>
      <c r="P730" t="s">
        <v>4244</v>
      </c>
      <c r="Q730" t="s">
        <v>4249</v>
      </c>
      <c r="R730" t="s">
        <v>4258</v>
      </c>
      <c r="S730" t="s">
        <v>3610</v>
      </c>
      <c r="U730" t="s">
        <v>4268</v>
      </c>
      <c r="W730" t="s">
        <v>354</v>
      </c>
      <c r="X730">
        <v>798</v>
      </c>
      <c r="Y730" t="s">
        <v>4351</v>
      </c>
      <c r="Z730" t="s">
        <v>4352</v>
      </c>
      <c r="AA730" t="s">
        <v>4373</v>
      </c>
      <c r="AB730" t="s">
        <v>4971</v>
      </c>
      <c r="AD730" t="s">
        <v>6347</v>
      </c>
      <c r="AE730">
        <v>45</v>
      </c>
      <c r="AF730" t="s">
        <v>7101</v>
      </c>
      <c r="AG730" t="s">
        <v>3745</v>
      </c>
      <c r="AH730">
        <v>41</v>
      </c>
      <c r="AI730">
        <v>2</v>
      </c>
      <c r="AJ730">
        <v>1</v>
      </c>
      <c r="AK730">
        <v>93.09</v>
      </c>
      <c r="AL730" t="s">
        <v>183</v>
      </c>
      <c r="AN730" t="s">
        <v>7139</v>
      </c>
      <c r="AO730">
        <v>19008</v>
      </c>
      <c r="AQ730" t="s">
        <v>7197</v>
      </c>
      <c r="AR730" t="s">
        <v>7220</v>
      </c>
      <c r="AS730" t="s">
        <v>7231</v>
      </c>
      <c r="AT730" t="s">
        <v>7260</v>
      </c>
      <c r="AU730">
        <v>8.4</v>
      </c>
      <c r="AV730" t="s">
        <v>224</v>
      </c>
      <c r="AW730" t="s">
        <v>7342</v>
      </c>
    </row>
    <row r="731" spans="1:50">
      <c r="A731" s="1">
        <f>HYPERLINK("https://lsnyc.legalserver.org/matter/dynamic-profile/view/1880842","18-1880842")</f>
        <v>0</v>
      </c>
      <c r="B731" t="s">
        <v>53</v>
      </c>
      <c r="C731" t="s">
        <v>104</v>
      </c>
      <c r="D731" t="s">
        <v>236</v>
      </c>
      <c r="E731" t="s">
        <v>656</v>
      </c>
      <c r="F731" t="s">
        <v>754</v>
      </c>
      <c r="G731" t="s">
        <v>1989</v>
      </c>
      <c r="H731" t="s">
        <v>2513</v>
      </c>
      <c r="I731" t="s">
        <v>3315</v>
      </c>
      <c r="J731" t="s">
        <v>3604</v>
      </c>
      <c r="K731">
        <v>10029</v>
      </c>
      <c r="L731" t="s">
        <v>3610</v>
      </c>
      <c r="M731" t="s">
        <v>3610</v>
      </c>
      <c r="N731" t="s">
        <v>3645</v>
      </c>
      <c r="O731" t="s">
        <v>4209</v>
      </c>
      <c r="P731" t="s">
        <v>4242</v>
      </c>
      <c r="Q731" t="s">
        <v>4250</v>
      </c>
      <c r="R731" t="s">
        <v>4258</v>
      </c>
      <c r="S731" t="s">
        <v>3611</v>
      </c>
      <c r="U731" t="s">
        <v>4268</v>
      </c>
      <c r="V731" t="s">
        <v>4274</v>
      </c>
      <c r="W731" t="s">
        <v>236</v>
      </c>
      <c r="X731">
        <v>1306.7</v>
      </c>
      <c r="Y731" t="s">
        <v>4351</v>
      </c>
      <c r="Z731" t="s">
        <v>4354</v>
      </c>
      <c r="AA731" t="s">
        <v>4373</v>
      </c>
      <c r="AB731" t="s">
        <v>4459</v>
      </c>
      <c r="AD731" t="s">
        <v>5897</v>
      </c>
      <c r="AE731">
        <v>15</v>
      </c>
      <c r="AF731" t="s">
        <v>7101</v>
      </c>
      <c r="AG731" t="s">
        <v>3745</v>
      </c>
      <c r="AH731">
        <v>5</v>
      </c>
      <c r="AI731">
        <v>1</v>
      </c>
      <c r="AJ731">
        <v>0</v>
      </c>
      <c r="AK731">
        <v>93.11</v>
      </c>
      <c r="AN731" t="s">
        <v>7138</v>
      </c>
      <c r="AO731">
        <v>11304</v>
      </c>
      <c r="AU731">
        <v>1.25</v>
      </c>
      <c r="AV731" t="s">
        <v>220</v>
      </c>
      <c r="AW731" t="s">
        <v>7341</v>
      </c>
    </row>
    <row r="732" spans="1:50">
      <c r="A732" s="1">
        <f>HYPERLINK("https://lsnyc.legalserver.org/matter/dynamic-profile/view/1835004","17-1835004")</f>
        <v>0</v>
      </c>
      <c r="B732" t="s">
        <v>55</v>
      </c>
      <c r="C732" t="s">
        <v>104</v>
      </c>
      <c r="D732" t="s">
        <v>431</v>
      </c>
      <c r="E732" t="s">
        <v>303</v>
      </c>
      <c r="F732" t="s">
        <v>1119</v>
      </c>
      <c r="G732" t="s">
        <v>1676</v>
      </c>
      <c r="H732" t="s">
        <v>2869</v>
      </c>
      <c r="I732">
        <v>620</v>
      </c>
      <c r="J732" t="s">
        <v>3604</v>
      </c>
      <c r="K732">
        <v>10035</v>
      </c>
      <c r="L732" t="s">
        <v>3610</v>
      </c>
      <c r="M732" t="s">
        <v>3610</v>
      </c>
      <c r="N732" t="s">
        <v>3884</v>
      </c>
      <c r="O732" t="s">
        <v>4209</v>
      </c>
      <c r="P732" t="s">
        <v>4244</v>
      </c>
      <c r="Q732" t="s">
        <v>4249</v>
      </c>
      <c r="R732" t="s">
        <v>4258</v>
      </c>
      <c r="S732" t="s">
        <v>3610</v>
      </c>
      <c r="U732" t="s">
        <v>4268</v>
      </c>
      <c r="V732" t="s">
        <v>4274</v>
      </c>
      <c r="W732" t="s">
        <v>4282</v>
      </c>
      <c r="X732">
        <v>240</v>
      </c>
      <c r="Y732" t="s">
        <v>4351</v>
      </c>
      <c r="Z732" t="s">
        <v>4359</v>
      </c>
      <c r="AA732" t="s">
        <v>4377</v>
      </c>
      <c r="AB732" t="s">
        <v>4979</v>
      </c>
      <c r="AC732">
        <v>6584310</v>
      </c>
      <c r="AD732" t="s">
        <v>6356</v>
      </c>
      <c r="AE732">
        <v>178</v>
      </c>
      <c r="AF732" t="s">
        <v>7113</v>
      </c>
      <c r="AG732" t="s">
        <v>3745</v>
      </c>
      <c r="AH732">
        <v>16</v>
      </c>
      <c r="AI732">
        <v>1</v>
      </c>
      <c r="AJ732">
        <v>0</v>
      </c>
      <c r="AK732">
        <v>93.13</v>
      </c>
      <c r="AN732" t="s">
        <v>7138</v>
      </c>
      <c r="AO732">
        <v>11232</v>
      </c>
      <c r="AU732">
        <v>2.1</v>
      </c>
      <c r="AV732" t="s">
        <v>232</v>
      </c>
      <c r="AW732" t="s">
        <v>57</v>
      </c>
    </row>
    <row r="733" spans="1:50">
      <c r="A733" s="1">
        <f>HYPERLINK("https://lsnyc.legalserver.org/matter/dynamic-profile/view/1864507","18-1864507")</f>
        <v>0</v>
      </c>
      <c r="B733" t="s">
        <v>53</v>
      </c>
      <c r="C733" t="s">
        <v>105</v>
      </c>
      <c r="D733" t="s">
        <v>157</v>
      </c>
      <c r="F733" t="s">
        <v>1120</v>
      </c>
      <c r="G733" t="s">
        <v>1990</v>
      </c>
      <c r="H733" t="s">
        <v>2508</v>
      </c>
      <c r="I733">
        <v>415</v>
      </c>
      <c r="J733" t="s">
        <v>3604</v>
      </c>
      <c r="K733">
        <v>10029</v>
      </c>
      <c r="L733" t="s">
        <v>3610</v>
      </c>
      <c r="M733" t="s">
        <v>3610</v>
      </c>
      <c r="N733" t="s">
        <v>3642</v>
      </c>
      <c r="O733" t="s">
        <v>4213</v>
      </c>
      <c r="P733" t="s">
        <v>4241</v>
      </c>
      <c r="R733" t="s">
        <v>4258</v>
      </c>
      <c r="S733" t="s">
        <v>3610</v>
      </c>
      <c r="U733" t="s">
        <v>4268</v>
      </c>
      <c r="V733" t="s">
        <v>4274</v>
      </c>
      <c r="W733" t="s">
        <v>157</v>
      </c>
      <c r="X733">
        <v>0</v>
      </c>
      <c r="Y733" t="s">
        <v>4351</v>
      </c>
      <c r="Z733" t="s">
        <v>4352</v>
      </c>
      <c r="AB733" t="s">
        <v>4980</v>
      </c>
      <c r="AE733">
        <v>108</v>
      </c>
      <c r="AF733" t="s">
        <v>7106</v>
      </c>
      <c r="AG733" t="s">
        <v>7116</v>
      </c>
      <c r="AH733">
        <v>2</v>
      </c>
      <c r="AI733">
        <v>1</v>
      </c>
      <c r="AJ733">
        <v>1</v>
      </c>
      <c r="AK733">
        <v>93.2</v>
      </c>
      <c r="AN733" t="s">
        <v>7138</v>
      </c>
      <c r="AO733">
        <v>15340</v>
      </c>
      <c r="AU733">
        <v>0.5</v>
      </c>
      <c r="AV733" t="s">
        <v>688</v>
      </c>
      <c r="AW733" t="s">
        <v>7341</v>
      </c>
    </row>
    <row r="734" spans="1:50">
      <c r="A734" s="1">
        <f>HYPERLINK("https://lsnyc.legalserver.org/matter/dynamic-profile/view/1886692","18-1886692")</f>
        <v>0</v>
      </c>
      <c r="B734" t="s">
        <v>87</v>
      </c>
      <c r="C734" t="s">
        <v>104</v>
      </c>
      <c r="D734" t="s">
        <v>488</v>
      </c>
      <c r="E734" t="s">
        <v>488</v>
      </c>
      <c r="F734" t="s">
        <v>1121</v>
      </c>
      <c r="G734" t="s">
        <v>1991</v>
      </c>
      <c r="H734" t="s">
        <v>2870</v>
      </c>
      <c r="I734" t="s">
        <v>3306</v>
      </c>
      <c r="J734" t="s">
        <v>3604</v>
      </c>
      <c r="K734">
        <v>10025</v>
      </c>
      <c r="L734" t="s">
        <v>3610</v>
      </c>
      <c r="M734" t="s">
        <v>3610</v>
      </c>
      <c r="O734" t="s">
        <v>4211</v>
      </c>
      <c r="P734" t="s">
        <v>4242</v>
      </c>
      <c r="Q734" t="s">
        <v>4250</v>
      </c>
      <c r="R734" t="s">
        <v>4258</v>
      </c>
      <c r="S734" t="s">
        <v>3611</v>
      </c>
      <c r="U734" t="s">
        <v>4268</v>
      </c>
      <c r="W734" t="s">
        <v>488</v>
      </c>
      <c r="X734">
        <v>2700</v>
      </c>
      <c r="Y734" t="s">
        <v>4351</v>
      </c>
      <c r="Z734" t="s">
        <v>4355</v>
      </c>
      <c r="AA734" t="s">
        <v>4373</v>
      </c>
      <c r="AB734" t="s">
        <v>4981</v>
      </c>
      <c r="AD734" t="s">
        <v>6357</v>
      </c>
      <c r="AE734">
        <v>0</v>
      </c>
      <c r="AF734" t="s">
        <v>7101</v>
      </c>
      <c r="AG734" t="s">
        <v>3745</v>
      </c>
      <c r="AH734">
        <v>1</v>
      </c>
      <c r="AI734">
        <v>2</v>
      </c>
      <c r="AJ734">
        <v>2</v>
      </c>
      <c r="AK734">
        <v>93.23</v>
      </c>
      <c r="AN734" t="s">
        <v>7138</v>
      </c>
      <c r="AO734">
        <v>23400</v>
      </c>
      <c r="AU734">
        <v>0.87</v>
      </c>
      <c r="AV734" t="s">
        <v>4318</v>
      </c>
      <c r="AW734" t="s">
        <v>7342</v>
      </c>
      <c r="AX734" t="s">
        <v>7377</v>
      </c>
    </row>
    <row r="735" spans="1:50">
      <c r="A735" s="1">
        <f>HYPERLINK("https://lsnyc.legalserver.org/matter/dynamic-profile/view/1903309","19-1903309")</f>
        <v>0</v>
      </c>
      <c r="B735" t="s">
        <v>64</v>
      </c>
      <c r="C735" t="s">
        <v>104</v>
      </c>
      <c r="D735" t="s">
        <v>396</v>
      </c>
      <c r="E735" t="s">
        <v>396</v>
      </c>
      <c r="F735" t="s">
        <v>1122</v>
      </c>
      <c r="G735" t="s">
        <v>1992</v>
      </c>
      <c r="H735" t="s">
        <v>2688</v>
      </c>
      <c r="I735" t="s">
        <v>3285</v>
      </c>
      <c r="J735" t="s">
        <v>3604</v>
      </c>
      <c r="K735">
        <v>10034</v>
      </c>
      <c r="L735" t="s">
        <v>3610</v>
      </c>
      <c r="M735" t="s">
        <v>3609</v>
      </c>
      <c r="O735" t="s">
        <v>4219</v>
      </c>
      <c r="P735" t="s">
        <v>4242</v>
      </c>
      <c r="Q735" t="s">
        <v>4250</v>
      </c>
      <c r="R735" t="s">
        <v>4258</v>
      </c>
      <c r="S735" t="s">
        <v>3611</v>
      </c>
      <c r="U735" t="s">
        <v>4268</v>
      </c>
      <c r="W735" t="s">
        <v>396</v>
      </c>
      <c r="X735">
        <v>0</v>
      </c>
      <c r="Y735" t="s">
        <v>4351</v>
      </c>
      <c r="Z735" t="s">
        <v>4354</v>
      </c>
      <c r="AA735" t="s">
        <v>4373</v>
      </c>
      <c r="AB735" t="s">
        <v>4982</v>
      </c>
      <c r="AD735" t="s">
        <v>6358</v>
      </c>
      <c r="AE735">
        <v>30</v>
      </c>
      <c r="AF735" t="s">
        <v>7101</v>
      </c>
      <c r="AG735" t="s">
        <v>3745</v>
      </c>
      <c r="AH735">
        <v>6</v>
      </c>
      <c r="AI735">
        <v>1</v>
      </c>
      <c r="AJ735">
        <v>0</v>
      </c>
      <c r="AK735">
        <v>93.29000000000001</v>
      </c>
      <c r="AN735" t="s">
        <v>7138</v>
      </c>
      <c r="AO735">
        <v>11652</v>
      </c>
      <c r="AU735">
        <v>0.1</v>
      </c>
      <c r="AV735" t="s">
        <v>396</v>
      </c>
      <c r="AW735" t="s">
        <v>7342</v>
      </c>
      <c r="AX735" t="s">
        <v>7377</v>
      </c>
    </row>
    <row r="736" spans="1:50">
      <c r="A736" s="1">
        <f>HYPERLINK("https://lsnyc.legalserver.org/matter/dynamic-profile/view/1874063","18-1874063")</f>
        <v>0</v>
      </c>
      <c r="B736" t="s">
        <v>53</v>
      </c>
      <c r="C736" t="s">
        <v>104</v>
      </c>
      <c r="D736" t="s">
        <v>489</v>
      </c>
      <c r="E736" t="s">
        <v>502</v>
      </c>
      <c r="F736" t="s">
        <v>728</v>
      </c>
      <c r="G736" t="s">
        <v>1844</v>
      </c>
      <c r="H736" t="s">
        <v>2871</v>
      </c>
      <c r="I736" t="s">
        <v>3318</v>
      </c>
      <c r="J736" t="s">
        <v>3604</v>
      </c>
      <c r="K736">
        <v>10035</v>
      </c>
      <c r="L736" t="s">
        <v>3610</v>
      </c>
      <c r="M736" t="s">
        <v>3610</v>
      </c>
      <c r="O736" t="s">
        <v>4221</v>
      </c>
      <c r="P736" t="s">
        <v>4245</v>
      </c>
      <c r="Q736" t="s">
        <v>4249</v>
      </c>
      <c r="R736" t="s">
        <v>4258</v>
      </c>
      <c r="S736" t="s">
        <v>3611</v>
      </c>
      <c r="U736" t="s">
        <v>4268</v>
      </c>
      <c r="V736" t="s">
        <v>4274</v>
      </c>
      <c r="W736" t="s">
        <v>282</v>
      </c>
      <c r="X736">
        <v>1323.55</v>
      </c>
      <c r="Y736" t="s">
        <v>4351</v>
      </c>
      <c r="Z736" t="s">
        <v>4365</v>
      </c>
      <c r="AA736" t="s">
        <v>4385</v>
      </c>
      <c r="AB736" t="s">
        <v>4983</v>
      </c>
      <c r="AD736" t="s">
        <v>6359</v>
      </c>
      <c r="AE736">
        <v>10</v>
      </c>
      <c r="AF736" t="s">
        <v>7101</v>
      </c>
      <c r="AG736" t="s">
        <v>7118</v>
      </c>
      <c r="AH736">
        <v>32</v>
      </c>
      <c r="AI736">
        <v>1</v>
      </c>
      <c r="AJ736">
        <v>0</v>
      </c>
      <c r="AK736">
        <v>93.31</v>
      </c>
      <c r="AN736" t="s">
        <v>7139</v>
      </c>
      <c r="AO736">
        <v>11328</v>
      </c>
      <c r="AP736" t="s">
        <v>7181</v>
      </c>
      <c r="AU736">
        <v>11.3</v>
      </c>
      <c r="AV736" t="s">
        <v>680</v>
      </c>
      <c r="AW736" t="s">
        <v>7361</v>
      </c>
      <c r="AX736" t="s">
        <v>7377</v>
      </c>
    </row>
    <row r="737" spans="1:50">
      <c r="A737" s="1">
        <f>HYPERLINK("https://lsnyc.legalserver.org/matter/dynamic-profile/view/1873500","18-1873500")</f>
        <v>0</v>
      </c>
      <c r="B737" t="s">
        <v>79</v>
      </c>
      <c r="C737" t="s">
        <v>104</v>
      </c>
      <c r="D737" t="s">
        <v>490</v>
      </c>
      <c r="E737" t="s">
        <v>248</v>
      </c>
      <c r="F737" t="s">
        <v>1123</v>
      </c>
      <c r="G737" t="s">
        <v>1993</v>
      </c>
      <c r="H737" t="s">
        <v>2872</v>
      </c>
      <c r="I737" t="s">
        <v>3360</v>
      </c>
      <c r="J737" t="s">
        <v>3604</v>
      </c>
      <c r="K737">
        <v>10031</v>
      </c>
      <c r="L737" t="s">
        <v>3610</v>
      </c>
      <c r="M737" t="s">
        <v>3610</v>
      </c>
      <c r="N737" t="s">
        <v>3885</v>
      </c>
      <c r="O737" t="s">
        <v>4209</v>
      </c>
      <c r="P737" t="s">
        <v>4242</v>
      </c>
      <c r="Q737" t="s">
        <v>4250</v>
      </c>
      <c r="R737" t="s">
        <v>4258</v>
      </c>
      <c r="S737" t="s">
        <v>3611</v>
      </c>
      <c r="U737" t="s">
        <v>4268</v>
      </c>
      <c r="W737" t="s">
        <v>363</v>
      </c>
      <c r="X737">
        <v>1279.77</v>
      </c>
      <c r="Y737" t="s">
        <v>4351</v>
      </c>
      <c r="Z737" t="s">
        <v>4357</v>
      </c>
      <c r="AA737" t="s">
        <v>4373</v>
      </c>
      <c r="AB737" t="s">
        <v>4984</v>
      </c>
      <c r="AD737" t="s">
        <v>6360</v>
      </c>
      <c r="AE737">
        <v>74</v>
      </c>
      <c r="AF737" t="s">
        <v>7104</v>
      </c>
      <c r="AG737" t="s">
        <v>7118</v>
      </c>
      <c r="AH737">
        <v>40</v>
      </c>
      <c r="AI737">
        <v>1</v>
      </c>
      <c r="AJ737">
        <v>2</v>
      </c>
      <c r="AK737">
        <v>93.31999999999999</v>
      </c>
      <c r="AN737" t="s">
        <v>7138</v>
      </c>
      <c r="AO737">
        <v>19392</v>
      </c>
      <c r="AU737">
        <v>0.8</v>
      </c>
      <c r="AV737" t="s">
        <v>248</v>
      </c>
      <c r="AW737" t="s">
        <v>7344</v>
      </c>
    </row>
    <row r="738" spans="1:50">
      <c r="A738" s="1">
        <f>HYPERLINK("https://lsnyc.legalserver.org/matter/dynamic-profile/view/1898442","19-1898442")</f>
        <v>0</v>
      </c>
      <c r="B738" t="s">
        <v>60</v>
      </c>
      <c r="C738" t="s">
        <v>105</v>
      </c>
      <c r="D738" t="s">
        <v>156</v>
      </c>
      <c r="F738" t="s">
        <v>701</v>
      </c>
      <c r="G738" t="s">
        <v>1994</v>
      </c>
      <c r="H738" t="s">
        <v>2873</v>
      </c>
      <c r="I738" t="s">
        <v>3439</v>
      </c>
      <c r="J738" t="s">
        <v>3604</v>
      </c>
      <c r="K738">
        <v>10040</v>
      </c>
      <c r="L738" t="s">
        <v>3610</v>
      </c>
      <c r="M738" t="s">
        <v>3610</v>
      </c>
      <c r="P738" t="s">
        <v>4242</v>
      </c>
      <c r="R738" t="s">
        <v>4258</v>
      </c>
      <c r="S738" t="s">
        <v>3611</v>
      </c>
      <c r="U738" t="s">
        <v>4268</v>
      </c>
      <c r="W738" t="s">
        <v>156</v>
      </c>
      <c r="X738">
        <v>1153.74</v>
      </c>
      <c r="Y738" t="s">
        <v>4351</v>
      </c>
      <c r="Z738" t="s">
        <v>4354</v>
      </c>
      <c r="AB738" t="s">
        <v>4611</v>
      </c>
      <c r="AD738" t="s">
        <v>6361</v>
      </c>
      <c r="AE738">
        <v>112</v>
      </c>
      <c r="AF738" t="s">
        <v>7101</v>
      </c>
      <c r="AG738" t="s">
        <v>3745</v>
      </c>
      <c r="AH738">
        <v>43</v>
      </c>
      <c r="AI738">
        <v>1</v>
      </c>
      <c r="AJ738">
        <v>0</v>
      </c>
      <c r="AK738">
        <v>93.48</v>
      </c>
      <c r="AN738" t="s">
        <v>7138</v>
      </c>
      <c r="AO738">
        <v>11676</v>
      </c>
      <c r="AU738">
        <v>5</v>
      </c>
      <c r="AV738" t="s">
        <v>7286</v>
      </c>
      <c r="AW738" t="s">
        <v>7342</v>
      </c>
    </row>
    <row r="739" spans="1:50">
      <c r="A739" s="1">
        <f>HYPERLINK("https://lsnyc.legalserver.org/matter/dynamic-profile/view/0823487","16-0823487")</f>
        <v>0</v>
      </c>
      <c r="B739" t="s">
        <v>67</v>
      </c>
      <c r="C739" t="s">
        <v>105</v>
      </c>
      <c r="D739" t="s">
        <v>491</v>
      </c>
      <c r="F739" t="s">
        <v>719</v>
      </c>
      <c r="G739" t="s">
        <v>1754</v>
      </c>
      <c r="H739" t="s">
        <v>2874</v>
      </c>
      <c r="I739">
        <v>4</v>
      </c>
      <c r="J739" t="s">
        <v>3604</v>
      </c>
      <c r="K739">
        <v>10029</v>
      </c>
      <c r="L739" t="s">
        <v>3610</v>
      </c>
      <c r="M739" t="s">
        <v>3609</v>
      </c>
      <c r="O739" t="s">
        <v>4211</v>
      </c>
      <c r="P739" t="s">
        <v>4242</v>
      </c>
      <c r="R739" t="s">
        <v>4258</v>
      </c>
      <c r="S739" t="s">
        <v>3611</v>
      </c>
      <c r="U739" t="s">
        <v>4268</v>
      </c>
      <c r="W739" t="s">
        <v>344</v>
      </c>
      <c r="X739">
        <v>180.93</v>
      </c>
      <c r="Y739" t="s">
        <v>4351</v>
      </c>
      <c r="Z739" t="s">
        <v>4365</v>
      </c>
      <c r="AB739" t="s">
        <v>4985</v>
      </c>
      <c r="AD739" t="s">
        <v>6362</v>
      </c>
      <c r="AE739">
        <v>22</v>
      </c>
      <c r="AF739" t="s">
        <v>7104</v>
      </c>
      <c r="AG739" t="s">
        <v>3745</v>
      </c>
      <c r="AH739">
        <v>35</v>
      </c>
      <c r="AI739">
        <v>2</v>
      </c>
      <c r="AJ739">
        <v>0</v>
      </c>
      <c r="AK739">
        <v>93.63</v>
      </c>
      <c r="AN739" t="s">
        <v>7138</v>
      </c>
      <c r="AO739">
        <v>15000</v>
      </c>
      <c r="AU739">
        <v>14.35</v>
      </c>
      <c r="AV739" t="s">
        <v>7318</v>
      </c>
      <c r="AW739" t="s">
        <v>7357</v>
      </c>
    </row>
    <row r="740" spans="1:50">
      <c r="A740" s="1">
        <f>HYPERLINK("https://lsnyc.legalserver.org/matter/dynamic-profile/view/1897584","19-1897584")</f>
        <v>0</v>
      </c>
      <c r="B740" t="s">
        <v>53</v>
      </c>
      <c r="C740" t="s">
        <v>105</v>
      </c>
      <c r="D740" t="s">
        <v>261</v>
      </c>
      <c r="F740" t="s">
        <v>884</v>
      </c>
      <c r="G740" t="s">
        <v>1995</v>
      </c>
      <c r="H740" t="s">
        <v>2797</v>
      </c>
      <c r="I740" t="s">
        <v>3335</v>
      </c>
      <c r="J740" t="s">
        <v>3604</v>
      </c>
      <c r="K740">
        <v>10035</v>
      </c>
      <c r="L740" t="s">
        <v>3610</v>
      </c>
      <c r="M740" t="s">
        <v>3610</v>
      </c>
      <c r="O740" t="s">
        <v>4211</v>
      </c>
      <c r="P740" t="s">
        <v>4245</v>
      </c>
      <c r="R740" t="s">
        <v>4258</v>
      </c>
      <c r="S740" t="s">
        <v>3610</v>
      </c>
      <c r="U740" t="s">
        <v>4268</v>
      </c>
      <c r="V740" t="s">
        <v>4274</v>
      </c>
      <c r="W740" t="s">
        <v>319</v>
      </c>
      <c r="X740">
        <v>258</v>
      </c>
      <c r="Y740" t="s">
        <v>4351</v>
      </c>
      <c r="Z740" t="s">
        <v>4352</v>
      </c>
      <c r="AB740" t="s">
        <v>4986</v>
      </c>
      <c r="AE740">
        <v>60</v>
      </c>
      <c r="AF740" t="s">
        <v>7101</v>
      </c>
      <c r="AG740" t="s">
        <v>7123</v>
      </c>
      <c r="AH740">
        <v>14</v>
      </c>
      <c r="AI740">
        <v>1</v>
      </c>
      <c r="AJ740">
        <v>0</v>
      </c>
      <c r="AK740">
        <v>93.67</v>
      </c>
      <c r="AN740" t="s">
        <v>7138</v>
      </c>
      <c r="AO740">
        <v>11700</v>
      </c>
      <c r="AP740" t="s">
        <v>7165</v>
      </c>
      <c r="AU740">
        <v>0</v>
      </c>
      <c r="AW740" t="s">
        <v>7341</v>
      </c>
      <c r="AX740" t="s">
        <v>7377</v>
      </c>
    </row>
    <row r="741" spans="1:50">
      <c r="A741" s="1">
        <f>HYPERLINK("https://lsnyc.legalserver.org/matter/dynamic-profile/view/1864519","18-1864519")</f>
        <v>0</v>
      </c>
      <c r="B741" t="s">
        <v>53</v>
      </c>
      <c r="C741" t="s">
        <v>105</v>
      </c>
      <c r="D741" t="s">
        <v>157</v>
      </c>
      <c r="F741" t="s">
        <v>733</v>
      </c>
      <c r="G741" t="s">
        <v>1875</v>
      </c>
      <c r="H741" t="s">
        <v>2508</v>
      </c>
      <c r="I741">
        <v>203</v>
      </c>
      <c r="J741" t="s">
        <v>3604</v>
      </c>
      <c r="K741">
        <v>10029</v>
      </c>
      <c r="L741" t="s">
        <v>3610</v>
      </c>
      <c r="M741" t="s">
        <v>3610</v>
      </c>
      <c r="N741" t="s">
        <v>3773</v>
      </c>
      <c r="O741" t="s">
        <v>4213</v>
      </c>
      <c r="P741" t="s">
        <v>4241</v>
      </c>
      <c r="R741" t="s">
        <v>4258</v>
      </c>
      <c r="S741" t="s">
        <v>3610</v>
      </c>
      <c r="U741" t="s">
        <v>4268</v>
      </c>
      <c r="V741" t="s">
        <v>4274</v>
      </c>
      <c r="W741" t="s">
        <v>157</v>
      </c>
      <c r="X741">
        <v>0</v>
      </c>
      <c r="Y741" t="s">
        <v>4351</v>
      </c>
      <c r="Z741" t="s">
        <v>4352</v>
      </c>
      <c r="AB741" t="s">
        <v>4987</v>
      </c>
      <c r="AE741">
        <v>108</v>
      </c>
      <c r="AF741" t="s">
        <v>7106</v>
      </c>
      <c r="AG741" t="s">
        <v>7116</v>
      </c>
      <c r="AH741">
        <v>33</v>
      </c>
      <c r="AI741">
        <v>1</v>
      </c>
      <c r="AJ741">
        <v>0</v>
      </c>
      <c r="AK741">
        <v>93.90000000000001</v>
      </c>
      <c r="AN741" t="s">
        <v>7139</v>
      </c>
      <c r="AO741">
        <v>11400</v>
      </c>
      <c r="AU741">
        <v>0</v>
      </c>
      <c r="AW741" t="s">
        <v>7341</v>
      </c>
      <c r="AX741" t="s">
        <v>7377</v>
      </c>
    </row>
    <row r="742" spans="1:50">
      <c r="A742" s="1">
        <f>HYPERLINK("https://lsnyc.legalserver.org/matter/dynamic-profile/view/1869292","18-1869292")</f>
        <v>0</v>
      </c>
      <c r="B742" t="s">
        <v>63</v>
      </c>
      <c r="C742" t="s">
        <v>104</v>
      </c>
      <c r="D742" t="s">
        <v>492</v>
      </c>
      <c r="E742" t="s">
        <v>435</v>
      </c>
      <c r="F742" t="s">
        <v>1053</v>
      </c>
      <c r="G742" t="s">
        <v>1596</v>
      </c>
      <c r="H742" t="s">
        <v>2875</v>
      </c>
      <c r="I742">
        <v>18</v>
      </c>
      <c r="J742" t="s">
        <v>3604</v>
      </c>
      <c r="K742">
        <v>10033</v>
      </c>
      <c r="L742" t="s">
        <v>3610</v>
      </c>
      <c r="M742" t="s">
        <v>3609</v>
      </c>
      <c r="P742" t="s">
        <v>4242</v>
      </c>
      <c r="Q742" t="s">
        <v>4250</v>
      </c>
      <c r="R742" t="s">
        <v>4258</v>
      </c>
      <c r="S742" t="s">
        <v>3611</v>
      </c>
      <c r="U742" t="s">
        <v>4268</v>
      </c>
      <c r="W742" t="s">
        <v>492</v>
      </c>
      <c r="X742">
        <v>724.96</v>
      </c>
      <c r="Y742" t="s">
        <v>4351</v>
      </c>
      <c r="Z742" t="s">
        <v>4354</v>
      </c>
      <c r="AA742" t="s">
        <v>4373</v>
      </c>
      <c r="AB742" t="s">
        <v>4988</v>
      </c>
      <c r="AD742" t="s">
        <v>6363</v>
      </c>
      <c r="AE742">
        <v>0</v>
      </c>
      <c r="AF742" t="s">
        <v>7101</v>
      </c>
      <c r="AG742" t="s">
        <v>7118</v>
      </c>
      <c r="AH742">
        <v>0</v>
      </c>
      <c r="AI742">
        <v>1</v>
      </c>
      <c r="AJ742">
        <v>0</v>
      </c>
      <c r="AK742">
        <v>94.09999999999999</v>
      </c>
      <c r="AN742" t="s">
        <v>7139</v>
      </c>
      <c r="AO742">
        <v>11424</v>
      </c>
      <c r="AU742">
        <v>0.1</v>
      </c>
      <c r="AV742" t="s">
        <v>435</v>
      </c>
      <c r="AW742" t="s">
        <v>7342</v>
      </c>
    </row>
    <row r="743" spans="1:50">
      <c r="A743" s="1">
        <f>HYPERLINK("https://lsnyc.legalserver.org/matter/dynamic-profile/view/1863004","18-1863004")</f>
        <v>0</v>
      </c>
      <c r="B743" t="s">
        <v>56</v>
      </c>
      <c r="C743" t="s">
        <v>105</v>
      </c>
      <c r="D743" t="s">
        <v>314</v>
      </c>
      <c r="F743" t="s">
        <v>738</v>
      </c>
      <c r="G743" t="s">
        <v>1996</v>
      </c>
      <c r="H743" t="s">
        <v>2471</v>
      </c>
      <c r="I743" t="s">
        <v>3273</v>
      </c>
      <c r="J743" t="s">
        <v>3604</v>
      </c>
      <c r="K743">
        <v>10034</v>
      </c>
      <c r="L743" t="s">
        <v>3610</v>
      </c>
      <c r="M743" t="s">
        <v>3609</v>
      </c>
      <c r="N743" t="s">
        <v>3845</v>
      </c>
      <c r="O743" t="s">
        <v>4213</v>
      </c>
      <c r="P743" t="s">
        <v>4241</v>
      </c>
      <c r="R743" t="s">
        <v>4258</v>
      </c>
      <c r="S743" t="s">
        <v>3610</v>
      </c>
      <c r="U743" t="s">
        <v>4268</v>
      </c>
      <c r="W743" t="s">
        <v>314</v>
      </c>
      <c r="X743">
        <v>1285.69</v>
      </c>
      <c r="Y743" t="s">
        <v>4351</v>
      </c>
      <c r="Z743" t="s">
        <v>4354</v>
      </c>
      <c r="AB743" t="s">
        <v>4989</v>
      </c>
      <c r="AD743" t="s">
        <v>6364</v>
      </c>
      <c r="AE743">
        <v>60</v>
      </c>
      <c r="AF743" t="s">
        <v>7101</v>
      </c>
      <c r="AG743" t="s">
        <v>3745</v>
      </c>
      <c r="AH743">
        <v>5</v>
      </c>
      <c r="AI743">
        <v>3</v>
      </c>
      <c r="AJ743">
        <v>0</v>
      </c>
      <c r="AK743">
        <v>94.31</v>
      </c>
      <c r="AN743" t="s">
        <v>7139</v>
      </c>
      <c r="AO743">
        <v>19597.58</v>
      </c>
      <c r="AU743">
        <v>54.8</v>
      </c>
      <c r="AV743" t="s">
        <v>663</v>
      </c>
      <c r="AW743" t="s">
        <v>7342</v>
      </c>
    </row>
    <row r="744" spans="1:50">
      <c r="A744" s="1">
        <f>HYPERLINK("https://lsnyc.legalserver.org/matter/dynamic-profile/view/1866713","18-1866713")</f>
        <v>0</v>
      </c>
      <c r="B744" t="s">
        <v>94</v>
      </c>
      <c r="C744" t="s">
        <v>104</v>
      </c>
      <c r="D744" t="s">
        <v>413</v>
      </c>
      <c r="E744" t="s">
        <v>575</v>
      </c>
      <c r="F744" t="s">
        <v>1065</v>
      </c>
      <c r="G744" t="s">
        <v>1997</v>
      </c>
      <c r="H744" t="s">
        <v>2876</v>
      </c>
      <c r="I744" t="s">
        <v>3434</v>
      </c>
      <c r="J744" t="s">
        <v>3604</v>
      </c>
      <c r="K744">
        <v>10030</v>
      </c>
      <c r="L744" t="s">
        <v>3609</v>
      </c>
      <c r="M744" t="s">
        <v>3609</v>
      </c>
      <c r="O744" t="s">
        <v>4228</v>
      </c>
      <c r="P744" t="s">
        <v>4245</v>
      </c>
      <c r="Q744" t="s">
        <v>4249</v>
      </c>
      <c r="R744" t="s">
        <v>4258</v>
      </c>
      <c r="S744" t="s">
        <v>3611</v>
      </c>
      <c r="T744" t="s">
        <v>4263</v>
      </c>
      <c r="U744" t="s">
        <v>4268</v>
      </c>
      <c r="X744">
        <v>1408</v>
      </c>
      <c r="Y744" t="s">
        <v>4351</v>
      </c>
      <c r="Z744" t="s">
        <v>4361</v>
      </c>
      <c r="AA744" t="s">
        <v>4373</v>
      </c>
      <c r="AB744" t="s">
        <v>4990</v>
      </c>
      <c r="AD744" t="s">
        <v>6365</v>
      </c>
      <c r="AE744">
        <v>200</v>
      </c>
      <c r="AF744" t="s">
        <v>7105</v>
      </c>
      <c r="AG744" t="s">
        <v>7116</v>
      </c>
      <c r="AH744">
        <v>12</v>
      </c>
      <c r="AI744">
        <v>1</v>
      </c>
      <c r="AJ744">
        <v>0</v>
      </c>
      <c r="AK744">
        <v>94.40000000000001</v>
      </c>
      <c r="AN744" t="s">
        <v>7138</v>
      </c>
      <c r="AO744">
        <v>11460</v>
      </c>
      <c r="AU744">
        <v>17.05</v>
      </c>
      <c r="AV744" t="s">
        <v>642</v>
      </c>
      <c r="AW744" t="s">
        <v>7361</v>
      </c>
    </row>
    <row r="745" spans="1:50">
      <c r="A745" s="1">
        <f>HYPERLINK("https://lsnyc.legalserver.org/matter/dynamic-profile/view/1886091","18-1886091")</f>
        <v>0</v>
      </c>
      <c r="B745" t="s">
        <v>61</v>
      </c>
      <c r="C745" t="s">
        <v>105</v>
      </c>
      <c r="D745" t="s">
        <v>109</v>
      </c>
      <c r="F745" t="s">
        <v>727</v>
      </c>
      <c r="G745" t="s">
        <v>1693</v>
      </c>
      <c r="H745" t="s">
        <v>2556</v>
      </c>
      <c r="I745">
        <v>35</v>
      </c>
      <c r="J745" t="s">
        <v>3604</v>
      </c>
      <c r="K745">
        <v>10034</v>
      </c>
      <c r="L745" t="s">
        <v>3610</v>
      </c>
      <c r="M745" t="s">
        <v>3610</v>
      </c>
      <c r="O745" t="s">
        <v>4213</v>
      </c>
      <c r="P745" t="s">
        <v>4241</v>
      </c>
      <c r="R745" t="s">
        <v>4258</v>
      </c>
      <c r="S745" t="s">
        <v>3610</v>
      </c>
      <c r="U745" t="s">
        <v>4268</v>
      </c>
      <c r="W745" t="s">
        <v>109</v>
      </c>
      <c r="X745">
        <v>961.5</v>
      </c>
      <c r="Y745" t="s">
        <v>4351</v>
      </c>
      <c r="Z745" t="s">
        <v>4354</v>
      </c>
      <c r="AB745" t="s">
        <v>4991</v>
      </c>
      <c r="AD745" t="s">
        <v>6366</v>
      </c>
      <c r="AE745">
        <v>25</v>
      </c>
      <c r="AF745" t="s">
        <v>7101</v>
      </c>
      <c r="AG745" t="s">
        <v>3745</v>
      </c>
      <c r="AH745">
        <v>26</v>
      </c>
      <c r="AI745">
        <v>2</v>
      </c>
      <c r="AJ745">
        <v>0</v>
      </c>
      <c r="AK745">
        <v>94.78</v>
      </c>
      <c r="AN745" t="s">
        <v>7139</v>
      </c>
      <c r="AO745">
        <v>15600</v>
      </c>
      <c r="AU745">
        <v>107.2</v>
      </c>
      <c r="AV745" t="s">
        <v>7293</v>
      </c>
      <c r="AW745" t="s">
        <v>7342</v>
      </c>
    </row>
    <row r="746" spans="1:50">
      <c r="A746" s="1">
        <f>HYPERLINK("https://lsnyc.legalserver.org/matter/dynamic-profile/view/1874297","18-1874297")</f>
        <v>0</v>
      </c>
      <c r="B746" t="s">
        <v>53</v>
      </c>
      <c r="C746" t="s">
        <v>105</v>
      </c>
      <c r="D746" t="s">
        <v>435</v>
      </c>
      <c r="F746" t="s">
        <v>1124</v>
      </c>
      <c r="G746" t="s">
        <v>1710</v>
      </c>
      <c r="H746" t="s">
        <v>2565</v>
      </c>
      <c r="I746" t="s">
        <v>3333</v>
      </c>
      <c r="J746" t="s">
        <v>3604</v>
      </c>
      <c r="K746">
        <v>10031</v>
      </c>
      <c r="L746" t="s">
        <v>3610</v>
      </c>
      <c r="M746" t="s">
        <v>3610</v>
      </c>
      <c r="N746" t="s">
        <v>3683</v>
      </c>
      <c r="O746" t="s">
        <v>4213</v>
      </c>
      <c r="P746" t="s">
        <v>4241</v>
      </c>
      <c r="R746" t="s">
        <v>4258</v>
      </c>
      <c r="S746" t="s">
        <v>3610</v>
      </c>
      <c r="U746" t="s">
        <v>4268</v>
      </c>
      <c r="V746" t="s">
        <v>4274</v>
      </c>
      <c r="W746" t="s">
        <v>435</v>
      </c>
      <c r="X746">
        <v>2050</v>
      </c>
      <c r="Y746" t="s">
        <v>4351</v>
      </c>
      <c r="Z746" t="s">
        <v>4352</v>
      </c>
      <c r="AB746" t="s">
        <v>4992</v>
      </c>
      <c r="AD746" t="s">
        <v>6367</v>
      </c>
      <c r="AE746">
        <v>44</v>
      </c>
      <c r="AF746" t="s">
        <v>7106</v>
      </c>
      <c r="AG746" t="s">
        <v>7116</v>
      </c>
      <c r="AH746">
        <v>22</v>
      </c>
      <c r="AI746">
        <v>2</v>
      </c>
      <c r="AJ746">
        <v>0</v>
      </c>
      <c r="AK746">
        <v>94.78</v>
      </c>
      <c r="AN746" t="s">
        <v>7139</v>
      </c>
      <c r="AO746">
        <v>15600</v>
      </c>
      <c r="AQ746" t="s">
        <v>7197</v>
      </c>
      <c r="AU746">
        <v>2.5</v>
      </c>
      <c r="AV746" t="s">
        <v>7293</v>
      </c>
      <c r="AW746" t="s">
        <v>7341</v>
      </c>
    </row>
    <row r="747" spans="1:50">
      <c r="A747" s="1">
        <f>HYPERLINK("https://lsnyc.legalserver.org/matter/dynamic-profile/view/1875266","18-1875266")</f>
        <v>0</v>
      </c>
      <c r="B747" t="s">
        <v>55</v>
      </c>
      <c r="C747" t="s">
        <v>104</v>
      </c>
      <c r="D747" t="s">
        <v>493</v>
      </c>
      <c r="E747" t="s">
        <v>303</v>
      </c>
      <c r="F747" t="s">
        <v>1125</v>
      </c>
      <c r="G747" t="s">
        <v>1998</v>
      </c>
      <c r="H747" t="s">
        <v>2877</v>
      </c>
      <c r="I747">
        <v>12</v>
      </c>
      <c r="J747" t="s">
        <v>3604</v>
      </c>
      <c r="K747">
        <v>10029</v>
      </c>
      <c r="L747" t="s">
        <v>3610</v>
      </c>
      <c r="M747" t="s">
        <v>3610</v>
      </c>
      <c r="O747" t="s">
        <v>4211</v>
      </c>
      <c r="P747" t="s">
        <v>4245</v>
      </c>
      <c r="Q747" t="s">
        <v>4249</v>
      </c>
      <c r="R747" t="s">
        <v>4258</v>
      </c>
      <c r="S747" t="s">
        <v>3611</v>
      </c>
      <c r="U747" t="s">
        <v>4268</v>
      </c>
      <c r="V747" t="s">
        <v>4274</v>
      </c>
      <c r="W747" t="s">
        <v>493</v>
      </c>
      <c r="X747">
        <v>1700</v>
      </c>
      <c r="Y747" t="s">
        <v>4351</v>
      </c>
      <c r="Z747" t="s">
        <v>4354</v>
      </c>
      <c r="AA747" t="s">
        <v>4377</v>
      </c>
      <c r="AB747" t="s">
        <v>4993</v>
      </c>
      <c r="AD747" t="s">
        <v>6368</v>
      </c>
      <c r="AE747">
        <v>16</v>
      </c>
      <c r="AF747" t="s">
        <v>7105</v>
      </c>
      <c r="AG747" t="s">
        <v>3745</v>
      </c>
      <c r="AH747">
        <v>31</v>
      </c>
      <c r="AI747">
        <v>2</v>
      </c>
      <c r="AJ747">
        <v>0</v>
      </c>
      <c r="AK747">
        <v>94.78</v>
      </c>
      <c r="AN747" t="s">
        <v>7138</v>
      </c>
      <c r="AO747">
        <v>15600</v>
      </c>
      <c r="AU747">
        <v>3.7</v>
      </c>
      <c r="AV747" t="s">
        <v>579</v>
      </c>
      <c r="AW747" t="s">
        <v>7341</v>
      </c>
    </row>
    <row r="748" spans="1:50">
      <c r="A748" s="1">
        <f>HYPERLINK("https://lsnyc.legalserver.org/matter/dynamic-profile/view/1874710","18-1874710")</f>
        <v>0</v>
      </c>
      <c r="B748" t="s">
        <v>99</v>
      </c>
      <c r="C748" t="s">
        <v>104</v>
      </c>
      <c r="D748" t="s">
        <v>144</v>
      </c>
      <c r="E748" t="s">
        <v>144</v>
      </c>
      <c r="F748" t="s">
        <v>1126</v>
      </c>
      <c r="G748" t="s">
        <v>916</v>
      </c>
      <c r="H748" t="s">
        <v>2878</v>
      </c>
      <c r="I748">
        <v>12</v>
      </c>
      <c r="J748" t="s">
        <v>3604</v>
      </c>
      <c r="K748">
        <v>10002</v>
      </c>
      <c r="L748" t="s">
        <v>3610</v>
      </c>
      <c r="M748" t="s">
        <v>3610</v>
      </c>
      <c r="O748" t="s">
        <v>4211</v>
      </c>
      <c r="P748" t="s">
        <v>4245</v>
      </c>
      <c r="Q748" t="s">
        <v>4249</v>
      </c>
      <c r="R748" t="s">
        <v>4258</v>
      </c>
      <c r="S748" t="s">
        <v>3611</v>
      </c>
      <c r="U748" t="s">
        <v>4268</v>
      </c>
      <c r="W748" t="s">
        <v>248</v>
      </c>
      <c r="X748">
        <v>0</v>
      </c>
      <c r="Y748" t="s">
        <v>4351</v>
      </c>
      <c r="Z748" t="s">
        <v>4352</v>
      </c>
      <c r="AA748" t="s">
        <v>4373</v>
      </c>
      <c r="AD748" t="s">
        <v>6369</v>
      </c>
      <c r="AE748">
        <v>0</v>
      </c>
      <c r="AF748" t="s">
        <v>7105</v>
      </c>
      <c r="AG748" t="s">
        <v>3745</v>
      </c>
      <c r="AH748">
        <v>0</v>
      </c>
      <c r="AI748">
        <v>2</v>
      </c>
      <c r="AJ748">
        <v>0</v>
      </c>
      <c r="AK748">
        <v>94.78</v>
      </c>
      <c r="AO748">
        <v>15600</v>
      </c>
      <c r="AU748">
        <v>0.1</v>
      </c>
      <c r="AV748" t="s">
        <v>144</v>
      </c>
      <c r="AW748" t="s">
        <v>7344</v>
      </c>
    </row>
    <row r="749" spans="1:50">
      <c r="A749" s="1">
        <f>HYPERLINK("https://lsnyc.legalserver.org/matter/dynamic-profile/view/0820162","16-0820162")</f>
        <v>0</v>
      </c>
      <c r="B749" t="s">
        <v>64</v>
      </c>
      <c r="C749" t="s">
        <v>104</v>
      </c>
      <c r="D749" t="s">
        <v>361</v>
      </c>
      <c r="E749" t="s">
        <v>378</v>
      </c>
      <c r="F749" t="s">
        <v>843</v>
      </c>
      <c r="G749" t="s">
        <v>1441</v>
      </c>
      <c r="H749" t="s">
        <v>2718</v>
      </c>
      <c r="I749" t="s">
        <v>3287</v>
      </c>
      <c r="J749" t="s">
        <v>3604</v>
      </c>
      <c r="K749">
        <v>10034</v>
      </c>
      <c r="L749" t="s">
        <v>3610</v>
      </c>
      <c r="M749" t="s">
        <v>3609</v>
      </c>
      <c r="N749" t="s">
        <v>3759</v>
      </c>
      <c r="O749" t="s">
        <v>4213</v>
      </c>
      <c r="P749" t="s">
        <v>4241</v>
      </c>
      <c r="Q749" t="s">
        <v>4248</v>
      </c>
      <c r="R749" t="s">
        <v>4258</v>
      </c>
      <c r="S749" t="s">
        <v>3610</v>
      </c>
      <c r="U749" t="s">
        <v>4268</v>
      </c>
      <c r="W749" t="s">
        <v>323</v>
      </c>
      <c r="X749">
        <v>847</v>
      </c>
      <c r="Y749" t="s">
        <v>4351</v>
      </c>
      <c r="Z749" t="s">
        <v>4352</v>
      </c>
      <c r="AA749" t="s">
        <v>4379</v>
      </c>
      <c r="AB749" t="s">
        <v>4994</v>
      </c>
      <c r="AD749" t="s">
        <v>6370</v>
      </c>
      <c r="AE749">
        <v>65</v>
      </c>
      <c r="AF749" t="s">
        <v>7101</v>
      </c>
      <c r="AG749" t="s">
        <v>7118</v>
      </c>
      <c r="AH749">
        <v>37</v>
      </c>
      <c r="AI749">
        <v>2</v>
      </c>
      <c r="AJ749">
        <v>0</v>
      </c>
      <c r="AK749">
        <v>94.83</v>
      </c>
      <c r="AN749" t="s">
        <v>7139</v>
      </c>
      <c r="AO749">
        <v>15192</v>
      </c>
      <c r="AU749">
        <v>1.5</v>
      </c>
      <c r="AV749" t="s">
        <v>471</v>
      </c>
      <c r="AW749" t="s">
        <v>7341</v>
      </c>
    </row>
    <row r="750" spans="1:50">
      <c r="A750" s="1">
        <f>HYPERLINK("https://lsnyc.legalserver.org/matter/dynamic-profile/view/1882565","18-1882565")</f>
        <v>0</v>
      </c>
      <c r="B750" t="s">
        <v>61</v>
      </c>
      <c r="C750" t="s">
        <v>104</v>
      </c>
      <c r="D750" t="s">
        <v>262</v>
      </c>
      <c r="E750" t="s">
        <v>201</v>
      </c>
      <c r="F750" t="s">
        <v>727</v>
      </c>
      <c r="G750" t="s">
        <v>1684</v>
      </c>
      <c r="H750" t="s">
        <v>2704</v>
      </c>
      <c r="I750" t="s">
        <v>3285</v>
      </c>
      <c r="J750" t="s">
        <v>3604</v>
      </c>
      <c r="K750">
        <v>10031</v>
      </c>
      <c r="L750" t="s">
        <v>3610</v>
      </c>
      <c r="M750" t="s">
        <v>3610</v>
      </c>
      <c r="O750" t="s">
        <v>4219</v>
      </c>
      <c r="P750" t="s">
        <v>4245</v>
      </c>
      <c r="Q750" t="s">
        <v>4249</v>
      </c>
      <c r="R750" t="s">
        <v>4258</v>
      </c>
      <c r="S750" t="s">
        <v>3611</v>
      </c>
      <c r="U750" t="s">
        <v>4268</v>
      </c>
      <c r="W750" t="s">
        <v>262</v>
      </c>
      <c r="X750">
        <v>1019.08</v>
      </c>
      <c r="Y750" t="s">
        <v>4351</v>
      </c>
      <c r="Z750" t="s">
        <v>4354</v>
      </c>
      <c r="AA750" t="s">
        <v>4377</v>
      </c>
      <c r="AB750" t="s">
        <v>4995</v>
      </c>
      <c r="AD750" t="s">
        <v>6371</v>
      </c>
      <c r="AE750">
        <v>33</v>
      </c>
      <c r="AF750" t="s">
        <v>7101</v>
      </c>
      <c r="AG750" t="s">
        <v>3745</v>
      </c>
      <c r="AH750">
        <v>28</v>
      </c>
      <c r="AI750">
        <v>1</v>
      </c>
      <c r="AJ750">
        <v>0</v>
      </c>
      <c r="AK750">
        <v>94.89</v>
      </c>
      <c r="AN750" t="s">
        <v>7139</v>
      </c>
      <c r="AO750">
        <v>11520</v>
      </c>
      <c r="AU750">
        <v>3.6</v>
      </c>
      <c r="AV750" t="s">
        <v>657</v>
      </c>
      <c r="AW750" t="s">
        <v>7342</v>
      </c>
      <c r="AX750" t="s">
        <v>7377</v>
      </c>
    </row>
    <row r="751" spans="1:50">
      <c r="A751" s="1">
        <f>HYPERLINK("https://lsnyc.legalserver.org/matter/dynamic-profile/view/1842302","17-1842302")</f>
        <v>0</v>
      </c>
      <c r="B751" t="s">
        <v>61</v>
      </c>
      <c r="C751" t="s">
        <v>105</v>
      </c>
      <c r="D751" t="s">
        <v>133</v>
      </c>
      <c r="F751" t="s">
        <v>1127</v>
      </c>
      <c r="G751" t="s">
        <v>887</v>
      </c>
      <c r="H751" t="s">
        <v>2478</v>
      </c>
      <c r="I751" t="s">
        <v>3287</v>
      </c>
      <c r="J751" t="s">
        <v>3604</v>
      </c>
      <c r="K751">
        <v>10034</v>
      </c>
      <c r="L751" t="s">
        <v>3610</v>
      </c>
      <c r="M751" t="s">
        <v>3609</v>
      </c>
      <c r="N751" t="s">
        <v>3886</v>
      </c>
      <c r="O751" t="s">
        <v>4209</v>
      </c>
      <c r="P751" t="s">
        <v>4241</v>
      </c>
      <c r="R751" t="s">
        <v>4258</v>
      </c>
      <c r="S751" t="s">
        <v>3611</v>
      </c>
      <c r="U751" t="s">
        <v>4268</v>
      </c>
      <c r="W751" t="s">
        <v>133</v>
      </c>
      <c r="X751">
        <v>916.29</v>
      </c>
      <c r="Y751" t="s">
        <v>4351</v>
      </c>
      <c r="Z751" t="s">
        <v>4354</v>
      </c>
      <c r="AB751" t="s">
        <v>4996</v>
      </c>
      <c r="AD751" t="s">
        <v>6372</v>
      </c>
      <c r="AE751">
        <v>47</v>
      </c>
      <c r="AF751" t="s">
        <v>7101</v>
      </c>
      <c r="AG751" t="s">
        <v>3745</v>
      </c>
      <c r="AH751">
        <v>17</v>
      </c>
      <c r="AI751">
        <v>2</v>
      </c>
      <c r="AJ751">
        <v>0</v>
      </c>
      <c r="AK751">
        <v>95.42</v>
      </c>
      <c r="AN751" t="s">
        <v>7138</v>
      </c>
      <c r="AO751">
        <v>15496</v>
      </c>
      <c r="AU751">
        <v>76.55</v>
      </c>
      <c r="AV751" t="s">
        <v>318</v>
      </c>
      <c r="AW751" t="s">
        <v>7342</v>
      </c>
    </row>
    <row r="752" spans="1:50">
      <c r="A752" s="1">
        <f>HYPERLINK("https://lsnyc.legalserver.org/matter/dynamic-profile/view/1862404","18-1862404")</f>
        <v>0</v>
      </c>
      <c r="B752" t="s">
        <v>66</v>
      </c>
      <c r="C752" t="s">
        <v>104</v>
      </c>
      <c r="D752" t="s">
        <v>494</v>
      </c>
      <c r="E752" t="s">
        <v>271</v>
      </c>
      <c r="F752" t="s">
        <v>1128</v>
      </c>
      <c r="G752" t="s">
        <v>1875</v>
      </c>
      <c r="H752" t="s">
        <v>2879</v>
      </c>
      <c r="I752" t="s">
        <v>3327</v>
      </c>
      <c r="J752" t="s">
        <v>3604</v>
      </c>
      <c r="K752">
        <v>10027</v>
      </c>
      <c r="L752" t="s">
        <v>3610</v>
      </c>
      <c r="M752" t="s">
        <v>3609</v>
      </c>
      <c r="P752" t="s">
        <v>4244</v>
      </c>
      <c r="Q752" t="s">
        <v>4249</v>
      </c>
      <c r="R752" t="s">
        <v>4258</v>
      </c>
      <c r="U752" t="s">
        <v>4268</v>
      </c>
      <c r="W752" t="s">
        <v>278</v>
      </c>
      <c r="X752">
        <v>0</v>
      </c>
      <c r="Y752" t="s">
        <v>4351</v>
      </c>
      <c r="Z752" t="s">
        <v>4354</v>
      </c>
      <c r="AA752" t="s">
        <v>4373</v>
      </c>
      <c r="AB752" t="s">
        <v>4997</v>
      </c>
      <c r="AD752" t="s">
        <v>6373</v>
      </c>
      <c r="AE752">
        <v>0</v>
      </c>
      <c r="AF752" t="s">
        <v>7105</v>
      </c>
      <c r="AG752" t="s">
        <v>7116</v>
      </c>
      <c r="AH752">
        <v>0</v>
      </c>
      <c r="AI752">
        <v>2</v>
      </c>
      <c r="AJ752">
        <v>1</v>
      </c>
      <c r="AK752">
        <v>95.75</v>
      </c>
      <c r="AO752">
        <v>19896</v>
      </c>
      <c r="AU752">
        <v>2</v>
      </c>
      <c r="AV752" t="s">
        <v>271</v>
      </c>
      <c r="AW752" t="s">
        <v>7350</v>
      </c>
    </row>
    <row r="753" spans="1:50">
      <c r="A753" s="1">
        <f>HYPERLINK("https://lsnyc.legalserver.org/matter/dynamic-profile/view/1874329","18-1874329")</f>
        <v>0</v>
      </c>
      <c r="B753" t="s">
        <v>73</v>
      </c>
      <c r="C753" t="s">
        <v>104</v>
      </c>
      <c r="D753" t="s">
        <v>435</v>
      </c>
      <c r="E753" t="s">
        <v>204</v>
      </c>
      <c r="F753" t="s">
        <v>1129</v>
      </c>
      <c r="G753" t="s">
        <v>1878</v>
      </c>
      <c r="H753" t="s">
        <v>2812</v>
      </c>
      <c r="I753" t="s">
        <v>3450</v>
      </c>
      <c r="J753" t="s">
        <v>3604</v>
      </c>
      <c r="K753">
        <v>10040</v>
      </c>
      <c r="L753" t="s">
        <v>3610</v>
      </c>
      <c r="M753" t="s">
        <v>3610</v>
      </c>
      <c r="O753" t="s">
        <v>4221</v>
      </c>
      <c r="P753" t="s">
        <v>4242</v>
      </c>
      <c r="Q753" t="s">
        <v>4250</v>
      </c>
      <c r="R753" t="s">
        <v>4258</v>
      </c>
      <c r="S753" t="s">
        <v>3611</v>
      </c>
      <c r="U753" t="s">
        <v>4268</v>
      </c>
      <c r="W753" t="s">
        <v>435</v>
      </c>
      <c r="X753">
        <v>1023.42</v>
      </c>
      <c r="Y753" t="s">
        <v>4351</v>
      </c>
      <c r="Z753" t="s">
        <v>4354</v>
      </c>
      <c r="AA753" t="s">
        <v>4373</v>
      </c>
      <c r="AB753" t="s">
        <v>4998</v>
      </c>
      <c r="AD753" t="s">
        <v>6374</v>
      </c>
      <c r="AE753">
        <v>185</v>
      </c>
      <c r="AF753" t="s">
        <v>7101</v>
      </c>
      <c r="AG753" t="s">
        <v>3745</v>
      </c>
      <c r="AH753">
        <v>21</v>
      </c>
      <c r="AI753">
        <v>2</v>
      </c>
      <c r="AJ753">
        <v>0</v>
      </c>
      <c r="AK753">
        <v>95.81999999999999</v>
      </c>
      <c r="AN753" t="s">
        <v>7139</v>
      </c>
      <c r="AO753">
        <v>15772</v>
      </c>
      <c r="AU753">
        <v>3.5</v>
      </c>
      <c r="AV753" t="s">
        <v>135</v>
      </c>
      <c r="AW753" t="s">
        <v>7342</v>
      </c>
    </row>
    <row r="754" spans="1:50">
      <c r="A754" s="1">
        <f>HYPERLINK("https://lsnyc.legalserver.org/matter/dynamic-profile/view/1897620","19-1897620")</f>
        <v>0</v>
      </c>
      <c r="B754" t="s">
        <v>53</v>
      </c>
      <c r="C754" t="s">
        <v>105</v>
      </c>
      <c r="D754" t="s">
        <v>261</v>
      </c>
      <c r="F754" t="s">
        <v>815</v>
      </c>
      <c r="G754" t="s">
        <v>1828</v>
      </c>
      <c r="H754" t="s">
        <v>2797</v>
      </c>
      <c r="I754" t="s">
        <v>3298</v>
      </c>
      <c r="J754" t="s">
        <v>3604</v>
      </c>
      <c r="K754">
        <v>10035</v>
      </c>
      <c r="L754" t="s">
        <v>3610</v>
      </c>
      <c r="M754" t="s">
        <v>3610</v>
      </c>
      <c r="O754" t="s">
        <v>4211</v>
      </c>
      <c r="P754" t="s">
        <v>4245</v>
      </c>
      <c r="R754" t="s">
        <v>4258</v>
      </c>
      <c r="S754" t="s">
        <v>3610</v>
      </c>
      <c r="U754" t="s">
        <v>4268</v>
      </c>
      <c r="V754" t="s">
        <v>4274</v>
      </c>
      <c r="W754" t="s">
        <v>319</v>
      </c>
      <c r="X754">
        <v>1104.42</v>
      </c>
      <c r="Y754" t="s">
        <v>4351</v>
      </c>
      <c r="Z754" t="s">
        <v>4361</v>
      </c>
      <c r="AB754" t="s">
        <v>4999</v>
      </c>
      <c r="AD754" t="s">
        <v>6375</v>
      </c>
      <c r="AE754">
        <v>60</v>
      </c>
      <c r="AF754" t="s">
        <v>7101</v>
      </c>
      <c r="AG754" t="s">
        <v>3745</v>
      </c>
      <c r="AH754">
        <v>7</v>
      </c>
      <c r="AI754">
        <v>1</v>
      </c>
      <c r="AJ754">
        <v>0</v>
      </c>
      <c r="AK754">
        <v>96.08</v>
      </c>
      <c r="AN754" t="s">
        <v>7139</v>
      </c>
      <c r="AO754">
        <v>12000</v>
      </c>
      <c r="AU754">
        <v>0</v>
      </c>
      <c r="AW754" t="s">
        <v>7341</v>
      </c>
    </row>
    <row r="755" spans="1:50">
      <c r="A755" s="1">
        <f>HYPERLINK("https://lsnyc.legalserver.org/matter/dynamic-profile/view/1862348","18-1862348")</f>
        <v>0</v>
      </c>
      <c r="B755" t="s">
        <v>53</v>
      </c>
      <c r="C755" t="s">
        <v>104</v>
      </c>
      <c r="D755" t="s">
        <v>495</v>
      </c>
      <c r="E755" t="s">
        <v>662</v>
      </c>
      <c r="F755" t="s">
        <v>1130</v>
      </c>
      <c r="G755" t="s">
        <v>1999</v>
      </c>
      <c r="H755" t="s">
        <v>2712</v>
      </c>
      <c r="I755" t="s">
        <v>3350</v>
      </c>
      <c r="J755" t="s">
        <v>3604</v>
      </c>
      <c r="K755">
        <v>10040</v>
      </c>
      <c r="L755" t="s">
        <v>3610</v>
      </c>
      <c r="M755" t="s">
        <v>3610</v>
      </c>
      <c r="O755" t="s">
        <v>4221</v>
      </c>
      <c r="P755" t="s">
        <v>4244</v>
      </c>
      <c r="Q755" t="s">
        <v>4254</v>
      </c>
      <c r="R755" t="s">
        <v>4258</v>
      </c>
      <c r="S755" t="s">
        <v>3611</v>
      </c>
      <c r="U755" t="s">
        <v>4270</v>
      </c>
      <c r="V755" t="s">
        <v>4274</v>
      </c>
      <c r="W755" t="s">
        <v>495</v>
      </c>
      <c r="X755">
        <v>1094.37</v>
      </c>
      <c r="Y755" t="s">
        <v>4351</v>
      </c>
      <c r="Z755" t="s">
        <v>4357</v>
      </c>
      <c r="AA755" t="s">
        <v>4376</v>
      </c>
      <c r="AB755" t="s">
        <v>5000</v>
      </c>
      <c r="AD755" t="s">
        <v>6376</v>
      </c>
      <c r="AE755">
        <v>42</v>
      </c>
      <c r="AF755" t="s">
        <v>7101</v>
      </c>
      <c r="AG755" t="s">
        <v>3745</v>
      </c>
      <c r="AH755">
        <v>18</v>
      </c>
      <c r="AI755">
        <v>1</v>
      </c>
      <c r="AJ755">
        <v>1</v>
      </c>
      <c r="AK755">
        <v>96.34</v>
      </c>
      <c r="AL755" t="s">
        <v>183</v>
      </c>
      <c r="AN755" t="s">
        <v>7139</v>
      </c>
      <c r="AO755">
        <v>15858</v>
      </c>
      <c r="AU755">
        <v>0.2</v>
      </c>
      <c r="AV755" t="s">
        <v>7295</v>
      </c>
      <c r="AW755" t="s">
        <v>7342</v>
      </c>
    </row>
    <row r="756" spans="1:50">
      <c r="A756" s="1">
        <f>HYPERLINK("https://lsnyc.legalserver.org/matter/dynamic-profile/view/1871503","18-1871503")</f>
        <v>0</v>
      </c>
      <c r="B756" t="s">
        <v>56</v>
      </c>
      <c r="C756" t="s">
        <v>104</v>
      </c>
      <c r="D756" t="s">
        <v>119</v>
      </c>
      <c r="E756" t="s">
        <v>248</v>
      </c>
      <c r="F756" t="s">
        <v>1068</v>
      </c>
      <c r="G756" t="s">
        <v>1688</v>
      </c>
      <c r="H756" t="s">
        <v>2671</v>
      </c>
      <c r="I756">
        <v>41</v>
      </c>
      <c r="J756" t="s">
        <v>3604</v>
      </c>
      <c r="K756">
        <v>10034</v>
      </c>
      <c r="L756" t="s">
        <v>3610</v>
      </c>
      <c r="M756" t="s">
        <v>3610</v>
      </c>
      <c r="O756" t="s">
        <v>4209</v>
      </c>
      <c r="P756" t="s">
        <v>4242</v>
      </c>
      <c r="Q756" t="s">
        <v>4250</v>
      </c>
      <c r="R756" t="s">
        <v>4258</v>
      </c>
      <c r="S756" t="s">
        <v>3611</v>
      </c>
      <c r="U756" t="s">
        <v>4268</v>
      </c>
      <c r="W756" t="s">
        <v>119</v>
      </c>
      <c r="X756">
        <v>767.76</v>
      </c>
      <c r="Y756" t="s">
        <v>4351</v>
      </c>
      <c r="Z756" t="s">
        <v>4357</v>
      </c>
      <c r="AA756" t="s">
        <v>4373</v>
      </c>
      <c r="AB756" t="s">
        <v>5001</v>
      </c>
      <c r="AD756" t="s">
        <v>6377</v>
      </c>
      <c r="AE756">
        <v>20</v>
      </c>
      <c r="AF756" t="s">
        <v>7101</v>
      </c>
      <c r="AG756" t="s">
        <v>7118</v>
      </c>
      <c r="AH756">
        <v>40</v>
      </c>
      <c r="AI756">
        <v>2</v>
      </c>
      <c r="AJ756">
        <v>0</v>
      </c>
      <c r="AK756">
        <v>97.17</v>
      </c>
      <c r="AN756" t="s">
        <v>7138</v>
      </c>
      <c r="AO756">
        <v>15994.75</v>
      </c>
      <c r="AU756">
        <v>2</v>
      </c>
      <c r="AV756" t="s">
        <v>4309</v>
      </c>
      <c r="AW756" t="s">
        <v>7342</v>
      </c>
    </row>
    <row r="757" spans="1:50">
      <c r="A757" s="1">
        <f>HYPERLINK("https://lsnyc.legalserver.org/matter/dynamic-profile/view/1881114","18-1881114")</f>
        <v>0</v>
      </c>
      <c r="B757" t="s">
        <v>53</v>
      </c>
      <c r="C757" t="s">
        <v>104</v>
      </c>
      <c r="D757" t="s">
        <v>348</v>
      </c>
      <c r="E757" t="s">
        <v>335</v>
      </c>
      <c r="F757" t="s">
        <v>1131</v>
      </c>
      <c r="G757" t="s">
        <v>2000</v>
      </c>
      <c r="H757" t="s">
        <v>2712</v>
      </c>
      <c r="I757" t="s">
        <v>3316</v>
      </c>
      <c r="J757" t="s">
        <v>3604</v>
      </c>
      <c r="K757">
        <v>10040</v>
      </c>
      <c r="L757" t="s">
        <v>3610</v>
      </c>
      <c r="M757" t="s">
        <v>3610</v>
      </c>
      <c r="O757" t="s">
        <v>4212</v>
      </c>
      <c r="P757" t="s">
        <v>4243</v>
      </c>
      <c r="Q757" t="s">
        <v>4254</v>
      </c>
      <c r="R757" t="s">
        <v>4258</v>
      </c>
      <c r="S757" t="s">
        <v>3611</v>
      </c>
      <c r="U757" t="s">
        <v>4270</v>
      </c>
      <c r="V757" t="s">
        <v>4274</v>
      </c>
      <c r="W757" t="s">
        <v>201</v>
      </c>
      <c r="X757">
        <v>1165.99</v>
      </c>
      <c r="Y757" t="s">
        <v>4351</v>
      </c>
      <c r="Z757" t="s">
        <v>4354</v>
      </c>
      <c r="AA757" t="s">
        <v>4376</v>
      </c>
      <c r="AB757" t="s">
        <v>5002</v>
      </c>
      <c r="AD757" t="s">
        <v>6378</v>
      </c>
      <c r="AE757">
        <v>42</v>
      </c>
      <c r="AF757" t="s">
        <v>7101</v>
      </c>
      <c r="AG757" t="s">
        <v>3745</v>
      </c>
      <c r="AH757">
        <v>29</v>
      </c>
      <c r="AI757">
        <v>2</v>
      </c>
      <c r="AJ757">
        <v>0</v>
      </c>
      <c r="AK757">
        <v>97.18000000000001</v>
      </c>
      <c r="AL757" t="s">
        <v>7126</v>
      </c>
      <c r="AM757" t="s">
        <v>7136</v>
      </c>
      <c r="AN757" t="s">
        <v>7138</v>
      </c>
      <c r="AO757">
        <v>15996</v>
      </c>
      <c r="AS757" t="s">
        <v>7231</v>
      </c>
      <c r="AT757" t="s">
        <v>7261</v>
      </c>
      <c r="AU757">
        <v>0.2</v>
      </c>
      <c r="AV757" t="s">
        <v>201</v>
      </c>
      <c r="AW757" t="s">
        <v>7341</v>
      </c>
    </row>
    <row r="758" spans="1:50">
      <c r="A758" s="1">
        <f>HYPERLINK("https://lsnyc.legalserver.org/matter/dynamic-profile/view/1836107","17-1836107")</f>
        <v>0</v>
      </c>
      <c r="B758" t="s">
        <v>69</v>
      </c>
      <c r="C758" t="s">
        <v>105</v>
      </c>
      <c r="D758" t="s">
        <v>496</v>
      </c>
      <c r="F758" t="s">
        <v>1132</v>
      </c>
      <c r="G758" t="s">
        <v>2001</v>
      </c>
      <c r="H758" t="s">
        <v>2880</v>
      </c>
      <c r="I758">
        <v>303</v>
      </c>
      <c r="J758" t="s">
        <v>3604</v>
      </c>
      <c r="K758">
        <v>10029</v>
      </c>
      <c r="L758" t="s">
        <v>3610</v>
      </c>
      <c r="M758" t="s">
        <v>3609</v>
      </c>
      <c r="N758" t="s">
        <v>3887</v>
      </c>
      <c r="O758" t="s">
        <v>4210</v>
      </c>
      <c r="P758" t="s">
        <v>4241</v>
      </c>
      <c r="R758" t="s">
        <v>4258</v>
      </c>
      <c r="S758" t="s">
        <v>3611</v>
      </c>
      <c r="U758" t="s">
        <v>4268</v>
      </c>
      <c r="V758" t="s">
        <v>4274</v>
      </c>
      <c r="W758" t="s">
        <v>4282</v>
      </c>
      <c r="X758">
        <v>1800</v>
      </c>
      <c r="Y758" t="s">
        <v>4351</v>
      </c>
      <c r="Z758" t="s">
        <v>4357</v>
      </c>
      <c r="AB758" t="s">
        <v>5003</v>
      </c>
      <c r="AD758" t="s">
        <v>6379</v>
      </c>
      <c r="AE758">
        <v>91</v>
      </c>
      <c r="AF758" t="s">
        <v>7106</v>
      </c>
      <c r="AG758" t="s">
        <v>7116</v>
      </c>
      <c r="AH758">
        <v>31</v>
      </c>
      <c r="AI758">
        <v>2</v>
      </c>
      <c r="AJ758">
        <v>0</v>
      </c>
      <c r="AK758">
        <v>97.45999999999999</v>
      </c>
      <c r="AN758" t="s">
        <v>7138</v>
      </c>
      <c r="AO758">
        <v>15828</v>
      </c>
      <c r="AU758">
        <v>24.1</v>
      </c>
      <c r="AV758" t="s">
        <v>424</v>
      </c>
      <c r="AW758" t="s">
        <v>7341</v>
      </c>
      <c r="AX758" t="s">
        <v>7377</v>
      </c>
    </row>
    <row r="759" spans="1:50">
      <c r="A759" s="1">
        <f>HYPERLINK("https://lsnyc.legalserver.org/matter/dynamic-profile/view/1856855","18-1856855")</f>
        <v>0</v>
      </c>
      <c r="B759" t="s">
        <v>62</v>
      </c>
      <c r="C759" t="s">
        <v>105</v>
      </c>
      <c r="D759" t="s">
        <v>381</v>
      </c>
      <c r="F759" t="s">
        <v>1130</v>
      </c>
      <c r="G759" t="s">
        <v>1999</v>
      </c>
      <c r="H759" t="s">
        <v>2712</v>
      </c>
      <c r="I759" t="s">
        <v>3350</v>
      </c>
      <c r="J759" t="s">
        <v>3604</v>
      </c>
      <c r="K759">
        <v>10040</v>
      </c>
      <c r="L759" t="s">
        <v>3610</v>
      </c>
      <c r="M759" t="s">
        <v>3609</v>
      </c>
      <c r="O759" t="s">
        <v>4213</v>
      </c>
      <c r="P759" t="s">
        <v>4244</v>
      </c>
      <c r="R759" t="s">
        <v>4258</v>
      </c>
      <c r="S759" t="s">
        <v>3610</v>
      </c>
      <c r="U759" t="s">
        <v>4268</v>
      </c>
      <c r="W759" t="s">
        <v>381</v>
      </c>
      <c r="X759">
        <v>1094.37</v>
      </c>
      <c r="Y759" t="s">
        <v>4351</v>
      </c>
      <c r="Z759" t="s">
        <v>4357</v>
      </c>
      <c r="AB759" t="s">
        <v>5000</v>
      </c>
      <c r="AD759" t="s">
        <v>6376</v>
      </c>
      <c r="AE759">
        <v>42</v>
      </c>
      <c r="AF759" t="s">
        <v>7101</v>
      </c>
      <c r="AG759" t="s">
        <v>3745</v>
      </c>
      <c r="AH759">
        <v>16</v>
      </c>
      <c r="AI759">
        <v>1</v>
      </c>
      <c r="AJ759">
        <v>1</v>
      </c>
      <c r="AK759">
        <v>97.65000000000001</v>
      </c>
      <c r="AL759" t="s">
        <v>183</v>
      </c>
      <c r="AN759" t="s">
        <v>7139</v>
      </c>
      <c r="AO759">
        <v>15858</v>
      </c>
      <c r="AU759">
        <v>33.3</v>
      </c>
      <c r="AV759" t="s">
        <v>689</v>
      </c>
      <c r="AW759" t="s">
        <v>7342</v>
      </c>
    </row>
    <row r="760" spans="1:50">
      <c r="A760" s="1">
        <f>HYPERLINK("https://lsnyc.legalserver.org/matter/dynamic-profile/view/1839947","17-1839947")</f>
        <v>0</v>
      </c>
      <c r="B760" t="s">
        <v>53</v>
      </c>
      <c r="C760" t="s">
        <v>104</v>
      </c>
      <c r="D760" t="s">
        <v>268</v>
      </c>
      <c r="E760" t="s">
        <v>662</v>
      </c>
      <c r="F760" t="s">
        <v>1130</v>
      </c>
      <c r="G760" t="s">
        <v>1999</v>
      </c>
      <c r="H760" t="s">
        <v>2712</v>
      </c>
      <c r="I760" t="s">
        <v>3350</v>
      </c>
      <c r="J760" t="s">
        <v>3604</v>
      </c>
      <c r="K760">
        <v>10040</v>
      </c>
      <c r="L760" t="s">
        <v>3610</v>
      </c>
      <c r="M760" t="s">
        <v>3610</v>
      </c>
      <c r="N760" t="s">
        <v>3888</v>
      </c>
      <c r="O760" t="s">
        <v>4209</v>
      </c>
      <c r="P760" t="s">
        <v>4241</v>
      </c>
      <c r="Q760" t="s">
        <v>4248</v>
      </c>
      <c r="R760" t="s">
        <v>4258</v>
      </c>
      <c r="S760" t="s">
        <v>3611</v>
      </c>
      <c r="U760" t="s">
        <v>4268</v>
      </c>
      <c r="V760" t="s">
        <v>4274</v>
      </c>
      <c r="W760" t="s">
        <v>268</v>
      </c>
      <c r="X760">
        <v>1094.37</v>
      </c>
      <c r="Y760" t="s">
        <v>4351</v>
      </c>
      <c r="Z760" t="s">
        <v>4354</v>
      </c>
      <c r="AA760" t="s">
        <v>4374</v>
      </c>
      <c r="AB760" t="s">
        <v>5000</v>
      </c>
      <c r="AD760" t="s">
        <v>6376</v>
      </c>
      <c r="AE760">
        <v>42</v>
      </c>
      <c r="AF760" t="s">
        <v>7101</v>
      </c>
      <c r="AG760" t="s">
        <v>3745</v>
      </c>
      <c r="AH760">
        <v>19</v>
      </c>
      <c r="AI760">
        <v>1</v>
      </c>
      <c r="AJ760">
        <v>1</v>
      </c>
      <c r="AK760">
        <v>97.65000000000001</v>
      </c>
      <c r="AL760" t="s">
        <v>183</v>
      </c>
      <c r="AN760" t="s">
        <v>7139</v>
      </c>
      <c r="AO760">
        <v>15858</v>
      </c>
      <c r="AQ760" t="s">
        <v>7197</v>
      </c>
      <c r="AR760" t="s">
        <v>7221</v>
      </c>
      <c r="AS760" t="s">
        <v>7231</v>
      </c>
      <c r="AT760" t="s">
        <v>7262</v>
      </c>
      <c r="AU760">
        <v>38.2</v>
      </c>
      <c r="AV760" t="s">
        <v>209</v>
      </c>
      <c r="AW760" t="s">
        <v>7342</v>
      </c>
    </row>
    <row r="761" spans="1:50">
      <c r="A761" s="1">
        <f>HYPERLINK("https://lsnyc.legalserver.org/matter/dynamic-profile/view/0795538","16-0795538")</f>
        <v>0</v>
      </c>
      <c r="B761" t="s">
        <v>63</v>
      </c>
      <c r="C761" t="s">
        <v>105</v>
      </c>
      <c r="D761" t="s">
        <v>357</v>
      </c>
      <c r="F761" t="s">
        <v>1133</v>
      </c>
      <c r="G761" t="s">
        <v>1051</v>
      </c>
      <c r="H761" t="s">
        <v>2881</v>
      </c>
      <c r="I761" t="s">
        <v>3451</v>
      </c>
      <c r="J761" t="s">
        <v>3604</v>
      </c>
      <c r="K761">
        <v>10034</v>
      </c>
      <c r="L761" t="s">
        <v>3609</v>
      </c>
      <c r="M761" t="s">
        <v>3609</v>
      </c>
      <c r="O761" t="s">
        <v>4211</v>
      </c>
      <c r="P761" t="s">
        <v>4242</v>
      </c>
      <c r="R761" t="s">
        <v>4258</v>
      </c>
      <c r="U761" t="s">
        <v>4268</v>
      </c>
      <c r="W761" t="s">
        <v>172</v>
      </c>
      <c r="X761">
        <v>0</v>
      </c>
      <c r="Y761" t="s">
        <v>4351</v>
      </c>
      <c r="Z761" t="s">
        <v>4360</v>
      </c>
      <c r="AB761" t="s">
        <v>5004</v>
      </c>
      <c r="AD761" t="s">
        <v>6380</v>
      </c>
      <c r="AE761">
        <v>0</v>
      </c>
      <c r="AF761" t="s">
        <v>7103</v>
      </c>
      <c r="AH761">
        <v>17</v>
      </c>
      <c r="AI761">
        <v>2</v>
      </c>
      <c r="AJ761">
        <v>0</v>
      </c>
      <c r="AK761">
        <v>97.93000000000001</v>
      </c>
      <c r="AN761" t="s">
        <v>7139</v>
      </c>
      <c r="AO761">
        <v>15600</v>
      </c>
      <c r="AU761">
        <v>4.75</v>
      </c>
      <c r="AV761" t="s">
        <v>7319</v>
      </c>
      <c r="AW761" t="s">
        <v>57</v>
      </c>
    </row>
    <row r="762" spans="1:50">
      <c r="A762" s="1">
        <f>HYPERLINK("https://lsnyc.legalserver.org/matter/dynamic-profile/view/0826185","17-0826185")</f>
        <v>0</v>
      </c>
      <c r="B762" t="s">
        <v>53</v>
      </c>
      <c r="C762" t="s">
        <v>105</v>
      </c>
      <c r="D762" t="s">
        <v>394</v>
      </c>
      <c r="F762" t="s">
        <v>733</v>
      </c>
      <c r="G762" t="s">
        <v>1577</v>
      </c>
      <c r="H762" t="s">
        <v>2652</v>
      </c>
      <c r="I762" t="s">
        <v>3335</v>
      </c>
      <c r="J762" t="s">
        <v>3604</v>
      </c>
      <c r="K762">
        <v>10034</v>
      </c>
      <c r="L762" t="s">
        <v>3610</v>
      </c>
      <c r="M762" t="s">
        <v>3609</v>
      </c>
      <c r="O762" t="s">
        <v>4220</v>
      </c>
      <c r="P762" t="s">
        <v>4243</v>
      </c>
      <c r="R762" t="s">
        <v>4258</v>
      </c>
      <c r="S762" t="s">
        <v>3610</v>
      </c>
      <c r="U762" t="s">
        <v>4268</v>
      </c>
      <c r="W762" t="s">
        <v>565</v>
      </c>
      <c r="X762">
        <v>787.8099999999999</v>
      </c>
      <c r="Y762" t="s">
        <v>4351</v>
      </c>
      <c r="Z762" t="s">
        <v>4352</v>
      </c>
      <c r="AB762" t="s">
        <v>4942</v>
      </c>
      <c r="AD762" t="s">
        <v>6381</v>
      </c>
      <c r="AE762">
        <v>22</v>
      </c>
      <c r="AF762" t="s">
        <v>7101</v>
      </c>
      <c r="AG762" t="s">
        <v>3745</v>
      </c>
      <c r="AH762">
        <v>38</v>
      </c>
      <c r="AI762">
        <v>2</v>
      </c>
      <c r="AJ762">
        <v>0</v>
      </c>
      <c r="AK762">
        <v>98.45999999999999</v>
      </c>
      <c r="AN762" t="s">
        <v>7139</v>
      </c>
      <c r="AO762">
        <v>17406</v>
      </c>
      <c r="AU762">
        <v>0.7</v>
      </c>
      <c r="AV762" t="s">
        <v>420</v>
      </c>
      <c r="AW762" t="s">
        <v>7341</v>
      </c>
    </row>
    <row r="763" spans="1:50">
      <c r="A763" s="1">
        <f>HYPERLINK("https://lsnyc.legalserver.org/matter/dynamic-profile/view/1875260","18-1875260")</f>
        <v>0</v>
      </c>
      <c r="B763" t="s">
        <v>61</v>
      </c>
      <c r="C763" t="s">
        <v>105</v>
      </c>
      <c r="D763" t="s">
        <v>493</v>
      </c>
      <c r="F763" t="s">
        <v>1134</v>
      </c>
      <c r="G763" t="s">
        <v>1808</v>
      </c>
      <c r="H763" t="s">
        <v>2882</v>
      </c>
      <c r="I763" t="s">
        <v>3452</v>
      </c>
      <c r="J763" t="s">
        <v>3604</v>
      </c>
      <c r="K763">
        <v>10034</v>
      </c>
      <c r="L763" t="s">
        <v>3610</v>
      </c>
      <c r="M763" t="s">
        <v>3610</v>
      </c>
      <c r="O763" t="s">
        <v>4211</v>
      </c>
      <c r="P763" t="s">
        <v>4245</v>
      </c>
      <c r="R763" t="s">
        <v>4258</v>
      </c>
      <c r="S763" t="s">
        <v>3611</v>
      </c>
      <c r="U763" t="s">
        <v>4268</v>
      </c>
      <c r="W763" t="s">
        <v>493</v>
      </c>
      <c r="X763">
        <v>1044.25</v>
      </c>
      <c r="Y763" t="s">
        <v>4351</v>
      </c>
      <c r="Z763" t="s">
        <v>4357</v>
      </c>
      <c r="AB763" t="s">
        <v>5005</v>
      </c>
      <c r="AD763" t="s">
        <v>6382</v>
      </c>
      <c r="AE763">
        <v>73</v>
      </c>
      <c r="AF763" t="s">
        <v>7101</v>
      </c>
      <c r="AG763" t="s">
        <v>3745</v>
      </c>
      <c r="AH763">
        <v>43</v>
      </c>
      <c r="AI763">
        <v>2</v>
      </c>
      <c r="AJ763">
        <v>0</v>
      </c>
      <c r="AK763">
        <v>98.56999999999999</v>
      </c>
      <c r="AN763" t="s">
        <v>7139</v>
      </c>
      <c r="AO763">
        <v>16224</v>
      </c>
      <c r="AU763">
        <v>1.6</v>
      </c>
      <c r="AV763" t="s">
        <v>280</v>
      </c>
      <c r="AW763" t="s">
        <v>7342</v>
      </c>
      <c r="AX763" t="s">
        <v>7377</v>
      </c>
    </row>
    <row r="764" spans="1:50">
      <c r="A764" s="1">
        <f>HYPERLINK("https://lsnyc.legalserver.org/matter/dynamic-profile/view/1865021","18-1865021")</f>
        <v>0</v>
      </c>
      <c r="B764" t="s">
        <v>51</v>
      </c>
      <c r="C764" t="s">
        <v>104</v>
      </c>
      <c r="D764" t="s">
        <v>479</v>
      </c>
      <c r="E764" t="s">
        <v>293</v>
      </c>
      <c r="F764" t="s">
        <v>1135</v>
      </c>
      <c r="G764" t="s">
        <v>2002</v>
      </c>
      <c r="H764" t="s">
        <v>2531</v>
      </c>
      <c r="I764" t="s">
        <v>3276</v>
      </c>
      <c r="J764" t="s">
        <v>3604</v>
      </c>
      <c r="K764">
        <v>10035</v>
      </c>
      <c r="L764" t="s">
        <v>3610</v>
      </c>
      <c r="M764" t="s">
        <v>3610</v>
      </c>
      <c r="N764" t="s">
        <v>3889</v>
      </c>
      <c r="O764" t="s">
        <v>4209</v>
      </c>
      <c r="P764" t="s">
        <v>4241</v>
      </c>
      <c r="Q764" t="s">
        <v>4248</v>
      </c>
      <c r="R764" t="s">
        <v>4258</v>
      </c>
      <c r="S764" t="s">
        <v>3611</v>
      </c>
      <c r="U764" t="s">
        <v>4268</v>
      </c>
      <c r="V764" t="s">
        <v>4274</v>
      </c>
      <c r="W764" t="s">
        <v>479</v>
      </c>
      <c r="X764">
        <v>1700</v>
      </c>
      <c r="Y764" t="s">
        <v>4351</v>
      </c>
      <c r="Z764" t="s">
        <v>4357</v>
      </c>
      <c r="AA764" t="s">
        <v>4374</v>
      </c>
      <c r="AB764" t="s">
        <v>5006</v>
      </c>
      <c r="AD764" t="s">
        <v>6383</v>
      </c>
      <c r="AE764">
        <v>35</v>
      </c>
      <c r="AF764" t="s">
        <v>7101</v>
      </c>
      <c r="AG764" t="s">
        <v>3745</v>
      </c>
      <c r="AH764">
        <v>2</v>
      </c>
      <c r="AI764">
        <v>1</v>
      </c>
      <c r="AJ764">
        <v>0</v>
      </c>
      <c r="AK764">
        <v>98.84999999999999</v>
      </c>
      <c r="AN764" t="s">
        <v>7138</v>
      </c>
      <c r="AO764">
        <v>12000</v>
      </c>
      <c r="AU764">
        <v>16.4</v>
      </c>
      <c r="AV764" t="s">
        <v>4309</v>
      </c>
      <c r="AW764" t="s">
        <v>7341</v>
      </c>
    </row>
    <row r="765" spans="1:50">
      <c r="A765" s="1">
        <f>HYPERLINK("https://lsnyc.legalserver.org/matter/dynamic-profile/view/1863847","18-1863847")</f>
        <v>0</v>
      </c>
      <c r="B765" t="s">
        <v>93</v>
      </c>
      <c r="C765" t="s">
        <v>104</v>
      </c>
      <c r="D765" t="s">
        <v>160</v>
      </c>
      <c r="E765" t="s">
        <v>655</v>
      </c>
      <c r="F765" t="s">
        <v>1136</v>
      </c>
      <c r="G765" t="s">
        <v>2003</v>
      </c>
      <c r="H765" t="s">
        <v>2883</v>
      </c>
      <c r="I765">
        <v>1002</v>
      </c>
      <c r="J765" t="s">
        <v>3604</v>
      </c>
      <c r="K765">
        <v>10029</v>
      </c>
      <c r="L765" t="s">
        <v>3610</v>
      </c>
      <c r="M765" t="s">
        <v>3610</v>
      </c>
      <c r="O765" t="s">
        <v>4211</v>
      </c>
      <c r="P765" t="s">
        <v>4245</v>
      </c>
      <c r="Q765" t="s">
        <v>4249</v>
      </c>
      <c r="R765" t="s">
        <v>4258</v>
      </c>
      <c r="S765" t="s">
        <v>3611</v>
      </c>
      <c r="U765" t="s">
        <v>4268</v>
      </c>
      <c r="V765" t="s">
        <v>4274</v>
      </c>
      <c r="W765" t="s">
        <v>634</v>
      </c>
      <c r="X765">
        <v>801</v>
      </c>
      <c r="Y765" t="s">
        <v>4351</v>
      </c>
      <c r="Z765" t="s">
        <v>4354</v>
      </c>
      <c r="AA765" t="s">
        <v>4377</v>
      </c>
      <c r="AB765" t="s">
        <v>5007</v>
      </c>
      <c r="AD765" t="s">
        <v>6384</v>
      </c>
      <c r="AE765">
        <v>90</v>
      </c>
      <c r="AF765" t="s">
        <v>7101</v>
      </c>
      <c r="AG765" t="s">
        <v>3745</v>
      </c>
      <c r="AH765">
        <v>2</v>
      </c>
      <c r="AI765">
        <v>1</v>
      </c>
      <c r="AJ765">
        <v>0</v>
      </c>
      <c r="AK765">
        <v>98.84999999999999</v>
      </c>
      <c r="AN765" t="s">
        <v>7138</v>
      </c>
      <c r="AO765">
        <v>12000</v>
      </c>
      <c r="AP765" t="s">
        <v>7182</v>
      </c>
      <c r="AU765">
        <v>10.7</v>
      </c>
      <c r="AV765" t="s">
        <v>138</v>
      </c>
      <c r="AW765" t="s">
        <v>7351</v>
      </c>
    </row>
    <row r="766" spans="1:50">
      <c r="A766" s="1">
        <f>HYPERLINK("https://lsnyc.legalserver.org/matter/dynamic-profile/view/1863848","18-1863848")</f>
        <v>0</v>
      </c>
      <c r="B766" t="s">
        <v>56</v>
      </c>
      <c r="C766" t="s">
        <v>104</v>
      </c>
      <c r="D766" t="s">
        <v>160</v>
      </c>
      <c r="E766" t="s">
        <v>260</v>
      </c>
      <c r="F766" t="s">
        <v>1137</v>
      </c>
      <c r="G766" t="s">
        <v>2004</v>
      </c>
      <c r="H766" t="s">
        <v>2884</v>
      </c>
      <c r="I766" t="s">
        <v>3453</v>
      </c>
      <c r="J766" t="s">
        <v>3604</v>
      </c>
      <c r="K766">
        <v>10028</v>
      </c>
      <c r="L766" t="s">
        <v>3609</v>
      </c>
      <c r="M766" t="s">
        <v>3609</v>
      </c>
      <c r="O766" t="s">
        <v>4213</v>
      </c>
      <c r="P766" t="s">
        <v>4242</v>
      </c>
      <c r="Q766" t="s">
        <v>4250</v>
      </c>
      <c r="R766" t="s">
        <v>4258</v>
      </c>
      <c r="S766" t="s">
        <v>3611</v>
      </c>
      <c r="U766" t="s">
        <v>4268</v>
      </c>
      <c r="X766">
        <v>0</v>
      </c>
      <c r="Y766" t="s">
        <v>4351</v>
      </c>
      <c r="AA766" t="s">
        <v>4373</v>
      </c>
      <c r="AB766" t="s">
        <v>5008</v>
      </c>
      <c r="AD766" t="s">
        <v>6385</v>
      </c>
      <c r="AE766">
        <v>0</v>
      </c>
      <c r="AF766" t="s">
        <v>7101</v>
      </c>
      <c r="AH766">
        <v>0</v>
      </c>
      <c r="AI766">
        <v>1</v>
      </c>
      <c r="AJ766">
        <v>0</v>
      </c>
      <c r="AK766">
        <v>98.84999999999999</v>
      </c>
      <c r="AN766" t="s">
        <v>7138</v>
      </c>
      <c r="AO766">
        <v>12000</v>
      </c>
      <c r="AU766">
        <v>1</v>
      </c>
      <c r="AV766" t="s">
        <v>160</v>
      </c>
      <c r="AW766" t="s">
        <v>7346</v>
      </c>
    </row>
    <row r="767" spans="1:50">
      <c r="A767" s="1">
        <f>HYPERLINK("https://lsnyc.legalserver.org/matter/dynamic-profile/view/1897745","19-1897745")</f>
        <v>0</v>
      </c>
      <c r="B767" t="s">
        <v>53</v>
      </c>
      <c r="C767" t="s">
        <v>105</v>
      </c>
      <c r="D767" t="s">
        <v>146</v>
      </c>
      <c r="F767" t="s">
        <v>1138</v>
      </c>
      <c r="G767" t="s">
        <v>2005</v>
      </c>
      <c r="H767" t="s">
        <v>2797</v>
      </c>
      <c r="I767" t="s">
        <v>3276</v>
      </c>
      <c r="J767" t="s">
        <v>3604</v>
      </c>
      <c r="K767">
        <v>10035</v>
      </c>
      <c r="L767" t="s">
        <v>3610</v>
      </c>
      <c r="M767" t="s">
        <v>3610</v>
      </c>
      <c r="O767" t="s">
        <v>4211</v>
      </c>
      <c r="P767" t="s">
        <v>4245</v>
      </c>
      <c r="R767" t="s">
        <v>4258</v>
      </c>
      <c r="S767" t="s">
        <v>3610</v>
      </c>
      <c r="U767" t="s">
        <v>4268</v>
      </c>
      <c r="V767" t="s">
        <v>4274</v>
      </c>
      <c r="W767" t="s">
        <v>319</v>
      </c>
      <c r="X767">
        <v>1350</v>
      </c>
      <c r="Y767" t="s">
        <v>4351</v>
      </c>
      <c r="Z767" t="s">
        <v>4361</v>
      </c>
      <c r="AB767" t="s">
        <v>5009</v>
      </c>
      <c r="AD767" t="s">
        <v>6386</v>
      </c>
      <c r="AE767">
        <v>60</v>
      </c>
      <c r="AF767" t="s">
        <v>7101</v>
      </c>
      <c r="AG767" t="s">
        <v>3745</v>
      </c>
      <c r="AH767">
        <v>7</v>
      </c>
      <c r="AI767">
        <v>2</v>
      </c>
      <c r="AJ767">
        <v>4</v>
      </c>
      <c r="AK767">
        <v>98.87</v>
      </c>
      <c r="AN767" t="s">
        <v>7138</v>
      </c>
      <c r="AO767">
        <v>34200</v>
      </c>
      <c r="AU767">
        <v>0</v>
      </c>
      <c r="AW767" t="s">
        <v>7341</v>
      </c>
    </row>
    <row r="768" spans="1:50">
      <c r="A768" s="1">
        <f>HYPERLINK("https://lsnyc.legalserver.org/matter/dynamic-profile/view/1838950","17-1838950")</f>
        <v>0</v>
      </c>
      <c r="B768" t="s">
        <v>64</v>
      </c>
      <c r="C768" t="s">
        <v>104</v>
      </c>
      <c r="D768" t="s">
        <v>497</v>
      </c>
      <c r="E768" t="s">
        <v>561</v>
      </c>
      <c r="F768" t="s">
        <v>1139</v>
      </c>
      <c r="G768" t="s">
        <v>1749</v>
      </c>
      <c r="H768" t="s">
        <v>2885</v>
      </c>
      <c r="I768" t="s">
        <v>3402</v>
      </c>
      <c r="J768" t="s">
        <v>3604</v>
      </c>
      <c r="K768">
        <v>10034</v>
      </c>
      <c r="L768" t="s">
        <v>3610</v>
      </c>
      <c r="M768" t="s">
        <v>3609</v>
      </c>
      <c r="N768" t="s">
        <v>3890</v>
      </c>
      <c r="O768" t="s">
        <v>4209</v>
      </c>
      <c r="P768" t="s">
        <v>4241</v>
      </c>
      <c r="Q768" t="s">
        <v>4248</v>
      </c>
      <c r="R768" t="s">
        <v>4258</v>
      </c>
      <c r="S768" t="s">
        <v>3611</v>
      </c>
      <c r="U768" t="s">
        <v>4268</v>
      </c>
      <c r="W768" t="s">
        <v>228</v>
      </c>
      <c r="X768">
        <v>1216</v>
      </c>
      <c r="Y768" t="s">
        <v>4351</v>
      </c>
      <c r="Z768" t="s">
        <v>4354</v>
      </c>
      <c r="AA768" t="s">
        <v>4374</v>
      </c>
      <c r="AB768" t="s">
        <v>5010</v>
      </c>
      <c r="AD768" t="s">
        <v>6387</v>
      </c>
      <c r="AE768">
        <v>100</v>
      </c>
      <c r="AF768" t="s">
        <v>7110</v>
      </c>
      <c r="AG768" t="s">
        <v>7116</v>
      </c>
      <c r="AH768">
        <v>10</v>
      </c>
      <c r="AI768">
        <v>1</v>
      </c>
      <c r="AJ768">
        <v>0</v>
      </c>
      <c r="AK768">
        <v>99.17</v>
      </c>
      <c r="AN768" t="s">
        <v>7138</v>
      </c>
      <c r="AO768">
        <v>11960</v>
      </c>
      <c r="AU768">
        <v>19.5</v>
      </c>
      <c r="AV768" t="s">
        <v>263</v>
      </c>
      <c r="AW768" t="s">
        <v>7345</v>
      </c>
    </row>
    <row r="769" spans="1:50">
      <c r="A769" s="1">
        <f>HYPERLINK("https://lsnyc.legalserver.org/matter/dynamic-profile/view/1889914","19-1889914")</f>
        <v>0</v>
      </c>
      <c r="B769" t="s">
        <v>56</v>
      </c>
      <c r="C769" t="s">
        <v>104</v>
      </c>
      <c r="D769" t="s">
        <v>299</v>
      </c>
      <c r="E769" t="s">
        <v>612</v>
      </c>
      <c r="F769" t="s">
        <v>1140</v>
      </c>
      <c r="G769" t="s">
        <v>2006</v>
      </c>
      <c r="H769" t="s">
        <v>2886</v>
      </c>
      <c r="I769" t="s">
        <v>3338</v>
      </c>
      <c r="J769" t="s">
        <v>3604</v>
      </c>
      <c r="K769">
        <v>10034</v>
      </c>
      <c r="L769" t="s">
        <v>3610</v>
      </c>
      <c r="M769" t="s">
        <v>3610</v>
      </c>
      <c r="O769" t="s">
        <v>4219</v>
      </c>
      <c r="P769" t="s">
        <v>4241</v>
      </c>
      <c r="Q769" t="s">
        <v>4248</v>
      </c>
      <c r="R769" t="s">
        <v>4258</v>
      </c>
      <c r="S769" t="s">
        <v>3611</v>
      </c>
      <c r="U769" t="s">
        <v>4268</v>
      </c>
      <c r="W769" t="s">
        <v>299</v>
      </c>
      <c r="X769">
        <v>792.86</v>
      </c>
      <c r="Y769" t="s">
        <v>4351</v>
      </c>
      <c r="Z769" t="s">
        <v>4354</v>
      </c>
      <c r="AA769" t="s">
        <v>4374</v>
      </c>
      <c r="AB769" t="s">
        <v>5011</v>
      </c>
      <c r="AD769" t="s">
        <v>6388</v>
      </c>
      <c r="AE769">
        <v>31</v>
      </c>
      <c r="AF769" t="s">
        <v>7101</v>
      </c>
      <c r="AG769" t="s">
        <v>3745</v>
      </c>
      <c r="AH769">
        <v>35</v>
      </c>
      <c r="AI769">
        <v>3</v>
      </c>
      <c r="AJ769">
        <v>2</v>
      </c>
      <c r="AK769">
        <v>99.44</v>
      </c>
      <c r="AN769" t="s">
        <v>7139</v>
      </c>
      <c r="AO769">
        <v>30000</v>
      </c>
      <c r="AU769">
        <v>37.5</v>
      </c>
      <c r="AV769" t="s">
        <v>424</v>
      </c>
      <c r="AW769" t="s">
        <v>7342</v>
      </c>
      <c r="AX769" t="s">
        <v>7377</v>
      </c>
    </row>
    <row r="770" spans="1:50">
      <c r="A770" s="1">
        <f>HYPERLINK("https://lsnyc.legalserver.org/matter/dynamic-profile/view/1840080","17-1840080")</f>
        <v>0</v>
      </c>
      <c r="B770" t="s">
        <v>53</v>
      </c>
      <c r="C770" t="s">
        <v>104</v>
      </c>
      <c r="D770" t="s">
        <v>498</v>
      </c>
      <c r="E770" t="s">
        <v>488</v>
      </c>
      <c r="F770" t="s">
        <v>1141</v>
      </c>
      <c r="G770" t="s">
        <v>1922</v>
      </c>
      <c r="H770" t="s">
        <v>2833</v>
      </c>
      <c r="I770">
        <v>66</v>
      </c>
      <c r="J770" t="s">
        <v>3604</v>
      </c>
      <c r="K770">
        <v>10040</v>
      </c>
      <c r="L770" t="s">
        <v>3610</v>
      </c>
      <c r="M770" t="s">
        <v>3610</v>
      </c>
      <c r="N770" t="s">
        <v>3883</v>
      </c>
      <c r="O770" t="s">
        <v>4213</v>
      </c>
      <c r="P770" t="s">
        <v>4241</v>
      </c>
      <c r="Q770" t="s">
        <v>4248</v>
      </c>
      <c r="R770" t="s">
        <v>4258</v>
      </c>
      <c r="S770" t="s">
        <v>3610</v>
      </c>
      <c r="U770" t="s">
        <v>4268</v>
      </c>
      <c r="V770" t="s">
        <v>4274</v>
      </c>
      <c r="W770" t="s">
        <v>428</v>
      </c>
      <c r="X770">
        <v>2454.61</v>
      </c>
      <c r="Y770" t="s">
        <v>4351</v>
      </c>
      <c r="Z770" t="s">
        <v>4352</v>
      </c>
      <c r="AA770" t="s">
        <v>4379</v>
      </c>
      <c r="AB770" t="s">
        <v>5012</v>
      </c>
      <c r="AD770" t="s">
        <v>6389</v>
      </c>
      <c r="AE770">
        <v>45</v>
      </c>
      <c r="AF770" t="s">
        <v>7101</v>
      </c>
      <c r="AG770" t="s">
        <v>3745</v>
      </c>
      <c r="AH770">
        <v>3</v>
      </c>
      <c r="AI770">
        <v>1</v>
      </c>
      <c r="AJ770">
        <v>0</v>
      </c>
      <c r="AK770">
        <v>99.5</v>
      </c>
      <c r="AL770" t="s">
        <v>183</v>
      </c>
      <c r="AN770" t="s">
        <v>7138</v>
      </c>
      <c r="AO770">
        <v>12000</v>
      </c>
      <c r="AQ770" t="s">
        <v>7197</v>
      </c>
      <c r="AR770" t="s">
        <v>7220</v>
      </c>
      <c r="AS770" t="s">
        <v>7231</v>
      </c>
      <c r="AT770" t="s">
        <v>7260</v>
      </c>
      <c r="AU770">
        <v>2.9</v>
      </c>
      <c r="AV770" t="s">
        <v>488</v>
      </c>
      <c r="AW770" t="s">
        <v>7342</v>
      </c>
    </row>
    <row r="771" spans="1:50">
      <c r="A771" s="1">
        <f>HYPERLINK("https://lsnyc.legalserver.org/matter/dynamic-profile/view/1834462","17-1834462")</f>
        <v>0</v>
      </c>
      <c r="B771" t="s">
        <v>55</v>
      </c>
      <c r="C771" t="s">
        <v>104</v>
      </c>
      <c r="D771" t="s">
        <v>246</v>
      </c>
      <c r="E771" t="s">
        <v>329</v>
      </c>
      <c r="F771" t="s">
        <v>1135</v>
      </c>
      <c r="G771" t="s">
        <v>2002</v>
      </c>
      <c r="H771" t="s">
        <v>2531</v>
      </c>
      <c r="I771" t="s">
        <v>3276</v>
      </c>
      <c r="J771" t="s">
        <v>3604</v>
      </c>
      <c r="K771">
        <v>10035</v>
      </c>
      <c r="L771" t="s">
        <v>3610</v>
      </c>
      <c r="M771" t="s">
        <v>3610</v>
      </c>
      <c r="O771" t="s">
        <v>4211</v>
      </c>
      <c r="P771" t="s">
        <v>4244</v>
      </c>
      <c r="Q771" t="s">
        <v>4251</v>
      </c>
      <c r="R771" t="s">
        <v>4258</v>
      </c>
      <c r="S771" t="s">
        <v>3611</v>
      </c>
      <c r="T771" t="s">
        <v>4259</v>
      </c>
      <c r="U771" t="s">
        <v>4268</v>
      </c>
      <c r="V771" t="s">
        <v>4274</v>
      </c>
      <c r="W771" t="s">
        <v>246</v>
      </c>
      <c r="X771">
        <v>1700</v>
      </c>
      <c r="Y771" t="s">
        <v>4351</v>
      </c>
      <c r="Z771" t="s">
        <v>4354</v>
      </c>
      <c r="AA771" t="s">
        <v>4377</v>
      </c>
      <c r="AB771" t="s">
        <v>5006</v>
      </c>
      <c r="AD771" t="s">
        <v>6383</v>
      </c>
      <c r="AE771">
        <v>35</v>
      </c>
      <c r="AF771" t="s">
        <v>7101</v>
      </c>
      <c r="AG771" t="s">
        <v>3745</v>
      </c>
      <c r="AH771">
        <v>1</v>
      </c>
      <c r="AI771">
        <v>1</v>
      </c>
      <c r="AJ771">
        <v>0</v>
      </c>
      <c r="AK771">
        <v>99.5</v>
      </c>
      <c r="AN771" t="s">
        <v>7138</v>
      </c>
      <c r="AO771">
        <v>12000</v>
      </c>
      <c r="AU771">
        <v>6.6</v>
      </c>
      <c r="AV771" t="s">
        <v>7320</v>
      </c>
      <c r="AW771" t="s">
        <v>7341</v>
      </c>
    </row>
    <row r="772" spans="1:50">
      <c r="A772" s="1">
        <f>HYPERLINK("https://lsnyc.legalserver.org/matter/dynamic-profile/view/1834512","17-1834512")</f>
        <v>0</v>
      </c>
      <c r="B772" t="s">
        <v>63</v>
      </c>
      <c r="C772" t="s">
        <v>105</v>
      </c>
      <c r="D772" t="s">
        <v>246</v>
      </c>
      <c r="F772" t="s">
        <v>977</v>
      </c>
      <c r="G772" t="s">
        <v>1977</v>
      </c>
      <c r="H772" t="s">
        <v>2860</v>
      </c>
      <c r="I772" t="s">
        <v>3311</v>
      </c>
      <c r="J772" t="s">
        <v>3604</v>
      </c>
      <c r="K772">
        <v>10034</v>
      </c>
      <c r="L772" t="s">
        <v>3610</v>
      </c>
      <c r="M772" t="s">
        <v>3609</v>
      </c>
      <c r="O772" t="s">
        <v>4211</v>
      </c>
      <c r="P772" t="s">
        <v>4244</v>
      </c>
      <c r="R772" t="s">
        <v>4258</v>
      </c>
      <c r="S772" t="s">
        <v>3611</v>
      </c>
      <c r="U772" t="s">
        <v>4268</v>
      </c>
      <c r="W772" t="s">
        <v>4282</v>
      </c>
      <c r="X772">
        <v>900</v>
      </c>
      <c r="Y772" t="s">
        <v>4351</v>
      </c>
      <c r="Z772" t="s">
        <v>4357</v>
      </c>
      <c r="AB772" t="s">
        <v>4960</v>
      </c>
      <c r="AD772" t="s">
        <v>6337</v>
      </c>
      <c r="AE772">
        <v>48</v>
      </c>
      <c r="AF772" t="s">
        <v>7101</v>
      </c>
      <c r="AG772" t="s">
        <v>7118</v>
      </c>
      <c r="AH772">
        <v>0</v>
      </c>
      <c r="AI772">
        <v>1</v>
      </c>
      <c r="AJ772">
        <v>0</v>
      </c>
      <c r="AK772">
        <v>99.5</v>
      </c>
      <c r="AN772" t="s">
        <v>7138</v>
      </c>
      <c r="AO772">
        <v>12000</v>
      </c>
      <c r="AU772">
        <v>80</v>
      </c>
      <c r="AV772" t="s">
        <v>7310</v>
      </c>
      <c r="AW772" t="s">
        <v>7341</v>
      </c>
    </row>
    <row r="773" spans="1:50">
      <c r="A773" s="1">
        <f>HYPERLINK("https://lsnyc.legalserver.org/matter/dynamic-profile/view/1841984","17-1841984")</f>
        <v>0</v>
      </c>
      <c r="B773" t="s">
        <v>72</v>
      </c>
      <c r="C773" t="s">
        <v>105</v>
      </c>
      <c r="D773" t="s">
        <v>312</v>
      </c>
      <c r="F773" t="s">
        <v>738</v>
      </c>
      <c r="G773" t="s">
        <v>1785</v>
      </c>
      <c r="H773" t="s">
        <v>2571</v>
      </c>
      <c r="I773" t="s">
        <v>3454</v>
      </c>
      <c r="J773" t="s">
        <v>3604</v>
      </c>
      <c r="K773">
        <v>10029</v>
      </c>
      <c r="L773" t="s">
        <v>3610</v>
      </c>
      <c r="M773" t="s">
        <v>3609</v>
      </c>
      <c r="O773" t="s">
        <v>4211</v>
      </c>
      <c r="P773" t="s">
        <v>4245</v>
      </c>
      <c r="R773" t="s">
        <v>4258</v>
      </c>
      <c r="S773" t="s">
        <v>3610</v>
      </c>
      <c r="U773" t="s">
        <v>4268</v>
      </c>
      <c r="W773" t="s">
        <v>133</v>
      </c>
      <c r="X773">
        <v>1097</v>
      </c>
      <c r="Y773" t="s">
        <v>4351</v>
      </c>
      <c r="Z773" t="s">
        <v>4354</v>
      </c>
      <c r="AB773" t="s">
        <v>5013</v>
      </c>
      <c r="AD773" t="s">
        <v>6390</v>
      </c>
      <c r="AE773">
        <v>13</v>
      </c>
      <c r="AF773" t="s">
        <v>7101</v>
      </c>
      <c r="AG773" t="s">
        <v>3745</v>
      </c>
      <c r="AH773">
        <v>27</v>
      </c>
      <c r="AI773">
        <v>1</v>
      </c>
      <c r="AJ773">
        <v>0</v>
      </c>
      <c r="AK773">
        <v>99.5</v>
      </c>
      <c r="AN773" t="s">
        <v>7138</v>
      </c>
      <c r="AO773">
        <v>12000</v>
      </c>
      <c r="AU773">
        <v>20.3</v>
      </c>
      <c r="AV773" t="s">
        <v>302</v>
      </c>
      <c r="AW773" t="s">
        <v>7341</v>
      </c>
    </row>
    <row r="774" spans="1:50">
      <c r="A774" s="1">
        <f>HYPERLINK("https://lsnyc.legalserver.org/matter/dynamic-profile/view/1862289","18-1862289")</f>
        <v>0</v>
      </c>
      <c r="B774" t="s">
        <v>53</v>
      </c>
      <c r="C774" t="s">
        <v>105</v>
      </c>
      <c r="D774" t="s">
        <v>495</v>
      </c>
      <c r="F774" t="s">
        <v>843</v>
      </c>
      <c r="G774" t="s">
        <v>2007</v>
      </c>
      <c r="H774" t="s">
        <v>2471</v>
      </c>
      <c r="I774" t="s">
        <v>3341</v>
      </c>
      <c r="J774" t="s">
        <v>3604</v>
      </c>
      <c r="K774">
        <v>10034</v>
      </c>
      <c r="L774" t="s">
        <v>3610</v>
      </c>
      <c r="M774" t="s">
        <v>3609</v>
      </c>
      <c r="N774" t="s">
        <v>3772</v>
      </c>
      <c r="O774" t="s">
        <v>4213</v>
      </c>
      <c r="P774" t="s">
        <v>4241</v>
      </c>
      <c r="R774" t="s">
        <v>4258</v>
      </c>
      <c r="S774" t="s">
        <v>3610</v>
      </c>
      <c r="U774" t="s">
        <v>4268</v>
      </c>
      <c r="W774" t="s">
        <v>495</v>
      </c>
      <c r="X774">
        <v>758</v>
      </c>
      <c r="Y774" t="s">
        <v>4351</v>
      </c>
      <c r="Z774" t="s">
        <v>4354</v>
      </c>
      <c r="AB774" t="s">
        <v>5014</v>
      </c>
      <c r="AD774" t="s">
        <v>6391</v>
      </c>
      <c r="AE774">
        <v>60</v>
      </c>
      <c r="AF774" t="s">
        <v>7101</v>
      </c>
      <c r="AG774" t="s">
        <v>3745</v>
      </c>
      <c r="AH774">
        <v>25</v>
      </c>
      <c r="AI774">
        <v>3</v>
      </c>
      <c r="AJ774">
        <v>1</v>
      </c>
      <c r="AK774">
        <v>99.59999999999999</v>
      </c>
      <c r="AN774" t="s">
        <v>7139</v>
      </c>
      <c r="AO774">
        <v>25000</v>
      </c>
      <c r="AU774">
        <v>7.5</v>
      </c>
      <c r="AV774" t="s">
        <v>413</v>
      </c>
      <c r="AW774" t="s">
        <v>7342</v>
      </c>
    </row>
    <row r="775" spans="1:50">
      <c r="A775" s="1">
        <f>HYPERLINK("https://lsnyc.legalserver.org/matter/dynamic-profile/view/1862256","18-1862256")</f>
        <v>0</v>
      </c>
      <c r="B775" t="s">
        <v>61</v>
      </c>
      <c r="C775" t="s">
        <v>105</v>
      </c>
      <c r="D775" t="s">
        <v>250</v>
      </c>
      <c r="F775" t="s">
        <v>1142</v>
      </c>
      <c r="G775" t="s">
        <v>2008</v>
      </c>
      <c r="H775" t="s">
        <v>2537</v>
      </c>
      <c r="I775">
        <v>42</v>
      </c>
      <c r="J775" t="s">
        <v>3604</v>
      </c>
      <c r="K775">
        <v>10034</v>
      </c>
      <c r="L775" t="s">
        <v>3610</v>
      </c>
      <c r="M775" t="s">
        <v>3609</v>
      </c>
      <c r="N775" t="s">
        <v>3891</v>
      </c>
      <c r="O775" t="s">
        <v>4209</v>
      </c>
      <c r="P775" t="s">
        <v>4241</v>
      </c>
      <c r="R775" t="s">
        <v>4258</v>
      </c>
      <c r="S775" t="s">
        <v>3611</v>
      </c>
      <c r="U775" t="s">
        <v>4268</v>
      </c>
      <c r="W775" t="s">
        <v>151</v>
      </c>
      <c r="X775">
        <v>1400</v>
      </c>
      <c r="Y775" t="s">
        <v>4351</v>
      </c>
      <c r="Z775" t="s">
        <v>4363</v>
      </c>
      <c r="AB775" t="s">
        <v>5015</v>
      </c>
      <c r="AD775" t="s">
        <v>6392</v>
      </c>
      <c r="AE775">
        <v>130</v>
      </c>
      <c r="AF775" t="s">
        <v>7101</v>
      </c>
      <c r="AG775" t="s">
        <v>3745</v>
      </c>
      <c r="AH775">
        <v>10</v>
      </c>
      <c r="AI775">
        <v>3</v>
      </c>
      <c r="AJ775">
        <v>1</v>
      </c>
      <c r="AK775">
        <v>99.59999999999999</v>
      </c>
      <c r="AN775" t="s">
        <v>7139</v>
      </c>
      <c r="AO775">
        <v>25000</v>
      </c>
      <c r="AU775">
        <v>109.9</v>
      </c>
      <c r="AV775" t="s">
        <v>424</v>
      </c>
      <c r="AW775" t="s">
        <v>7353</v>
      </c>
    </row>
    <row r="776" spans="1:50">
      <c r="A776" s="1">
        <f>HYPERLINK("https://lsnyc.legalserver.org/matter/dynamic-profile/view/1866918","18-1866918")</f>
        <v>0</v>
      </c>
      <c r="B776" t="s">
        <v>56</v>
      </c>
      <c r="C776" t="s">
        <v>104</v>
      </c>
      <c r="D776" t="s">
        <v>499</v>
      </c>
      <c r="E776" t="s">
        <v>669</v>
      </c>
      <c r="F776" t="s">
        <v>843</v>
      </c>
      <c r="G776" t="s">
        <v>2007</v>
      </c>
      <c r="H776" t="s">
        <v>2471</v>
      </c>
      <c r="I776" t="s">
        <v>3341</v>
      </c>
      <c r="J776" t="s">
        <v>3604</v>
      </c>
      <c r="K776">
        <v>10034</v>
      </c>
      <c r="L776" t="s">
        <v>3610</v>
      </c>
      <c r="M776" t="s">
        <v>3610</v>
      </c>
      <c r="O776" t="s">
        <v>4209</v>
      </c>
      <c r="P776" t="s">
        <v>4241</v>
      </c>
      <c r="Q776" t="s">
        <v>4248</v>
      </c>
      <c r="R776" t="s">
        <v>4258</v>
      </c>
      <c r="S776" t="s">
        <v>3611</v>
      </c>
      <c r="U776" t="s">
        <v>4268</v>
      </c>
      <c r="W776" t="s">
        <v>499</v>
      </c>
      <c r="X776">
        <v>758</v>
      </c>
      <c r="Y776" t="s">
        <v>4351</v>
      </c>
      <c r="Z776" t="s">
        <v>4357</v>
      </c>
      <c r="AA776" t="s">
        <v>4374</v>
      </c>
      <c r="AB776" t="s">
        <v>5014</v>
      </c>
      <c r="AD776" t="s">
        <v>6391</v>
      </c>
      <c r="AE776">
        <v>60</v>
      </c>
      <c r="AF776" t="s">
        <v>7101</v>
      </c>
      <c r="AG776" t="s">
        <v>3745</v>
      </c>
      <c r="AH776">
        <v>25</v>
      </c>
      <c r="AI776">
        <v>3</v>
      </c>
      <c r="AJ776">
        <v>1</v>
      </c>
      <c r="AK776">
        <v>99.59999999999999</v>
      </c>
      <c r="AN776" t="s">
        <v>7139</v>
      </c>
      <c r="AO776">
        <v>25000</v>
      </c>
      <c r="AU776">
        <v>6.5</v>
      </c>
      <c r="AV776" t="s">
        <v>435</v>
      </c>
      <c r="AW776" t="s">
        <v>7342</v>
      </c>
    </row>
    <row r="777" spans="1:50">
      <c r="A777" s="1">
        <f>HYPERLINK("https://lsnyc.legalserver.org/matter/dynamic-profile/view/1841921","17-1841921")</f>
        <v>0</v>
      </c>
      <c r="B777" t="s">
        <v>64</v>
      </c>
      <c r="C777" t="s">
        <v>104</v>
      </c>
      <c r="D777" t="s">
        <v>312</v>
      </c>
      <c r="E777" t="s">
        <v>280</v>
      </c>
      <c r="F777" t="s">
        <v>1143</v>
      </c>
      <c r="G777" t="s">
        <v>1594</v>
      </c>
      <c r="H777" t="s">
        <v>2828</v>
      </c>
      <c r="I777" t="s">
        <v>3455</v>
      </c>
      <c r="J777" t="s">
        <v>3604</v>
      </c>
      <c r="K777">
        <v>10034</v>
      </c>
      <c r="L777" t="s">
        <v>3610</v>
      </c>
      <c r="M777" t="s">
        <v>3610</v>
      </c>
      <c r="O777" t="s">
        <v>4213</v>
      </c>
      <c r="P777" t="s">
        <v>4244</v>
      </c>
      <c r="Q777" t="s">
        <v>4254</v>
      </c>
      <c r="R777" t="s">
        <v>4258</v>
      </c>
      <c r="S777" t="s">
        <v>3610</v>
      </c>
      <c r="U777" t="s">
        <v>4268</v>
      </c>
      <c r="W777" t="s">
        <v>133</v>
      </c>
      <c r="X777">
        <v>1221.27</v>
      </c>
      <c r="Y777" t="s">
        <v>4351</v>
      </c>
      <c r="Z777" t="s">
        <v>4354</v>
      </c>
      <c r="AA777" t="s">
        <v>4377</v>
      </c>
      <c r="AB777" t="s">
        <v>5016</v>
      </c>
      <c r="AD777" t="s">
        <v>6393</v>
      </c>
      <c r="AE777">
        <v>65</v>
      </c>
      <c r="AF777" t="s">
        <v>7101</v>
      </c>
      <c r="AG777" t="s">
        <v>3745</v>
      </c>
      <c r="AH777">
        <v>23</v>
      </c>
      <c r="AI777">
        <v>1</v>
      </c>
      <c r="AJ777">
        <v>6</v>
      </c>
      <c r="AK777">
        <v>99.62</v>
      </c>
      <c r="AN777" t="s">
        <v>7139</v>
      </c>
      <c r="AO777">
        <v>37000</v>
      </c>
      <c r="AU777">
        <v>0.1</v>
      </c>
      <c r="AV777" t="s">
        <v>280</v>
      </c>
      <c r="AW777" t="s">
        <v>7342</v>
      </c>
    </row>
    <row r="778" spans="1:50">
      <c r="A778" s="1">
        <f>HYPERLINK("https://lsnyc.legalserver.org/matter/dynamic-profile/view/1901495","19-1901495")</f>
        <v>0</v>
      </c>
      <c r="B778" t="s">
        <v>60</v>
      </c>
      <c r="C778" t="s">
        <v>105</v>
      </c>
      <c r="D778" t="s">
        <v>371</v>
      </c>
      <c r="F778" t="s">
        <v>1144</v>
      </c>
      <c r="G778" t="s">
        <v>2009</v>
      </c>
      <c r="H778" t="s">
        <v>2887</v>
      </c>
      <c r="I778">
        <v>31</v>
      </c>
      <c r="J778" t="s">
        <v>3604</v>
      </c>
      <c r="K778">
        <v>10033</v>
      </c>
      <c r="L778" t="s">
        <v>3610</v>
      </c>
      <c r="M778" t="s">
        <v>3609</v>
      </c>
      <c r="O778" t="s">
        <v>4219</v>
      </c>
      <c r="P778" t="s">
        <v>4241</v>
      </c>
      <c r="R778" t="s">
        <v>4258</v>
      </c>
      <c r="S778" t="s">
        <v>3611</v>
      </c>
      <c r="U778" t="s">
        <v>4268</v>
      </c>
      <c r="W778" t="s">
        <v>371</v>
      </c>
      <c r="X778">
        <v>1251.22</v>
      </c>
      <c r="Y778" t="s">
        <v>4351</v>
      </c>
      <c r="Z778" t="s">
        <v>4354</v>
      </c>
      <c r="AB778" t="s">
        <v>5017</v>
      </c>
      <c r="AD778" t="s">
        <v>6394</v>
      </c>
      <c r="AE778">
        <v>20</v>
      </c>
      <c r="AF778" t="s">
        <v>7101</v>
      </c>
      <c r="AG778" t="s">
        <v>7118</v>
      </c>
      <c r="AH778">
        <v>19</v>
      </c>
      <c r="AI778">
        <v>1</v>
      </c>
      <c r="AJ778">
        <v>0</v>
      </c>
      <c r="AK778">
        <v>99.70999999999999</v>
      </c>
      <c r="AN778" t="s">
        <v>7139</v>
      </c>
      <c r="AO778">
        <v>12454</v>
      </c>
      <c r="AU778">
        <v>2.3</v>
      </c>
      <c r="AV778" t="s">
        <v>131</v>
      </c>
      <c r="AW778" t="s">
        <v>7342</v>
      </c>
      <c r="AX778" t="s">
        <v>7377</v>
      </c>
    </row>
    <row r="779" spans="1:50">
      <c r="A779" s="1">
        <f>HYPERLINK("https://lsnyc.legalserver.org/matter/dynamic-profile/view/1868674","18-1868674")</f>
        <v>0</v>
      </c>
      <c r="B779" t="s">
        <v>53</v>
      </c>
      <c r="C779" t="s">
        <v>105</v>
      </c>
      <c r="D779" t="s">
        <v>461</v>
      </c>
      <c r="F779" t="s">
        <v>1145</v>
      </c>
      <c r="G779" t="s">
        <v>2010</v>
      </c>
      <c r="H779" t="s">
        <v>2888</v>
      </c>
      <c r="I779" t="s">
        <v>3456</v>
      </c>
      <c r="J779" t="s">
        <v>3604</v>
      </c>
      <c r="K779">
        <v>10029</v>
      </c>
      <c r="L779" t="s">
        <v>3610</v>
      </c>
      <c r="M779" t="s">
        <v>3609</v>
      </c>
      <c r="O779" t="s">
        <v>4211</v>
      </c>
      <c r="P779" t="s">
        <v>4243</v>
      </c>
      <c r="R779" t="s">
        <v>4258</v>
      </c>
      <c r="S779" t="s">
        <v>3611</v>
      </c>
      <c r="U779" t="s">
        <v>4268</v>
      </c>
      <c r="W779" t="s">
        <v>461</v>
      </c>
      <c r="X779">
        <v>1127</v>
      </c>
      <c r="Y779" t="s">
        <v>4351</v>
      </c>
      <c r="Z779" t="s">
        <v>4354</v>
      </c>
      <c r="AB779" t="s">
        <v>5018</v>
      </c>
      <c r="AD779" t="s">
        <v>6395</v>
      </c>
      <c r="AE779">
        <v>115</v>
      </c>
      <c r="AF779" t="s">
        <v>7102</v>
      </c>
      <c r="AG779" t="s">
        <v>7116</v>
      </c>
      <c r="AH779">
        <v>48</v>
      </c>
      <c r="AI779">
        <v>2</v>
      </c>
      <c r="AJ779">
        <v>0</v>
      </c>
      <c r="AK779">
        <v>99.73</v>
      </c>
      <c r="AN779" t="s">
        <v>7139</v>
      </c>
      <c r="AO779">
        <v>16416</v>
      </c>
      <c r="AU779">
        <v>26.95</v>
      </c>
      <c r="AV779" t="s">
        <v>303</v>
      </c>
      <c r="AW779" t="s">
        <v>7341</v>
      </c>
    </row>
    <row r="780" spans="1:50">
      <c r="A780" s="1">
        <f>HYPERLINK("https://lsnyc.legalserver.org/matter/dynamic-profile/view/0830856","17-0830856")</f>
        <v>0</v>
      </c>
      <c r="B780" t="s">
        <v>64</v>
      </c>
      <c r="C780" t="s">
        <v>104</v>
      </c>
      <c r="D780" t="s">
        <v>243</v>
      </c>
      <c r="E780" t="s">
        <v>664</v>
      </c>
      <c r="F780" t="s">
        <v>1021</v>
      </c>
      <c r="G780" t="s">
        <v>1599</v>
      </c>
      <c r="H780" t="s">
        <v>2681</v>
      </c>
      <c r="I780">
        <v>4</v>
      </c>
      <c r="J780" t="s">
        <v>3604</v>
      </c>
      <c r="K780">
        <v>10032</v>
      </c>
      <c r="L780" t="s">
        <v>3609</v>
      </c>
      <c r="M780" t="s">
        <v>3609</v>
      </c>
      <c r="N780" t="s">
        <v>3741</v>
      </c>
      <c r="O780" t="s">
        <v>4213</v>
      </c>
      <c r="P780" t="s">
        <v>4241</v>
      </c>
      <c r="Q780" t="s">
        <v>4248</v>
      </c>
      <c r="R780" t="s">
        <v>4258</v>
      </c>
      <c r="S780" t="s">
        <v>3610</v>
      </c>
      <c r="U780" t="s">
        <v>4268</v>
      </c>
      <c r="W780" t="s">
        <v>238</v>
      </c>
      <c r="X780">
        <v>809.53</v>
      </c>
      <c r="Y780" t="s">
        <v>4351</v>
      </c>
      <c r="Z780" t="s">
        <v>4352</v>
      </c>
      <c r="AA780" t="s">
        <v>4379</v>
      </c>
      <c r="AB780" t="s">
        <v>5019</v>
      </c>
      <c r="AD780" t="s">
        <v>6396</v>
      </c>
      <c r="AE780">
        <v>44</v>
      </c>
      <c r="AF780" t="s">
        <v>7101</v>
      </c>
      <c r="AG780" t="s">
        <v>3745</v>
      </c>
      <c r="AH780">
        <v>21</v>
      </c>
      <c r="AI780">
        <v>1</v>
      </c>
      <c r="AJ780">
        <v>0</v>
      </c>
      <c r="AK780">
        <v>99.8</v>
      </c>
      <c r="AL780" t="s">
        <v>4319</v>
      </c>
      <c r="AN780" t="s">
        <v>7139</v>
      </c>
      <c r="AO780">
        <v>12036</v>
      </c>
      <c r="AU780">
        <v>6</v>
      </c>
      <c r="AV780" t="s">
        <v>4340</v>
      </c>
      <c r="AW780" t="s">
        <v>7341</v>
      </c>
    </row>
    <row r="781" spans="1:50">
      <c r="A781" s="1">
        <f>HYPERLINK("https://lsnyc.legalserver.org/matter/dynamic-profile/view/0830859","17-0830859")</f>
        <v>0</v>
      </c>
      <c r="B781" t="s">
        <v>64</v>
      </c>
      <c r="C781" t="s">
        <v>104</v>
      </c>
      <c r="D781" t="s">
        <v>243</v>
      </c>
      <c r="E781" t="s">
        <v>664</v>
      </c>
      <c r="F781" t="s">
        <v>1021</v>
      </c>
      <c r="G781" t="s">
        <v>1599</v>
      </c>
      <c r="H781" t="s">
        <v>2681</v>
      </c>
      <c r="I781">
        <v>4</v>
      </c>
      <c r="J781" t="s">
        <v>3604</v>
      </c>
      <c r="K781">
        <v>10032</v>
      </c>
      <c r="L781" t="s">
        <v>3609</v>
      </c>
      <c r="M781" t="s">
        <v>3609</v>
      </c>
      <c r="O781" t="s">
        <v>4211</v>
      </c>
      <c r="P781" t="s">
        <v>4244</v>
      </c>
      <c r="Q781" t="s">
        <v>4254</v>
      </c>
      <c r="R781" t="s">
        <v>4258</v>
      </c>
      <c r="S781" t="s">
        <v>3610</v>
      </c>
      <c r="U781" t="s">
        <v>4268</v>
      </c>
      <c r="W781" t="s">
        <v>238</v>
      </c>
      <c r="X781">
        <v>809.53</v>
      </c>
      <c r="Y781" t="s">
        <v>4351</v>
      </c>
      <c r="Z781" t="s">
        <v>4352</v>
      </c>
      <c r="AA781" t="s">
        <v>4377</v>
      </c>
      <c r="AB781" t="s">
        <v>5019</v>
      </c>
      <c r="AD781" t="s">
        <v>6396</v>
      </c>
      <c r="AE781">
        <v>44</v>
      </c>
      <c r="AF781" t="s">
        <v>7101</v>
      </c>
      <c r="AG781" t="s">
        <v>3745</v>
      </c>
      <c r="AH781">
        <v>21</v>
      </c>
      <c r="AI781">
        <v>1</v>
      </c>
      <c r="AJ781">
        <v>0</v>
      </c>
      <c r="AK781">
        <v>99.8</v>
      </c>
      <c r="AL781" t="s">
        <v>4319</v>
      </c>
      <c r="AN781" t="s">
        <v>7139</v>
      </c>
      <c r="AO781">
        <v>12036</v>
      </c>
      <c r="AU781">
        <v>0.1</v>
      </c>
      <c r="AV781" t="s">
        <v>4339</v>
      </c>
      <c r="AW781" t="s">
        <v>7341</v>
      </c>
    </row>
    <row r="782" spans="1:50">
      <c r="A782" s="1">
        <f>HYPERLINK("https://lsnyc.legalserver.org/matter/dynamic-profile/view/1860743","18-1860743")</f>
        <v>0</v>
      </c>
      <c r="B782" t="s">
        <v>61</v>
      </c>
      <c r="C782" t="s">
        <v>105</v>
      </c>
      <c r="D782" t="s">
        <v>127</v>
      </c>
      <c r="F782" t="s">
        <v>1146</v>
      </c>
      <c r="G782" t="s">
        <v>1771</v>
      </c>
      <c r="H782" t="s">
        <v>2889</v>
      </c>
      <c r="I782" t="s">
        <v>3318</v>
      </c>
      <c r="J782" t="s">
        <v>3604</v>
      </c>
      <c r="K782">
        <v>10040</v>
      </c>
      <c r="L782" t="s">
        <v>3610</v>
      </c>
      <c r="M782" t="s">
        <v>3609</v>
      </c>
      <c r="O782" t="s">
        <v>4209</v>
      </c>
      <c r="P782" t="s">
        <v>4246</v>
      </c>
      <c r="R782" t="s">
        <v>4258</v>
      </c>
      <c r="S782" t="s">
        <v>3611</v>
      </c>
      <c r="U782" t="s">
        <v>4268</v>
      </c>
      <c r="W782" t="s">
        <v>127</v>
      </c>
      <c r="X782">
        <v>1198.55</v>
      </c>
      <c r="Y782" t="s">
        <v>4351</v>
      </c>
      <c r="Z782" t="s">
        <v>4354</v>
      </c>
      <c r="AB782" t="s">
        <v>5020</v>
      </c>
      <c r="AD782" t="s">
        <v>6397</v>
      </c>
      <c r="AE782">
        <v>53</v>
      </c>
      <c r="AF782" t="s">
        <v>7101</v>
      </c>
      <c r="AG782" t="s">
        <v>3745</v>
      </c>
      <c r="AH782">
        <v>9</v>
      </c>
      <c r="AI782">
        <v>2</v>
      </c>
      <c r="AJ782">
        <v>1</v>
      </c>
      <c r="AK782">
        <v>100.1</v>
      </c>
      <c r="AN782" t="s">
        <v>7139</v>
      </c>
      <c r="AO782">
        <v>20800</v>
      </c>
      <c r="AU782">
        <v>80.34999999999999</v>
      </c>
      <c r="AV782" t="s">
        <v>530</v>
      </c>
      <c r="AW782" t="s">
        <v>7342</v>
      </c>
    </row>
    <row r="783" spans="1:50">
      <c r="A783" s="1">
        <f>HYPERLINK("https://lsnyc.legalserver.org/matter/dynamic-profile/view/1895189","19-1895189")</f>
        <v>0</v>
      </c>
      <c r="B783" t="s">
        <v>69</v>
      </c>
      <c r="C783" t="s">
        <v>105</v>
      </c>
      <c r="D783" t="s">
        <v>500</v>
      </c>
      <c r="F783" t="s">
        <v>1147</v>
      </c>
      <c r="G783" t="s">
        <v>2011</v>
      </c>
      <c r="H783" t="s">
        <v>2890</v>
      </c>
      <c r="I783" t="s">
        <v>3319</v>
      </c>
      <c r="J783" t="s">
        <v>3604</v>
      </c>
      <c r="K783">
        <v>10028</v>
      </c>
      <c r="L783" t="s">
        <v>3610</v>
      </c>
      <c r="M783" t="s">
        <v>3610</v>
      </c>
      <c r="N783" t="s">
        <v>3892</v>
      </c>
      <c r="O783" t="s">
        <v>4209</v>
      </c>
      <c r="P783" t="s">
        <v>4246</v>
      </c>
      <c r="R783" t="s">
        <v>4258</v>
      </c>
      <c r="S783" t="s">
        <v>3611</v>
      </c>
      <c r="U783" t="s">
        <v>4268</v>
      </c>
      <c r="V783" t="s">
        <v>4274</v>
      </c>
      <c r="W783" t="s">
        <v>500</v>
      </c>
      <c r="X783">
        <v>1849.37</v>
      </c>
      <c r="Y783" t="s">
        <v>4351</v>
      </c>
      <c r="Z783" t="s">
        <v>4353</v>
      </c>
      <c r="AB783" t="s">
        <v>5021</v>
      </c>
      <c r="AD783" t="s">
        <v>6398</v>
      </c>
      <c r="AE783">
        <v>60</v>
      </c>
      <c r="AF783" t="s">
        <v>7104</v>
      </c>
      <c r="AG783" t="s">
        <v>7118</v>
      </c>
      <c r="AH783">
        <v>50</v>
      </c>
      <c r="AI783">
        <v>2</v>
      </c>
      <c r="AJ783">
        <v>0</v>
      </c>
      <c r="AK783">
        <v>100.13</v>
      </c>
      <c r="AN783" t="s">
        <v>7138</v>
      </c>
      <c r="AO783">
        <v>16932</v>
      </c>
      <c r="AU783">
        <v>16.6</v>
      </c>
      <c r="AV783" t="s">
        <v>667</v>
      </c>
      <c r="AW783" t="s">
        <v>7341</v>
      </c>
    </row>
    <row r="784" spans="1:50">
      <c r="A784" s="1">
        <f>HYPERLINK("https://lsnyc.legalserver.org/matter/dynamic-profile/view/1895458","19-1895458")</f>
        <v>0</v>
      </c>
      <c r="B784" t="s">
        <v>83</v>
      </c>
      <c r="C784" t="s">
        <v>104</v>
      </c>
      <c r="D784" t="s">
        <v>179</v>
      </c>
      <c r="E784" t="s">
        <v>591</v>
      </c>
      <c r="F784" t="s">
        <v>890</v>
      </c>
      <c r="G784" t="s">
        <v>1769</v>
      </c>
      <c r="H784" t="s">
        <v>2653</v>
      </c>
      <c r="I784" t="s">
        <v>3359</v>
      </c>
      <c r="J784" t="s">
        <v>3604</v>
      </c>
      <c r="K784">
        <v>10029</v>
      </c>
      <c r="L784" t="s">
        <v>3610</v>
      </c>
      <c r="M784" t="s">
        <v>3610</v>
      </c>
      <c r="O784" t="s">
        <v>4212</v>
      </c>
      <c r="P784" t="s">
        <v>4244</v>
      </c>
      <c r="Q784" t="s">
        <v>4254</v>
      </c>
      <c r="R784" t="s">
        <v>4258</v>
      </c>
      <c r="S784" t="s">
        <v>3611</v>
      </c>
      <c r="U784" t="s">
        <v>4270</v>
      </c>
      <c r="V784" t="s">
        <v>4274</v>
      </c>
      <c r="W784" t="s">
        <v>179</v>
      </c>
      <c r="X784">
        <v>714</v>
      </c>
      <c r="Y784" t="s">
        <v>4351</v>
      </c>
      <c r="Z784" t="s">
        <v>4356</v>
      </c>
      <c r="AA784" t="s">
        <v>4376</v>
      </c>
      <c r="AB784" t="s">
        <v>4627</v>
      </c>
      <c r="AD784" t="s">
        <v>6041</v>
      </c>
      <c r="AE784">
        <v>48</v>
      </c>
      <c r="AF784" t="s">
        <v>7106</v>
      </c>
      <c r="AG784" t="s">
        <v>7116</v>
      </c>
      <c r="AH784">
        <v>0</v>
      </c>
      <c r="AI784">
        <v>3</v>
      </c>
      <c r="AJ784">
        <v>1</v>
      </c>
      <c r="AK784">
        <v>100.19</v>
      </c>
      <c r="AN784" t="s">
        <v>7139</v>
      </c>
      <c r="AO784">
        <v>25800</v>
      </c>
      <c r="AU784">
        <v>2.5</v>
      </c>
      <c r="AV784" t="s">
        <v>591</v>
      </c>
      <c r="AW784" t="s">
        <v>7341</v>
      </c>
    </row>
    <row r="785" spans="1:50">
      <c r="A785" s="1">
        <f>HYPERLINK("https://lsnyc.legalserver.org/matter/dynamic-profile/view/1901398","19-1901398")</f>
        <v>0</v>
      </c>
      <c r="B785" t="s">
        <v>52</v>
      </c>
      <c r="C785" t="s">
        <v>105</v>
      </c>
      <c r="D785" t="s">
        <v>501</v>
      </c>
      <c r="F785" t="s">
        <v>779</v>
      </c>
      <c r="G785" t="s">
        <v>2012</v>
      </c>
      <c r="H785" t="s">
        <v>2657</v>
      </c>
      <c r="I785" t="s">
        <v>3359</v>
      </c>
      <c r="J785" t="s">
        <v>3604</v>
      </c>
      <c r="K785">
        <v>10032</v>
      </c>
      <c r="L785" t="s">
        <v>3610</v>
      </c>
      <c r="M785" t="s">
        <v>3609</v>
      </c>
      <c r="P785" t="s">
        <v>4244</v>
      </c>
      <c r="R785" t="s">
        <v>4258</v>
      </c>
      <c r="S785" t="s">
        <v>3611</v>
      </c>
      <c r="U785" t="s">
        <v>4268</v>
      </c>
      <c r="W785" t="s">
        <v>501</v>
      </c>
      <c r="X785">
        <v>858.16</v>
      </c>
      <c r="Y785" t="s">
        <v>4351</v>
      </c>
      <c r="AB785" t="s">
        <v>5022</v>
      </c>
      <c r="AE785">
        <v>42</v>
      </c>
      <c r="AF785" t="s">
        <v>7101</v>
      </c>
      <c r="AG785" t="s">
        <v>3745</v>
      </c>
      <c r="AH785">
        <v>35</v>
      </c>
      <c r="AI785">
        <v>1</v>
      </c>
      <c r="AJ785">
        <v>1</v>
      </c>
      <c r="AK785">
        <v>100.25</v>
      </c>
      <c r="AN785" t="s">
        <v>7139</v>
      </c>
      <c r="AO785">
        <v>16952</v>
      </c>
      <c r="AU785">
        <v>18.25</v>
      </c>
      <c r="AV785" t="s">
        <v>7293</v>
      </c>
      <c r="AW785" t="s">
        <v>7342</v>
      </c>
      <c r="AX785" t="s">
        <v>7377</v>
      </c>
    </row>
    <row r="786" spans="1:50">
      <c r="A786" s="1">
        <f>HYPERLINK("https://lsnyc.legalserver.org/matter/dynamic-profile/view/1869873","18-1869873")</f>
        <v>0</v>
      </c>
      <c r="B786" t="s">
        <v>72</v>
      </c>
      <c r="C786" t="s">
        <v>105</v>
      </c>
      <c r="D786" t="s">
        <v>128</v>
      </c>
      <c r="F786" t="s">
        <v>1148</v>
      </c>
      <c r="G786" t="s">
        <v>2013</v>
      </c>
      <c r="H786" t="s">
        <v>2571</v>
      </c>
      <c r="I786" t="s">
        <v>3324</v>
      </c>
      <c r="J786" t="s">
        <v>3604</v>
      </c>
      <c r="K786">
        <v>10029</v>
      </c>
      <c r="L786" t="s">
        <v>3610</v>
      </c>
      <c r="M786" t="s">
        <v>3609</v>
      </c>
      <c r="O786" t="s">
        <v>4220</v>
      </c>
      <c r="P786" t="s">
        <v>4245</v>
      </c>
      <c r="R786" t="s">
        <v>4258</v>
      </c>
      <c r="S786" t="s">
        <v>3611</v>
      </c>
      <c r="U786" t="s">
        <v>4268</v>
      </c>
      <c r="W786" t="s">
        <v>128</v>
      </c>
      <c r="X786">
        <v>868</v>
      </c>
      <c r="Y786" t="s">
        <v>4351</v>
      </c>
      <c r="Z786" t="s">
        <v>4357</v>
      </c>
      <c r="AB786" t="s">
        <v>5023</v>
      </c>
      <c r="AD786" t="s">
        <v>6399</v>
      </c>
      <c r="AE786">
        <v>13</v>
      </c>
      <c r="AF786" t="s">
        <v>7101</v>
      </c>
      <c r="AG786" t="s">
        <v>7116</v>
      </c>
      <c r="AH786">
        <v>31</v>
      </c>
      <c r="AI786">
        <v>2</v>
      </c>
      <c r="AJ786">
        <v>0</v>
      </c>
      <c r="AK786">
        <v>100.61</v>
      </c>
      <c r="AN786" t="s">
        <v>7139</v>
      </c>
      <c r="AO786">
        <v>16560</v>
      </c>
      <c r="AU786">
        <v>1.5</v>
      </c>
      <c r="AV786" t="s">
        <v>588</v>
      </c>
      <c r="AW786" t="s">
        <v>7341</v>
      </c>
    </row>
    <row r="787" spans="1:50">
      <c r="A787" s="1">
        <f>HYPERLINK("https://lsnyc.legalserver.org/matter/dynamic-profile/view/1869881","18-1869881")</f>
        <v>0</v>
      </c>
      <c r="B787" t="s">
        <v>72</v>
      </c>
      <c r="C787" t="s">
        <v>105</v>
      </c>
      <c r="D787" t="s">
        <v>128</v>
      </c>
      <c r="F787" t="s">
        <v>1148</v>
      </c>
      <c r="G787" t="s">
        <v>2013</v>
      </c>
      <c r="H787" t="s">
        <v>2571</v>
      </c>
      <c r="I787" t="s">
        <v>3324</v>
      </c>
      <c r="J787" t="s">
        <v>3604</v>
      </c>
      <c r="K787">
        <v>10029</v>
      </c>
      <c r="L787" t="s">
        <v>3610</v>
      </c>
      <c r="M787" t="s">
        <v>3609</v>
      </c>
      <c r="O787" t="s">
        <v>4211</v>
      </c>
      <c r="P787" t="s">
        <v>4245</v>
      </c>
      <c r="R787" t="s">
        <v>4258</v>
      </c>
      <c r="U787" t="s">
        <v>4268</v>
      </c>
      <c r="W787" t="s">
        <v>445</v>
      </c>
      <c r="X787">
        <v>868</v>
      </c>
      <c r="Y787" t="s">
        <v>4351</v>
      </c>
      <c r="Z787" t="s">
        <v>4357</v>
      </c>
      <c r="AB787" t="s">
        <v>5023</v>
      </c>
      <c r="AD787" t="s">
        <v>6399</v>
      </c>
      <c r="AE787">
        <v>13</v>
      </c>
      <c r="AF787" t="s">
        <v>7101</v>
      </c>
      <c r="AG787" t="s">
        <v>7116</v>
      </c>
      <c r="AH787">
        <v>31</v>
      </c>
      <c r="AI787">
        <v>2</v>
      </c>
      <c r="AJ787">
        <v>0</v>
      </c>
      <c r="AK787">
        <v>100.61</v>
      </c>
      <c r="AN787" t="s">
        <v>7139</v>
      </c>
      <c r="AO787">
        <v>16560</v>
      </c>
      <c r="AU787">
        <v>0.1</v>
      </c>
      <c r="AV787" t="s">
        <v>476</v>
      </c>
      <c r="AW787" t="s">
        <v>7341</v>
      </c>
    </row>
    <row r="788" spans="1:50">
      <c r="A788" s="1">
        <f>HYPERLINK("https://lsnyc.legalserver.org/matter/dynamic-profile/view/1863624","18-1863624")</f>
        <v>0</v>
      </c>
      <c r="B788" t="s">
        <v>63</v>
      </c>
      <c r="C788" t="s">
        <v>104</v>
      </c>
      <c r="D788" t="s">
        <v>242</v>
      </c>
      <c r="E788" t="s">
        <v>169</v>
      </c>
      <c r="F788" t="s">
        <v>832</v>
      </c>
      <c r="G788" t="s">
        <v>1704</v>
      </c>
      <c r="H788" t="s">
        <v>2592</v>
      </c>
      <c r="I788">
        <v>704</v>
      </c>
      <c r="J788" t="s">
        <v>3604</v>
      </c>
      <c r="K788">
        <v>10029</v>
      </c>
      <c r="L788" t="s">
        <v>3610</v>
      </c>
      <c r="M788" t="s">
        <v>3610</v>
      </c>
      <c r="O788" t="s">
        <v>4211</v>
      </c>
      <c r="P788" t="s">
        <v>4241</v>
      </c>
      <c r="Q788" t="s">
        <v>4248</v>
      </c>
      <c r="R788" t="s">
        <v>4258</v>
      </c>
      <c r="S788" t="s">
        <v>3611</v>
      </c>
      <c r="U788" t="s">
        <v>4268</v>
      </c>
      <c r="W788" t="s">
        <v>242</v>
      </c>
      <c r="X788">
        <v>916</v>
      </c>
      <c r="Y788" t="s">
        <v>4351</v>
      </c>
      <c r="Z788" t="s">
        <v>4357</v>
      </c>
      <c r="AA788" t="s">
        <v>4374</v>
      </c>
      <c r="AB788" t="s">
        <v>4546</v>
      </c>
      <c r="AD788" t="s">
        <v>5972</v>
      </c>
      <c r="AE788">
        <v>426</v>
      </c>
      <c r="AF788" t="s">
        <v>7102</v>
      </c>
      <c r="AG788" t="s">
        <v>7117</v>
      </c>
      <c r="AH788">
        <v>14</v>
      </c>
      <c r="AI788">
        <v>3</v>
      </c>
      <c r="AJ788">
        <v>2</v>
      </c>
      <c r="AK788">
        <v>100.75</v>
      </c>
      <c r="AN788" t="s">
        <v>7138</v>
      </c>
      <c r="AO788">
        <v>38676</v>
      </c>
      <c r="AU788">
        <v>5.5</v>
      </c>
      <c r="AV788" t="s">
        <v>607</v>
      </c>
      <c r="AW788" t="s">
        <v>7341</v>
      </c>
    </row>
    <row r="789" spans="1:50">
      <c r="A789" s="1">
        <f>HYPERLINK("https://lsnyc.legalserver.org/matter/dynamic-profile/view/1901822","19-1901822")</f>
        <v>0</v>
      </c>
      <c r="B789" t="s">
        <v>50</v>
      </c>
      <c r="C789" t="s">
        <v>105</v>
      </c>
      <c r="D789" t="s">
        <v>502</v>
      </c>
      <c r="F789" t="s">
        <v>1149</v>
      </c>
      <c r="G789" t="s">
        <v>2014</v>
      </c>
      <c r="H789" t="s">
        <v>2891</v>
      </c>
      <c r="I789" t="s">
        <v>3457</v>
      </c>
      <c r="J789" t="s">
        <v>3604</v>
      </c>
      <c r="K789">
        <v>10025</v>
      </c>
      <c r="L789" t="s">
        <v>3609</v>
      </c>
      <c r="M789" t="s">
        <v>3609</v>
      </c>
      <c r="R789" t="s">
        <v>4258</v>
      </c>
      <c r="U789" t="s">
        <v>4267</v>
      </c>
      <c r="X789">
        <v>0</v>
      </c>
      <c r="Y789" t="s">
        <v>4351</v>
      </c>
      <c r="AB789" t="s">
        <v>5024</v>
      </c>
      <c r="AD789" t="s">
        <v>6400</v>
      </c>
      <c r="AE789">
        <v>0</v>
      </c>
      <c r="AH789">
        <v>0</v>
      </c>
      <c r="AI789">
        <v>1</v>
      </c>
      <c r="AJ789">
        <v>0</v>
      </c>
      <c r="AK789">
        <v>100.88</v>
      </c>
      <c r="AN789" t="s">
        <v>7138</v>
      </c>
      <c r="AO789">
        <v>12600</v>
      </c>
      <c r="AU789">
        <v>6.7</v>
      </c>
      <c r="AV789" t="s">
        <v>676</v>
      </c>
      <c r="AW789" t="s">
        <v>7340</v>
      </c>
    </row>
    <row r="790" spans="1:50">
      <c r="A790" s="1">
        <f>HYPERLINK("https://lsnyc.legalserver.org/matter/dynamic-profile/view/1882699","18-1882699")</f>
        <v>0</v>
      </c>
      <c r="B790" t="s">
        <v>56</v>
      </c>
      <c r="C790" t="s">
        <v>104</v>
      </c>
      <c r="D790" t="s">
        <v>192</v>
      </c>
      <c r="E790" t="s">
        <v>636</v>
      </c>
      <c r="F790" t="s">
        <v>981</v>
      </c>
      <c r="G790" t="s">
        <v>2015</v>
      </c>
      <c r="H790" t="s">
        <v>2875</v>
      </c>
      <c r="I790">
        <v>2</v>
      </c>
      <c r="J790" t="s">
        <v>3604</v>
      </c>
      <c r="K790">
        <v>10033</v>
      </c>
      <c r="L790" t="s">
        <v>3610</v>
      </c>
      <c r="M790" t="s">
        <v>3610</v>
      </c>
      <c r="P790" t="s">
        <v>4245</v>
      </c>
      <c r="Q790" t="s">
        <v>4249</v>
      </c>
      <c r="R790" t="s">
        <v>4258</v>
      </c>
      <c r="S790" t="s">
        <v>3611</v>
      </c>
      <c r="U790" t="s">
        <v>4268</v>
      </c>
      <c r="W790" t="s">
        <v>192</v>
      </c>
      <c r="X790">
        <v>1150.76</v>
      </c>
      <c r="Y790" t="s">
        <v>4351</v>
      </c>
      <c r="Z790" t="s">
        <v>4357</v>
      </c>
      <c r="AA790" t="s">
        <v>4377</v>
      </c>
      <c r="AB790" t="s">
        <v>5025</v>
      </c>
      <c r="AD790" t="s">
        <v>6401</v>
      </c>
      <c r="AE790">
        <v>0</v>
      </c>
      <c r="AF790" t="s">
        <v>7101</v>
      </c>
      <c r="AH790">
        <v>33</v>
      </c>
      <c r="AI790">
        <v>2</v>
      </c>
      <c r="AJ790">
        <v>0</v>
      </c>
      <c r="AK790">
        <v>101.19</v>
      </c>
      <c r="AN790" t="s">
        <v>7139</v>
      </c>
      <c r="AO790">
        <v>16656</v>
      </c>
      <c r="AU790">
        <v>0.5</v>
      </c>
      <c r="AV790" t="s">
        <v>447</v>
      </c>
      <c r="AW790" t="s">
        <v>7342</v>
      </c>
    </row>
    <row r="791" spans="1:50">
      <c r="A791" s="1">
        <f>HYPERLINK("https://lsnyc.legalserver.org/matter/dynamic-profile/view/1861206","18-1861206")</f>
        <v>0</v>
      </c>
      <c r="B791" t="s">
        <v>59</v>
      </c>
      <c r="C791" t="s">
        <v>104</v>
      </c>
      <c r="D791" t="s">
        <v>152</v>
      </c>
      <c r="E791" t="s">
        <v>666</v>
      </c>
      <c r="F791" t="s">
        <v>847</v>
      </c>
      <c r="G791" t="s">
        <v>2016</v>
      </c>
      <c r="H791" t="s">
        <v>2892</v>
      </c>
      <c r="I791" t="s">
        <v>3458</v>
      </c>
      <c r="J791" t="s">
        <v>3604</v>
      </c>
      <c r="K791">
        <v>10026</v>
      </c>
      <c r="L791" t="s">
        <v>3610</v>
      </c>
      <c r="M791" t="s">
        <v>3610</v>
      </c>
      <c r="O791" t="s">
        <v>4213</v>
      </c>
      <c r="P791" t="s">
        <v>4242</v>
      </c>
      <c r="Q791" t="s">
        <v>4250</v>
      </c>
      <c r="R791" t="s">
        <v>4258</v>
      </c>
      <c r="S791" t="s">
        <v>3611</v>
      </c>
      <c r="U791" t="s">
        <v>4268</v>
      </c>
      <c r="W791" t="s">
        <v>4320</v>
      </c>
      <c r="X791">
        <v>0</v>
      </c>
      <c r="Y791" t="s">
        <v>4351</v>
      </c>
      <c r="Z791" t="s">
        <v>4357</v>
      </c>
      <c r="AA791" t="s">
        <v>4377</v>
      </c>
      <c r="AB791" t="s">
        <v>5026</v>
      </c>
      <c r="AD791" t="s">
        <v>6402</v>
      </c>
      <c r="AE791">
        <v>0</v>
      </c>
      <c r="AG791" t="s">
        <v>3745</v>
      </c>
      <c r="AH791">
        <v>0</v>
      </c>
      <c r="AI791">
        <v>1</v>
      </c>
      <c r="AJ791">
        <v>0</v>
      </c>
      <c r="AK791">
        <v>101.81</v>
      </c>
      <c r="AO791">
        <v>12360</v>
      </c>
      <c r="AU791">
        <v>0.1</v>
      </c>
      <c r="AV791" t="s">
        <v>666</v>
      </c>
      <c r="AW791" t="s">
        <v>7350</v>
      </c>
    </row>
    <row r="792" spans="1:50">
      <c r="A792" s="1">
        <f>HYPERLINK("https://lsnyc.legalserver.org/matter/dynamic-profile/view/0831556","17-0831556")</f>
        <v>0</v>
      </c>
      <c r="B792" t="s">
        <v>64</v>
      </c>
      <c r="C792" t="s">
        <v>104</v>
      </c>
      <c r="D792" t="s">
        <v>327</v>
      </c>
      <c r="E792" t="s">
        <v>280</v>
      </c>
      <c r="F792" t="s">
        <v>727</v>
      </c>
      <c r="G792" t="s">
        <v>1594</v>
      </c>
      <c r="H792" t="s">
        <v>2681</v>
      </c>
      <c r="I792">
        <v>65</v>
      </c>
      <c r="J792" t="s">
        <v>3604</v>
      </c>
      <c r="K792">
        <v>10032</v>
      </c>
      <c r="L792" t="s">
        <v>3609</v>
      </c>
      <c r="M792" t="s">
        <v>3609</v>
      </c>
      <c r="N792" t="s">
        <v>3855</v>
      </c>
      <c r="O792" t="s">
        <v>4213</v>
      </c>
      <c r="P792" t="s">
        <v>4244</v>
      </c>
      <c r="Q792" t="s">
        <v>4254</v>
      </c>
      <c r="R792" t="s">
        <v>4258</v>
      </c>
      <c r="U792" t="s">
        <v>4268</v>
      </c>
      <c r="W792" t="s">
        <v>4294</v>
      </c>
      <c r="X792">
        <v>1067.4</v>
      </c>
      <c r="Y792" t="s">
        <v>4351</v>
      </c>
      <c r="Z792" t="s">
        <v>4352</v>
      </c>
      <c r="AA792" t="s">
        <v>4377</v>
      </c>
      <c r="AB792" t="s">
        <v>5027</v>
      </c>
      <c r="AD792" t="s">
        <v>6403</v>
      </c>
      <c r="AE792">
        <v>44</v>
      </c>
      <c r="AF792" t="s">
        <v>7101</v>
      </c>
      <c r="AG792" t="s">
        <v>3745</v>
      </c>
      <c r="AH792">
        <v>12</v>
      </c>
      <c r="AI792">
        <v>3</v>
      </c>
      <c r="AJ792">
        <v>0</v>
      </c>
      <c r="AK792">
        <v>101.86</v>
      </c>
      <c r="AL792" t="s">
        <v>4319</v>
      </c>
      <c r="AN792" t="s">
        <v>7139</v>
      </c>
      <c r="AO792">
        <v>20800</v>
      </c>
      <c r="AU792">
        <v>0.1</v>
      </c>
      <c r="AV792" t="s">
        <v>280</v>
      </c>
      <c r="AW792" t="s">
        <v>7341</v>
      </c>
    </row>
    <row r="793" spans="1:50">
      <c r="A793" s="1">
        <f>HYPERLINK("https://lsnyc.legalserver.org/matter/dynamic-profile/view/0831558","17-0831558")</f>
        <v>0</v>
      </c>
      <c r="B793" t="s">
        <v>64</v>
      </c>
      <c r="C793" t="s">
        <v>104</v>
      </c>
      <c r="D793" t="s">
        <v>327</v>
      </c>
      <c r="E793" t="s">
        <v>673</v>
      </c>
      <c r="F793" t="s">
        <v>727</v>
      </c>
      <c r="G793" t="s">
        <v>1594</v>
      </c>
      <c r="H793" t="s">
        <v>2681</v>
      </c>
      <c r="I793">
        <v>65</v>
      </c>
      <c r="J793" t="s">
        <v>3604</v>
      </c>
      <c r="K793">
        <v>10032</v>
      </c>
      <c r="L793" t="s">
        <v>3609</v>
      </c>
      <c r="M793" t="s">
        <v>3609</v>
      </c>
      <c r="N793" t="s">
        <v>3855</v>
      </c>
      <c r="O793" t="s">
        <v>4211</v>
      </c>
      <c r="P793" t="s">
        <v>4241</v>
      </c>
      <c r="Q793" t="s">
        <v>4248</v>
      </c>
      <c r="R793" t="s">
        <v>4258</v>
      </c>
      <c r="S793" t="s">
        <v>3610</v>
      </c>
      <c r="U793" t="s">
        <v>4268</v>
      </c>
      <c r="W793" t="s">
        <v>4294</v>
      </c>
      <c r="X793">
        <v>1067.4</v>
      </c>
      <c r="Y793" t="s">
        <v>4351</v>
      </c>
      <c r="Z793" t="s">
        <v>4352</v>
      </c>
      <c r="AA793" t="s">
        <v>4379</v>
      </c>
      <c r="AB793" t="s">
        <v>5027</v>
      </c>
      <c r="AD793" t="s">
        <v>6403</v>
      </c>
      <c r="AE793">
        <v>44</v>
      </c>
      <c r="AF793" t="s">
        <v>7101</v>
      </c>
      <c r="AG793" t="s">
        <v>3745</v>
      </c>
      <c r="AH793">
        <v>12</v>
      </c>
      <c r="AI793">
        <v>3</v>
      </c>
      <c r="AJ793">
        <v>0</v>
      </c>
      <c r="AK793">
        <v>101.86</v>
      </c>
      <c r="AL793" t="s">
        <v>4319</v>
      </c>
      <c r="AN793" t="s">
        <v>7139</v>
      </c>
      <c r="AO793">
        <v>20800</v>
      </c>
      <c r="AU793">
        <v>2.3</v>
      </c>
      <c r="AV793" t="s">
        <v>673</v>
      </c>
      <c r="AW793" t="s">
        <v>7341</v>
      </c>
    </row>
    <row r="794" spans="1:50">
      <c r="A794" s="1">
        <f>HYPERLINK("https://lsnyc.legalserver.org/matter/dynamic-profile/view/1872385","18-1872385")</f>
        <v>0</v>
      </c>
      <c r="B794" t="s">
        <v>62</v>
      </c>
      <c r="C794" t="s">
        <v>104</v>
      </c>
      <c r="D794" t="s">
        <v>310</v>
      </c>
      <c r="E794" t="s">
        <v>440</v>
      </c>
      <c r="F794" t="s">
        <v>1150</v>
      </c>
      <c r="G794" t="s">
        <v>2017</v>
      </c>
      <c r="H794" t="s">
        <v>2893</v>
      </c>
      <c r="I794" t="s">
        <v>3284</v>
      </c>
      <c r="J794" t="s">
        <v>3604</v>
      </c>
      <c r="K794">
        <v>10040</v>
      </c>
      <c r="L794" t="s">
        <v>3610</v>
      </c>
      <c r="M794" t="s">
        <v>3610</v>
      </c>
      <c r="O794" t="s">
        <v>4209</v>
      </c>
      <c r="P794" t="s">
        <v>4242</v>
      </c>
      <c r="Q794" t="s">
        <v>4250</v>
      </c>
      <c r="R794" t="s">
        <v>4258</v>
      </c>
      <c r="S794" t="s">
        <v>3611</v>
      </c>
      <c r="U794" t="s">
        <v>4268</v>
      </c>
      <c r="W794" t="s">
        <v>310</v>
      </c>
      <c r="X794">
        <v>847.33</v>
      </c>
      <c r="Y794" t="s">
        <v>4351</v>
      </c>
      <c r="Z794" t="s">
        <v>4354</v>
      </c>
      <c r="AA794" t="s">
        <v>4373</v>
      </c>
      <c r="AB794" t="s">
        <v>5028</v>
      </c>
      <c r="AD794" t="s">
        <v>6404</v>
      </c>
      <c r="AE794">
        <v>72</v>
      </c>
      <c r="AF794" t="s">
        <v>7101</v>
      </c>
      <c r="AG794" t="s">
        <v>7118</v>
      </c>
      <c r="AH794">
        <v>30</v>
      </c>
      <c r="AI794">
        <v>1</v>
      </c>
      <c r="AJ794">
        <v>0</v>
      </c>
      <c r="AK794">
        <v>101.91</v>
      </c>
      <c r="AN794" t="s">
        <v>7138</v>
      </c>
      <c r="AO794">
        <v>12372</v>
      </c>
      <c r="AU794">
        <v>5.35</v>
      </c>
      <c r="AV794" t="s">
        <v>216</v>
      </c>
      <c r="AW794" t="s">
        <v>7342</v>
      </c>
    </row>
    <row r="795" spans="1:50">
      <c r="A795" s="1">
        <f>HYPERLINK("https://lsnyc.legalserver.org/matter/dynamic-profile/view/1842388","17-1842388")</f>
        <v>0</v>
      </c>
      <c r="B795" t="s">
        <v>72</v>
      </c>
      <c r="C795" t="s">
        <v>105</v>
      </c>
      <c r="D795" t="s">
        <v>427</v>
      </c>
      <c r="F795" t="s">
        <v>1148</v>
      </c>
      <c r="G795" t="s">
        <v>2013</v>
      </c>
      <c r="H795" t="s">
        <v>2571</v>
      </c>
      <c r="I795" t="s">
        <v>3324</v>
      </c>
      <c r="J795" t="s">
        <v>3604</v>
      </c>
      <c r="K795">
        <v>10029</v>
      </c>
      <c r="L795" t="s">
        <v>3610</v>
      </c>
      <c r="M795" t="s">
        <v>3609</v>
      </c>
      <c r="O795" t="s">
        <v>4211</v>
      </c>
      <c r="P795" t="s">
        <v>4245</v>
      </c>
      <c r="R795" t="s">
        <v>4258</v>
      </c>
      <c r="S795" t="s">
        <v>3610</v>
      </c>
      <c r="U795" t="s">
        <v>4268</v>
      </c>
      <c r="W795" t="s">
        <v>427</v>
      </c>
      <c r="X795">
        <v>868</v>
      </c>
      <c r="Y795" t="s">
        <v>4351</v>
      </c>
      <c r="Z795" t="s">
        <v>4352</v>
      </c>
      <c r="AB795" t="s">
        <v>5023</v>
      </c>
      <c r="AD795" t="s">
        <v>6399</v>
      </c>
      <c r="AE795">
        <v>13</v>
      </c>
      <c r="AF795" t="s">
        <v>7101</v>
      </c>
      <c r="AG795" t="s">
        <v>7116</v>
      </c>
      <c r="AH795">
        <v>30</v>
      </c>
      <c r="AI795">
        <v>2</v>
      </c>
      <c r="AJ795">
        <v>0</v>
      </c>
      <c r="AK795">
        <v>101.97</v>
      </c>
      <c r="AN795" t="s">
        <v>7139</v>
      </c>
      <c r="AO795">
        <v>16560</v>
      </c>
      <c r="AU795">
        <v>1.7</v>
      </c>
      <c r="AV795" t="s">
        <v>211</v>
      </c>
      <c r="AW795" t="s">
        <v>7341</v>
      </c>
    </row>
    <row r="796" spans="1:50">
      <c r="A796" s="1">
        <f>HYPERLINK("https://lsnyc.legalserver.org/matter/dynamic-profile/view/1852468","17-1852468")</f>
        <v>0</v>
      </c>
      <c r="B796" t="s">
        <v>61</v>
      </c>
      <c r="C796" t="s">
        <v>105</v>
      </c>
      <c r="D796" t="s">
        <v>503</v>
      </c>
      <c r="F796" t="s">
        <v>951</v>
      </c>
      <c r="G796" t="s">
        <v>1790</v>
      </c>
      <c r="H796" t="s">
        <v>2894</v>
      </c>
      <c r="I796" t="s">
        <v>3459</v>
      </c>
      <c r="J796" t="s">
        <v>3604</v>
      </c>
      <c r="K796">
        <v>10034</v>
      </c>
      <c r="L796" t="s">
        <v>3610</v>
      </c>
      <c r="M796" t="s">
        <v>3609</v>
      </c>
      <c r="O796" t="s">
        <v>4217</v>
      </c>
      <c r="P796" t="s">
        <v>4244</v>
      </c>
      <c r="R796" t="s">
        <v>4258</v>
      </c>
      <c r="S796" t="s">
        <v>3611</v>
      </c>
      <c r="U796" t="s">
        <v>4268</v>
      </c>
      <c r="W796" t="s">
        <v>503</v>
      </c>
      <c r="X796">
        <v>719.53</v>
      </c>
      <c r="Y796" t="s">
        <v>4351</v>
      </c>
      <c r="Z796" t="s">
        <v>4357</v>
      </c>
      <c r="AB796" t="s">
        <v>4977</v>
      </c>
      <c r="AD796" t="s">
        <v>6354</v>
      </c>
      <c r="AE796">
        <v>31</v>
      </c>
      <c r="AF796" t="s">
        <v>7101</v>
      </c>
      <c r="AG796" t="s">
        <v>7118</v>
      </c>
      <c r="AH796">
        <v>27</v>
      </c>
      <c r="AI796">
        <v>3</v>
      </c>
      <c r="AJ796">
        <v>0</v>
      </c>
      <c r="AK796">
        <v>102.37</v>
      </c>
      <c r="AN796" t="s">
        <v>7139</v>
      </c>
      <c r="AO796">
        <v>20904</v>
      </c>
      <c r="AU796">
        <v>5.1</v>
      </c>
      <c r="AV796" t="s">
        <v>368</v>
      </c>
      <c r="AW796" t="s">
        <v>7342</v>
      </c>
    </row>
    <row r="797" spans="1:50">
      <c r="A797" s="1">
        <f>HYPERLINK("https://lsnyc.legalserver.org/matter/dynamic-profile/view/1864121","18-1864121")</f>
        <v>0</v>
      </c>
      <c r="B797" t="s">
        <v>56</v>
      </c>
      <c r="C797" t="s">
        <v>105</v>
      </c>
      <c r="D797" t="s">
        <v>161</v>
      </c>
      <c r="F797" t="s">
        <v>1151</v>
      </c>
      <c r="G797" t="s">
        <v>2018</v>
      </c>
      <c r="H797" t="s">
        <v>2534</v>
      </c>
      <c r="I797" t="s">
        <v>3279</v>
      </c>
      <c r="J797" t="s">
        <v>3604</v>
      </c>
      <c r="K797">
        <v>10040</v>
      </c>
      <c r="L797" t="s">
        <v>3610</v>
      </c>
      <c r="M797" t="s">
        <v>3609</v>
      </c>
      <c r="N797" t="s">
        <v>3656</v>
      </c>
      <c r="O797" t="s">
        <v>4213</v>
      </c>
      <c r="P797" t="s">
        <v>4241</v>
      </c>
      <c r="R797" t="s">
        <v>4258</v>
      </c>
      <c r="S797" t="s">
        <v>3610</v>
      </c>
      <c r="U797" t="s">
        <v>4268</v>
      </c>
      <c r="W797" t="s">
        <v>161</v>
      </c>
      <c r="X797">
        <v>892.52</v>
      </c>
      <c r="Y797" t="s">
        <v>4351</v>
      </c>
      <c r="Z797" t="s">
        <v>4357</v>
      </c>
      <c r="AB797" t="s">
        <v>5029</v>
      </c>
      <c r="AD797" t="s">
        <v>6405</v>
      </c>
      <c r="AE797">
        <v>44</v>
      </c>
      <c r="AF797" t="s">
        <v>7101</v>
      </c>
      <c r="AG797" t="s">
        <v>3745</v>
      </c>
      <c r="AH797">
        <v>13</v>
      </c>
      <c r="AI797">
        <v>2</v>
      </c>
      <c r="AJ797">
        <v>1</v>
      </c>
      <c r="AK797">
        <v>102.6</v>
      </c>
      <c r="AL797" t="s">
        <v>246</v>
      </c>
      <c r="AN797" t="s">
        <v>7139</v>
      </c>
      <c r="AO797">
        <v>26520</v>
      </c>
      <c r="AU797">
        <v>0.01</v>
      </c>
      <c r="AV797" t="s">
        <v>131</v>
      </c>
      <c r="AW797" t="s">
        <v>7342</v>
      </c>
    </row>
    <row r="798" spans="1:50">
      <c r="A798" s="1">
        <f>HYPERLINK("https://lsnyc.legalserver.org/matter/dynamic-profile/view/1846885","17-1846885")</f>
        <v>0</v>
      </c>
      <c r="B798" t="s">
        <v>55</v>
      </c>
      <c r="C798" t="s">
        <v>104</v>
      </c>
      <c r="D798" t="s">
        <v>267</v>
      </c>
      <c r="E798" t="s">
        <v>664</v>
      </c>
      <c r="F798" t="s">
        <v>719</v>
      </c>
      <c r="G798" t="s">
        <v>2019</v>
      </c>
      <c r="H798" t="s">
        <v>2895</v>
      </c>
      <c r="I798">
        <v>8</v>
      </c>
      <c r="J798" t="s">
        <v>3604</v>
      </c>
      <c r="K798">
        <v>10029</v>
      </c>
      <c r="L798" t="s">
        <v>3610</v>
      </c>
      <c r="M798" t="s">
        <v>3610</v>
      </c>
      <c r="O798" t="s">
        <v>4211</v>
      </c>
      <c r="P798" t="s">
        <v>4242</v>
      </c>
      <c r="Q798" t="s">
        <v>4250</v>
      </c>
      <c r="R798" t="s">
        <v>4258</v>
      </c>
      <c r="S798" t="s">
        <v>3611</v>
      </c>
      <c r="U798" t="s">
        <v>4268</v>
      </c>
      <c r="V798" t="s">
        <v>4274</v>
      </c>
      <c r="W798" t="s">
        <v>626</v>
      </c>
      <c r="X798">
        <v>455.85</v>
      </c>
      <c r="Y798" t="s">
        <v>4351</v>
      </c>
      <c r="Z798" t="s">
        <v>4354</v>
      </c>
      <c r="AA798" t="s">
        <v>4373</v>
      </c>
      <c r="AB798" t="s">
        <v>5030</v>
      </c>
      <c r="AD798" t="s">
        <v>6406</v>
      </c>
      <c r="AE798">
        <v>14</v>
      </c>
      <c r="AF798" t="s">
        <v>7104</v>
      </c>
      <c r="AG798" t="s">
        <v>3745</v>
      </c>
      <c r="AH798">
        <v>50</v>
      </c>
      <c r="AI798">
        <v>1</v>
      </c>
      <c r="AJ798">
        <v>0</v>
      </c>
      <c r="AK798">
        <v>102.69</v>
      </c>
      <c r="AN798" t="s">
        <v>7139</v>
      </c>
      <c r="AO798">
        <v>12384</v>
      </c>
      <c r="AU798">
        <v>1.2</v>
      </c>
      <c r="AV798" t="s">
        <v>623</v>
      </c>
      <c r="AW798" t="s">
        <v>7361</v>
      </c>
    </row>
    <row r="799" spans="1:50">
      <c r="A799" s="1">
        <f>HYPERLINK("https://lsnyc.legalserver.org/matter/dynamic-profile/view/1840151","17-1840151")</f>
        <v>0</v>
      </c>
      <c r="B799" t="s">
        <v>53</v>
      </c>
      <c r="C799" t="s">
        <v>104</v>
      </c>
      <c r="D799" t="s">
        <v>498</v>
      </c>
      <c r="E799" t="s">
        <v>488</v>
      </c>
      <c r="F799" t="s">
        <v>1152</v>
      </c>
      <c r="G799" t="s">
        <v>1790</v>
      </c>
      <c r="H799" t="s">
        <v>2833</v>
      </c>
      <c r="I799">
        <v>57</v>
      </c>
      <c r="J799" t="s">
        <v>3604</v>
      </c>
      <c r="K799">
        <v>10040</v>
      </c>
      <c r="L799" t="s">
        <v>3610</v>
      </c>
      <c r="M799" t="s">
        <v>3610</v>
      </c>
      <c r="N799" t="s">
        <v>3883</v>
      </c>
      <c r="O799" t="s">
        <v>4213</v>
      </c>
      <c r="P799" t="s">
        <v>4241</v>
      </c>
      <c r="Q799" t="s">
        <v>4248</v>
      </c>
      <c r="R799" t="s">
        <v>4258</v>
      </c>
      <c r="S799" t="s">
        <v>3610</v>
      </c>
      <c r="U799" t="s">
        <v>4268</v>
      </c>
      <c r="W799" t="s">
        <v>354</v>
      </c>
      <c r="X799">
        <v>909.16</v>
      </c>
      <c r="Y799" t="s">
        <v>4351</v>
      </c>
      <c r="Z799" t="s">
        <v>4352</v>
      </c>
      <c r="AA799" t="s">
        <v>4379</v>
      </c>
      <c r="AB799" t="s">
        <v>5031</v>
      </c>
      <c r="AD799" t="s">
        <v>6407</v>
      </c>
      <c r="AE799">
        <v>45</v>
      </c>
      <c r="AF799" t="s">
        <v>7101</v>
      </c>
      <c r="AG799" t="s">
        <v>3745</v>
      </c>
      <c r="AH799">
        <v>1</v>
      </c>
      <c r="AI799">
        <v>1</v>
      </c>
      <c r="AJ799">
        <v>0</v>
      </c>
      <c r="AK799">
        <v>102.79</v>
      </c>
      <c r="AL799" t="s">
        <v>183</v>
      </c>
      <c r="AN799" t="s">
        <v>7139</v>
      </c>
      <c r="AO799">
        <v>12396</v>
      </c>
      <c r="AQ799" t="s">
        <v>7197</v>
      </c>
      <c r="AR799" t="s">
        <v>7220</v>
      </c>
      <c r="AS799" t="s">
        <v>7231</v>
      </c>
      <c r="AT799" t="s">
        <v>7260</v>
      </c>
      <c r="AU799">
        <v>1.2</v>
      </c>
      <c r="AV799" t="s">
        <v>488</v>
      </c>
      <c r="AW799" t="s">
        <v>7342</v>
      </c>
    </row>
    <row r="800" spans="1:50">
      <c r="A800" s="1">
        <f>HYPERLINK("https://lsnyc.legalserver.org/matter/dynamic-profile/view/1856862","18-1856862")</f>
        <v>0</v>
      </c>
      <c r="B800" t="s">
        <v>62</v>
      </c>
      <c r="C800" t="s">
        <v>105</v>
      </c>
      <c r="D800" t="s">
        <v>381</v>
      </c>
      <c r="F800" t="s">
        <v>981</v>
      </c>
      <c r="G800" t="s">
        <v>2020</v>
      </c>
      <c r="H800" t="s">
        <v>2712</v>
      </c>
      <c r="I800" t="s">
        <v>3273</v>
      </c>
      <c r="J800" t="s">
        <v>3604</v>
      </c>
      <c r="K800">
        <v>10040</v>
      </c>
      <c r="L800" t="s">
        <v>3610</v>
      </c>
      <c r="M800" t="s">
        <v>3609</v>
      </c>
      <c r="O800" t="s">
        <v>4213</v>
      </c>
      <c r="P800" t="s">
        <v>4244</v>
      </c>
      <c r="R800" t="s">
        <v>4258</v>
      </c>
      <c r="S800" t="s">
        <v>3611</v>
      </c>
      <c r="U800" t="s">
        <v>4268</v>
      </c>
      <c r="W800" t="s">
        <v>381</v>
      </c>
      <c r="X800">
        <v>843.6</v>
      </c>
      <c r="Y800" t="s">
        <v>4351</v>
      </c>
      <c r="Z800" t="s">
        <v>4357</v>
      </c>
      <c r="AB800" t="s">
        <v>4760</v>
      </c>
      <c r="AD800" t="s">
        <v>6156</v>
      </c>
      <c r="AE800">
        <v>42</v>
      </c>
      <c r="AF800" t="s">
        <v>7101</v>
      </c>
      <c r="AG800" t="s">
        <v>7118</v>
      </c>
      <c r="AH800">
        <v>23</v>
      </c>
      <c r="AI800">
        <v>1</v>
      </c>
      <c r="AJ800">
        <v>0</v>
      </c>
      <c r="AK800">
        <v>102.79</v>
      </c>
      <c r="AL800" t="s">
        <v>183</v>
      </c>
      <c r="AN800" t="s">
        <v>7139</v>
      </c>
      <c r="AO800">
        <v>12396</v>
      </c>
      <c r="AU800">
        <v>27.6</v>
      </c>
      <c r="AV800" t="s">
        <v>678</v>
      </c>
      <c r="AW800" t="s">
        <v>7342</v>
      </c>
    </row>
    <row r="801" spans="1:50">
      <c r="A801" s="1">
        <f>HYPERLINK("https://lsnyc.legalserver.org/matter/dynamic-profile/view/1863111","18-1863111")</f>
        <v>0</v>
      </c>
      <c r="B801" t="s">
        <v>61</v>
      </c>
      <c r="C801" t="s">
        <v>104</v>
      </c>
      <c r="D801" t="s">
        <v>314</v>
      </c>
      <c r="E801" t="s">
        <v>201</v>
      </c>
      <c r="F801" t="s">
        <v>733</v>
      </c>
      <c r="G801" t="s">
        <v>1738</v>
      </c>
      <c r="H801" t="s">
        <v>2896</v>
      </c>
      <c r="I801" t="s">
        <v>3460</v>
      </c>
      <c r="J801" t="s">
        <v>3604</v>
      </c>
      <c r="K801">
        <v>10034</v>
      </c>
      <c r="L801" t="s">
        <v>3610</v>
      </c>
      <c r="M801" t="s">
        <v>3610</v>
      </c>
      <c r="N801" t="s">
        <v>3893</v>
      </c>
      <c r="O801" t="s">
        <v>4210</v>
      </c>
      <c r="P801" t="s">
        <v>4245</v>
      </c>
      <c r="Q801" t="s">
        <v>4249</v>
      </c>
      <c r="R801" t="s">
        <v>4258</v>
      </c>
      <c r="S801" t="s">
        <v>3611</v>
      </c>
      <c r="U801" t="s">
        <v>4268</v>
      </c>
      <c r="W801" t="s">
        <v>314</v>
      </c>
      <c r="X801">
        <v>1176.77</v>
      </c>
      <c r="Y801" t="s">
        <v>4351</v>
      </c>
      <c r="Z801" t="s">
        <v>4354</v>
      </c>
      <c r="AA801" t="s">
        <v>4377</v>
      </c>
      <c r="AB801" t="s">
        <v>5032</v>
      </c>
      <c r="AD801" t="s">
        <v>6408</v>
      </c>
      <c r="AE801">
        <v>50</v>
      </c>
      <c r="AF801" t="s">
        <v>7101</v>
      </c>
      <c r="AG801" t="s">
        <v>3745</v>
      </c>
      <c r="AH801">
        <v>12</v>
      </c>
      <c r="AI801">
        <v>1</v>
      </c>
      <c r="AJ801">
        <v>0</v>
      </c>
      <c r="AK801">
        <v>102.8</v>
      </c>
      <c r="AN801" t="s">
        <v>7139</v>
      </c>
      <c r="AO801">
        <v>12480</v>
      </c>
      <c r="AU801">
        <v>4.5</v>
      </c>
      <c r="AV801" t="s">
        <v>557</v>
      </c>
      <c r="AW801" t="s">
        <v>7342</v>
      </c>
    </row>
    <row r="802" spans="1:50">
      <c r="A802" s="1">
        <f>HYPERLINK("https://lsnyc.legalserver.org/matter/dynamic-profile/view/1888044","19-1888044")</f>
        <v>0</v>
      </c>
      <c r="B802" t="s">
        <v>52</v>
      </c>
      <c r="C802" t="s">
        <v>105</v>
      </c>
      <c r="D802" t="s">
        <v>303</v>
      </c>
      <c r="F802" t="s">
        <v>779</v>
      </c>
      <c r="G802" t="s">
        <v>2012</v>
      </c>
      <c r="H802" t="s">
        <v>2657</v>
      </c>
      <c r="I802" t="s">
        <v>3359</v>
      </c>
      <c r="J802" t="s">
        <v>3604</v>
      </c>
      <c r="K802">
        <v>10032</v>
      </c>
      <c r="L802" t="s">
        <v>3610</v>
      </c>
      <c r="M802" t="s">
        <v>3610</v>
      </c>
      <c r="P802" t="s">
        <v>4241</v>
      </c>
      <c r="R802" t="s">
        <v>4258</v>
      </c>
      <c r="S802" t="s">
        <v>3610</v>
      </c>
      <c r="U802" t="s">
        <v>4268</v>
      </c>
      <c r="W802" t="s">
        <v>303</v>
      </c>
      <c r="X802">
        <v>858.16</v>
      </c>
      <c r="Y802" t="s">
        <v>4351</v>
      </c>
      <c r="Z802" t="s">
        <v>4354</v>
      </c>
      <c r="AB802" t="s">
        <v>5022</v>
      </c>
      <c r="AE802">
        <v>42</v>
      </c>
      <c r="AF802" t="s">
        <v>7101</v>
      </c>
      <c r="AG802" t="s">
        <v>3745</v>
      </c>
      <c r="AH802">
        <v>35</v>
      </c>
      <c r="AI802">
        <v>1</v>
      </c>
      <c r="AJ802">
        <v>1</v>
      </c>
      <c r="AK802">
        <v>102.99</v>
      </c>
      <c r="AN802" t="s">
        <v>7139</v>
      </c>
      <c r="AO802">
        <v>16952</v>
      </c>
      <c r="AU802">
        <v>0.6</v>
      </c>
      <c r="AV802" t="s">
        <v>371</v>
      </c>
      <c r="AW802" t="s">
        <v>7342</v>
      </c>
    </row>
    <row r="803" spans="1:50">
      <c r="A803" s="1">
        <f>HYPERLINK("https://lsnyc.legalserver.org/matter/dynamic-profile/view/1864083","18-1864083")</f>
        <v>0</v>
      </c>
      <c r="B803" t="s">
        <v>56</v>
      </c>
      <c r="C803" t="s">
        <v>105</v>
      </c>
      <c r="D803" t="s">
        <v>161</v>
      </c>
      <c r="F803" t="s">
        <v>1153</v>
      </c>
      <c r="G803" t="s">
        <v>1576</v>
      </c>
      <c r="H803" t="s">
        <v>2534</v>
      </c>
      <c r="I803" t="s">
        <v>3359</v>
      </c>
      <c r="J803" t="s">
        <v>3604</v>
      </c>
      <c r="K803">
        <v>10040</v>
      </c>
      <c r="L803" t="s">
        <v>3610</v>
      </c>
      <c r="M803" t="s">
        <v>3609</v>
      </c>
      <c r="N803" t="s">
        <v>3656</v>
      </c>
      <c r="O803" t="s">
        <v>4213</v>
      </c>
      <c r="P803" t="s">
        <v>4241</v>
      </c>
      <c r="R803" t="s">
        <v>4258</v>
      </c>
      <c r="S803" t="s">
        <v>3610</v>
      </c>
      <c r="U803" t="s">
        <v>4268</v>
      </c>
      <c r="W803" t="s">
        <v>161</v>
      </c>
      <c r="X803">
        <v>340</v>
      </c>
      <c r="Y803" t="s">
        <v>4351</v>
      </c>
      <c r="Z803" t="s">
        <v>4357</v>
      </c>
      <c r="AB803" t="s">
        <v>5033</v>
      </c>
      <c r="AD803" t="s">
        <v>6409</v>
      </c>
      <c r="AE803">
        <v>44</v>
      </c>
      <c r="AF803" t="s">
        <v>7101</v>
      </c>
      <c r="AG803" t="s">
        <v>7116</v>
      </c>
      <c r="AH803">
        <v>22</v>
      </c>
      <c r="AI803">
        <v>2</v>
      </c>
      <c r="AJ803">
        <v>0</v>
      </c>
      <c r="AK803">
        <v>103.28</v>
      </c>
      <c r="AL803" t="s">
        <v>246</v>
      </c>
      <c r="AN803" t="s">
        <v>7139</v>
      </c>
      <c r="AO803">
        <v>17000</v>
      </c>
      <c r="AU803">
        <v>0.11</v>
      </c>
      <c r="AV803" t="s">
        <v>131</v>
      </c>
      <c r="AW803" t="s">
        <v>7342</v>
      </c>
    </row>
    <row r="804" spans="1:50">
      <c r="A804" s="1">
        <f>HYPERLINK("https://lsnyc.legalserver.org/matter/dynamic-profile/view/1893391","19-1893391")</f>
        <v>0</v>
      </c>
      <c r="B804" t="s">
        <v>68</v>
      </c>
      <c r="C804" t="s">
        <v>105</v>
      </c>
      <c r="D804" t="s">
        <v>504</v>
      </c>
      <c r="F804" t="s">
        <v>1154</v>
      </c>
      <c r="G804" t="s">
        <v>1863</v>
      </c>
      <c r="H804" t="s">
        <v>2531</v>
      </c>
      <c r="I804" t="s">
        <v>3311</v>
      </c>
      <c r="J804" t="s">
        <v>3604</v>
      </c>
      <c r="K804">
        <v>10035</v>
      </c>
      <c r="L804" t="s">
        <v>3610</v>
      </c>
      <c r="M804" t="s">
        <v>3609</v>
      </c>
      <c r="N804" t="s">
        <v>3654</v>
      </c>
      <c r="O804" t="s">
        <v>4211</v>
      </c>
      <c r="P804" t="s">
        <v>4246</v>
      </c>
      <c r="R804" t="s">
        <v>4258</v>
      </c>
      <c r="S804" t="s">
        <v>3610</v>
      </c>
      <c r="U804" t="s">
        <v>4268</v>
      </c>
      <c r="V804" t="s">
        <v>4274</v>
      </c>
      <c r="W804" t="s">
        <v>504</v>
      </c>
      <c r="X804">
        <v>831</v>
      </c>
      <c r="Y804" t="s">
        <v>4351</v>
      </c>
      <c r="Z804" t="s">
        <v>4357</v>
      </c>
      <c r="AB804" t="s">
        <v>5034</v>
      </c>
      <c r="AD804" t="s">
        <v>6410</v>
      </c>
      <c r="AE804">
        <v>35</v>
      </c>
      <c r="AF804" t="s">
        <v>7101</v>
      </c>
      <c r="AG804" t="s">
        <v>7118</v>
      </c>
      <c r="AH804">
        <v>32</v>
      </c>
      <c r="AI804">
        <v>1</v>
      </c>
      <c r="AJ804">
        <v>0</v>
      </c>
      <c r="AK804">
        <v>103.28</v>
      </c>
      <c r="AN804" t="s">
        <v>7138</v>
      </c>
      <c r="AO804">
        <v>12900</v>
      </c>
      <c r="AU804">
        <v>5.5</v>
      </c>
      <c r="AV804" t="s">
        <v>477</v>
      </c>
      <c r="AW804" t="s">
        <v>7341</v>
      </c>
      <c r="AX804" t="s">
        <v>7377</v>
      </c>
    </row>
    <row r="805" spans="1:50">
      <c r="A805" s="1">
        <f>HYPERLINK("https://lsnyc.legalserver.org/matter/dynamic-profile/view/1837947","17-1837947")</f>
        <v>0</v>
      </c>
      <c r="B805" t="s">
        <v>61</v>
      </c>
      <c r="C805" t="s">
        <v>105</v>
      </c>
      <c r="D805" t="s">
        <v>505</v>
      </c>
      <c r="F805" t="s">
        <v>777</v>
      </c>
      <c r="G805" t="s">
        <v>1024</v>
      </c>
      <c r="H805" t="s">
        <v>2897</v>
      </c>
      <c r="I805" t="s">
        <v>3365</v>
      </c>
      <c r="J805" t="s">
        <v>3604</v>
      </c>
      <c r="K805">
        <v>10040</v>
      </c>
      <c r="L805" t="s">
        <v>3610</v>
      </c>
      <c r="M805" t="s">
        <v>3609</v>
      </c>
      <c r="N805" t="s">
        <v>3894</v>
      </c>
      <c r="O805" t="s">
        <v>4210</v>
      </c>
      <c r="P805" t="s">
        <v>4245</v>
      </c>
      <c r="R805" t="s">
        <v>4258</v>
      </c>
      <c r="S805" t="s">
        <v>3611</v>
      </c>
      <c r="U805" t="s">
        <v>4268</v>
      </c>
      <c r="W805" t="s">
        <v>4282</v>
      </c>
      <c r="X805">
        <v>802</v>
      </c>
      <c r="Y805" t="s">
        <v>4351</v>
      </c>
      <c r="Z805" t="s">
        <v>4354</v>
      </c>
      <c r="AB805" t="s">
        <v>5035</v>
      </c>
      <c r="AD805" t="s">
        <v>6411</v>
      </c>
      <c r="AE805">
        <v>92</v>
      </c>
      <c r="AF805" t="s">
        <v>7101</v>
      </c>
      <c r="AG805" t="s">
        <v>3745</v>
      </c>
      <c r="AH805">
        <v>28</v>
      </c>
      <c r="AI805">
        <v>2</v>
      </c>
      <c r="AJ805">
        <v>0</v>
      </c>
      <c r="AK805">
        <v>103.37</v>
      </c>
      <c r="AL805" t="s">
        <v>7127</v>
      </c>
      <c r="AN805" t="s">
        <v>7139</v>
      </c>
      <c r="AO805">
        <v>16788</v>
      </c>
      <c r="AU805">
        <v>9.300000000000001</v>
      </c>
      <c r="AV805" t="s">
        <v>4340</v>
      </c>
      <c r="AW805" t="s">
        <v>7341</v>
      </c>
    </row>
    <row r="806" spans="1:50">
      <c r="A806" s="1">
        <f>HYPERLINK("https://lsnyc.legalserver.org/matter/dynamic-profile/view/1837977","17-1837977")</f>
        <v>0</v>
      </c>
      <c r="B806" t="s">
        <v>61</v>
      </c>
      <c r="C806" t="s">
        <v>105</v>
      </c>
      <c r="D806" t="s">
        <v>505</v>
      </c>
      <c r="F806" t="s">
        <v>777</v>
      </c>
      <c r="G806" t="s">
        <v>1024</v>
      </c>
      <c r="H806" t="s">
        <v>2897</v>
      </c>
      <c r="I806" t="s">
        <v>3365</v>
      </c>
      <c r="J806" t="s">
        <v>3604</v>
      </c>
      <c r="K806">
        <v>10040</v>
      </c>
      <c r="L806" t="s">
        <v>3610</v>
      </c>
      <c r="M806" t="s">
        <v>3609</v>
      </c>
      <c r="O806" t="s">
        <v>4211</v>
      </c>
      <c r="P806" t="s">
        <v>4244</v>
      </c>
      <c r="R806" t="s">
        <v>4258</v>
      </c>
      <c r="S806" t="s">
        <v>3611</v>
      </c>
      <c r="U806" t="s">
        <v>4268</v>
      </c>
      <c r="W806" t="s">
        <v>354</v>
      </c>
      <c r="X806">
        <v>802</v>
      </c>
      <c r="Y806" t="s">
        <v>4351</v>
      </c>
      <c r="Z806" t="s">
        <v>4354</v>
      </c>
      <c r="AB806" t="s">
        <v>5035</v>
      </c>
      <c r="AD806" t="s">
        <v>6411</v>
      </c>
      <c r="AE806">
        <v>92</v>
      </c>
      <c r="AF806" t="s">
        <v>7101</v>
      </c>
      <c r="AG806" t="s">
        <v>3745</v>
      </c>
      <c r="AH806">
        <v>28</v>
      </c>
      <c r="AI806">
        <v>2</v>
      </c>
      <c r="AJ806">
        <v>0</v>
      </c>
      <c r="AK806">
        <v>103.37</v>
      </c>
      <c r="AL806" t="s">
        <v>7128</v>
      </c>
      <c r="AN806" t="s">
        <v>7139</v>
      </c>
      <c r="AO806">
        <v>25584</v>
      </c>
      <c r="AU806">
        <v>0.6</v>
      </c>
      <c r="AV806" t="s">
        <v>410</v>
      </c>
      <c r="AW806" t="s">
        <v>7341</v>
      </c>
    </row>
    <row r="807" spans="1:50">
      <c r="A807" s="1">
        <f>HYPERLINK("https://lsnyc.legalserver.org/matter/dynamic-profile/view/1861935","18-1861935")</f>
        <v>0</v>
      </c>
      <c r="B807" t="s">
        <v>84</v>
      </c>
      <c r="C807" t="s">
        <v>104</v>
      </c>
      <c r="D807" t="s">
        <v>506</v>
      </c>
      <c r="E807" t="s">
        <v>329</v>
      </c>
      <c r="F807" t="s">
        <v>1155</v>
      </c>
      <c r="G807" t="s">
        <v>1399</v>
      </c>
      <c r="H807" t="s">
        <v>2898</v>
      </c>
      <c r="I807">
        <v>31</v>
      </c>
      <c r="J807" t="s">
        <v>3604</v>
      </c>
      <c r="K807">
        <v>10039</v>
      </c>
      <c r="L807" t="s">
        <v>3610</v>
      </c>
      <c r="M807" t="s">
        <v>3610</v>
      </c>
      <c r="N807" t="s">
        <v>3895</v>
      </c>
      <c r="O807" t="s">
        <v>4209</v>
      </c>
      <c r="P807" t="s">
        <v>4242</v>
      </c>
      <c r="Q807" t="s">
        <v>4250</v>
      </c>
      <c r="R807" t="s">
        <v>4258</v>
      </c>
      <c r="S807" t="s">
        <v>3611</v>
      </c>
      <c r="U807" t="s">
        <v>4268</v>
      </c>
      <c r="V807" t="s">
        <v>4274</v>
      </c>
      <c r="W807" t="s">
        <v>506</v>
      </c>
      <c r="X807">
        <v>1040.49</v>
      </c>
      <c r="Y807" t="s">
        <v>4351</v>
      </c>
      <c r="Z807" t="s">
        <v>4353</v>
      </c>
      <c r="AA807" t="s">
        <v>4373</v>
      </c>
      <c r="AB807" t="s">
        <v>5036</v>
      </c>
      <c r="AD807" t="s">
        <v>6412</v>
      </c>
      <c r="AE807">
        <v>69</v>
      </c>
      <c r="AF807" t="s">
        <v>7101</v>
      </c>
      <c r="AG807" t="s">
        <v>7116</v>
      </c>
      <c r="AH807">
        <v>0</v>
      </c>
      <c r="AI807">
        <v>3</v>
      </c>
      <c r="AJ807">
        <v>0</v>
      </c>
      <c r="AK807">
        <v>103.48</v>
      </c>
      <c r="AN807" t="s">
        <v>7138</v>
      </c>
      <c r="AO807">
        <v>21504</v>
      </c>
      <c r="AU807">
        <v>1.5</v>
      </c>
      <c r="AV807" t="s">
        <v>329</v>
      </c>
      <c r="AW807" t="s">
        <v>7342</v>
      </c>
    </row>
    <row r="808" spans="1:50">
      <c r="A808" s="1">
        <f>HYPERLINK("https://lsnyc.legalserver.org/matter/dynamic-profile/view/0820689","16-0820689")</f>
        <v>0</v>
      </c>
      <c r="B808" t="s">
        <v>64</v>
      </c>
      <c r="C808" t="s">
        <v>104</v>
      </c>
      <c r="D808" t="s">
        <v>369</v>
      </c>
      <c r="E808" t="s">
        <v>378</v>
      </c>
      <c r="F808" t="s">
        <v>1156</v>
      </c>
      <c r="G808" t="s">
        <v>1587</v>
      </c>
      <c r="H808" t="s">
        <v>2718</v>
      </c>
      <c r="I808" t="s">
        <v>3378</v>
      </c>
      <c r="J808" t="s">
        <v>3604</v>
      </c>
      <c r="K808">
        <v>10034</v>
      </c>
      <c r="L808" t="s">
        <v>3610</v>
      </c>
      <c r="M808" t="s">
        <v>3609</v>
      </c>
      <c r="N808" t="s">
        <v>3896</v>
      </c>
      <c r="O808" t="s">
        <v>4213</v>
      </c>
      <c r="P808" t="s">
        <v>4241</v>
      </c>
      <c r="Q808" t="s">
        <v>4248</v>
      </c>
      <c r="R808" t="s">
        <v>4258</v>
      </c>
      <c r="S808" t="s">
        <v>3610</v>
      </c>
      <c r="U808" t="s">
        <v>4268</v>
      </c>
      <c r="W808" t="s">
        <v>323</v>
      </c>
      <c r="X808">
        <v>556</v>
      </c>
      <c r="Y808" t="s">
        <v>4351</v>
      </c>
      <c r="Z808" t="s">
        <v>4352</v>
      </c>
      <c r="AA808" t="s">
        <v>4379</v>
      </c>
      <c r="AB808" t="s">
        <v>5037</v>
      </c>
      <c r="AE808">
        <v>65</v>
      </c>
      <c r="AF808" t="s">
        <v>7101</v>
      </c>
      <c r="AG808" t="s">
        <v>7118</v>
      </c>
      <c r="AH808">
        <v>25</v>
      </c>
      <c r="AI808">
        <v>3</v>
      </c>
      <c r="AJ808">
        <v>0</v>
      </c>
      <c r="AK808">
        <v>103.57</v>
      </c>
      <c r="AN808" t="s">
        <v>7139</v>
      </c>
      <c r="AO808">
        <v>20880</v>
      </c>
      <c r="AU808">
        <v>2.85</v>
      </c>
      <c r="AV808" t="s">
        <v>399</v>
      </c>
      <c r="AW808" t="s">
        <v>7341</v>
      </c>
    </row>
    <row r="809" spans="1:50">
      <c r="A809" s="1">
        <f>HYPERLINK("https://lsnyc.legalserver.org/matter/dynamic-profile/view/1881294","18-1881294")</f>
        <v>0</v>
      </c>
      <c r="B809" t="s">
        <v>53</v>
      </c>
      <c r="C809" t="s">
        <v>105</v>
      </c>
      <c r="D809" t="s">
        <v>306</v>
      </c>
      <c r="F809" t="s">
        <v>787</v>
      </c>
      <c r="G809" t="s">
        <v>2021</v>
      </c>
      <c r="H809" t="s">
        <v>2729</v>
      </c>
      <c r="I809">
        <v>52</v>
      </c>
      <c r="J809" t="s">
        <v>3604</v>
      </c>
      <c r="K809">
        <v>10039</v>
      </c>
      <c r="L809" t="s">
        <v>3610</v>
      </c>
      <c r="M809" t="s">
        <v>3610</v>
      </c>
      <c r="N809" t="s">
        <v>3767</v>
      </c>
      <c r="O809" t="s">
        <v>4213</v>
      </c>
      <c r="P809" t="s">
        <v>4241</v>
      </c>
      <c r="R809" t="s">
        <v>4258</v>
      </c>
      <c r="S809" t="s">
        <v>3610</v>
      </c>
      <c r="U809" t="s">
        <v>4268</v>
      </c>
      <c r="V809" t="s">
        <v>4274</v>
      </c>
      <c r="W809" t="s">
        <v>348</v>
      </c>
      <c r="X809">
        <v>196.5</v>
      </c>
      <c r="Y809" t="s">
        <v>4351</v>
      </c>
      <c r="Z809" t="s">
        <v>4354</v>
      </c>
      <c r="AB809" t="s">
        <v>5038</v>
      </c>
      <c r="AD809" t="s">
        <v>6158</v>
      </c>
      <c r="AE809">
        <v>24</v>
      </c>
      <c r="AF809" t="s">
        <v>7104</v>
      </c>
      <c r="AG809" t="s">
        <v>3745</v>
      </c>
      <c r="AH809">
        <v>50</v>
      </c>
      <c r="AI809">
        <v>2</v>
      </c>
      <c r="AJ809">
        <v>0</v>
      </c>
      <c r="AK809">
        <v>103.74</v>
      </c>
      <c r="AN809" t="s">
        <v>7138</v>
      </c>
      <c r="AO809">
        <v>17076</v>
      </c>
      <c r="AU809">
        <v>0</v>
      </c>
      <c r="AW809" t="s">
        <v>7341</v>
      </c>
    </row>
    <row r="810" spans="1:50">
      <c r="A810" s="1">
        <f>HYPERLINK("https://lsnyc.legalserver.org/matter/dynamic-profile/view/1868474","18-1868474")</f>
        <v>0</v>
      </c>
      <c r="B810" t="s">
        <v>59</v>
      </c>
      <c r="C810" t="s">
        <v>105</v>
      </c>
      <c r="D810" t="s">
        <v>225</v>
      </c>
      <c r="F810" t="s">
        <v>719</v>
      </c>
      <c r="G810" t="s">
        <v>2022</v>
      </c>
      <c r="H810" t="s">
        <v>2899</v>
      </c>
      <c r="I810">
        <v>57</v>
      </c>
      <c r="J810" t="s">
        <v>3604</v>
      </c>
      <c r="K810">
        <v>10031</v>
      </c>
      <c r="L810" t="s">
        <v>3611</v>
      </c>
      <c r="M810" t="s">
        <v>3609</v>
      </c>
      <c r="O810" t="s">
        <v>4211</v>
      </c>
      <c r="P810" t="s">
        <v>4245</v>
      </c>
      <c r="R810" t="s">
        <v>4258</v>
      </c>
      <c r="S810" t="s">
        <v>3610</v>
      </c>
      <c r="U810" t="s">
        <v>4268</v>
      </c>
      <c r="V810" t="s">
        <v>4274</v>
      </c>
      <c r="W810" t="s">
        <v>225</v>
      </c>
      <c r="X810">
        <v>834.46</v>
      </c>
      <c r="Y810" t="s">
        <v>4351</v>
      </c>
      <c r="AB810" t="s">
        <v>5039</v>
      </c>
      <c r="AD810" t="s">
        <v>6413</v>
      </c>
      <c r="AE810">
        <v>0</v>
      </c>
      <c r="AH810">
        <v>41</v>
      </c>
      <c r="AI810">
        <v>1</v>
      </c>
      <c r="AJ810">
        <v>0</v>
      </c>
      <c r="AK810">
        <v>103.79</v>
      </c>
      <c r="AN810" t="s">
        <v>7138</v>
      </c>
      <c r="AO810">
        <v>12600</v>
      </c>
      <c r="AU810">
        <v>0</v>
      </c>
      <c r="AW810" t="s">
        <v>76</v>
      </c>
    </row>
    <row r="811" spans="1:50">
      <c r="A811" s="1">
        <f>HYPERLINK("https://lsnyc.legalserver.org/matter/dynamic-profile/view/1853022","17-1853022")</f>
        <v>0</v>
      </c>
      <c r="B811" t="s">
        <v>55</v>
      </c>
      <c r="C811" t="s">
        <v>104</v>
      </c>
      <c r="D811" t="s">
        <v>507</v>
      </c>
      <c r="E811" t="s">
        <v>129</v>
      </c>
      <c r="F811" t="s">
        <v>932</v>
      </c>
      <c r="G811" t="s">
        <v>2023</v>
      </c>
      <c r="H811" t="s">
        <v>2868</v>
      </c>
      <c r="I811" t="s">
        <v>3458</v>
      </c>
      <c r="J811" t="s">
        <v>3604</v>
      </c>
      <c r="K811">
        <v>10029</v>
      </c>
      <c r="L811" t="s">
        <v>3610</v>
      </c>
      <c r="M811" t="s">
        <v>3610</v>
      </c>
      <c r="N811" t="s">
        <v>3897</v>
      </c>
      <c r="O811" t="s">
        <v>4209</v>
      </c>
      <c r="P811" t="s">
        <v>4241</v>
      </c>
      <c r="Q811" t="s">
        <v>4248</v>
      </c>
      <c r="R811" t="s">
        <v>4258</v>
      </c>
      <c r="S811" t="s">
        <v>3611</v>
      </c>
      <c r="U811" t="s">
        <v>4268</v>
      </c>
      <c r="W811" t="s">
        <v>507</v>
      </c>
      <c r="X811">
        <v>1394</v>
      </c>
      <c r="Y811" t="s">
        <v>4351</v>
      </c>
      <c r="Z811" t="s">
        <v>4354</v>
      </c>
      <c r="AA811" t="s">
        <v>4374</v>
      </c>
      <c r="AB811" t="s">
        <v>4503</v>
      </c>
      <c r="AD811" t="s">
        <v>6414</v>
      </c>
      <c r="AE811">
        <v>23</v>
      </c>
      <c r="AF811" t="s">
        <v>7101</v>
      </c>
      <c r="AG811" t="s">
        <v>3745</v>
      </c>
      <c r="AH811">
        <v>4</v>
      </c>
      <c r="AI811">
        <v>2</v>
      </c>
      <c r="AJ811">
        <v>0</v>
      </c>
      <c r="AK811">
        <v>104.19</v>
      </c>
      <c r="AN811" t="s">
        <v>7138</v>
      </c>
      <c r="AO811">
        <v>16920</v>
      </c>
      <c r="AU811">
        <v>32.8</v>
      </c>
      <c r="AV811" t="s">
        <v>7314</v>
      </c>
      <c r="AW811" t="s">
        <v>7341</v>
      </c>
    </row>
    <row r="812" spans="1:50">
      <c r="A812" s="1">
        <f>HYPERLINK("https://lsnyc.legalserver.org/matter/dynamic-profile/view/1836415","17-1836415")</f>
        <v>0</v>
      </c>
      <c r="B812" t="s">
        <v>56</v>
      </c>
      <c r="C812" t="s">
        <v>105</v>
      </c>
      <c r="D812" t="s">
        <v>418</v>
      </c>
      <c r="F812" t="s">
        <v>1151</v>
      </c>
      <c r="G812" t="s">
        <v>2018</v>
      </c>
      <c r="H812" t="s">
        <v>2534</v>
      </c>
      <c r="I812" t="s">
        <v>3279</v>
      </c>
      <c r="J812" t="s">
        <v>3604</v>
      </c>
      <c r="K812">
        <v>10040</v>
      </c>
      <c r="L812" t="s">
        <v>3610</v>
      </c>
      <c r="M812" t="s">
        <v>3609</v>
      </c>
      <c r="N812" t="s">
        <v>3656</v>
      </c>
      <c r="O812" t="s">
        <v>4213</v>
      </c>
      <c r="P812" t="s">
        <v>4243</v>
      </c>
      <c r="R812" t="s">
        <v>4258</v>
      </c>
      <c r="S812" t="s">
        <v>3610</v>
      </c>
      <c r="U812" t="s">
        <v>4268</v>
      </c>
      <c r="W812" t="s">
        <v>4299</v>
      </c>
      <c r="X812">
        <v>892.52</v>
      </c>
      <c r="Y812" t="s">
        <v>4351</v>
      </c>
      <c r="Z812" t="s">
        <v>4352</v>
      </c>
      <c r="AB812" t="s">
        <v>5029</v>
      </c>
      <c r="AD812" t="s">
        <v>6405</v>
      </c>
      <c r="AE812">
        <v>45</v>
      </c>
      <c r="AF812" t="s">
        <v>7101</v>
      </c>
      <c r="AG812" t="s">
        <v>3745</v>
      </c>
      <c r="AH812">
        <v>13</v>
      </c>
      <c r="AI812">
        <v>2</v>
      </c>
      <c r="AJ812">
        <v>1</v>
      </c>
      <c r="AK812">
        <v>104.41</v>
      </c>
      <c r="AL812" t="s">
        <v>246</v>
      </c>
      <c r="AN812" t="s">
        <v>7139</v>
      </c>
      <c r="AO812">
        <v>21320</v>
      </c>
      <c r="AU812">
        <v>2.01</v>
      </c>
      <c r="AV812" t="s">
        <v>131</v>
      </c>
      <c r="AW812" t="s">
        <v>7341</v>
      </c>
    </row>
    <row r="813" spans="1:50">
      <c r="A813" s="1">
        <f>HYPERLINK("https://lsnyc.legalserver.org/matter/dynamic-profile/view/1836401","17-1836401")</f>
        <v>0</v>
      </c>
      <c r="B813" t="s">
        <v>56</v>
      </c>
      <c r="C813" t="s">
        <v>105</v>
      </c>
      <c r="D813" t="s">
        <v>418</v>
      </c>
      <c r="F813" t="s">
        <v>1153</v>
      </c>
      <c r="G813" t="s">
        <v>1576</v>
      </c>
      <c r="H813" t="s">
        <v>2534</v>
      </c>
      <c r="I813" t="s">
        <v>3359</v>
      </c>
      <c r="J813" t="s">
        <v>3604</v>
      </c>
      <c r="K813">
        <v>10040</v>
      </c>
      <c r="L813" t="s">
        <v>3609</v>
      </c>
      <c r="M813" t="s">
        <v>3609</v>
      </c>
      <c r="O813" t="s">
        <v>4213</v>
      </c>
      <c r="P813" t="s">
        <v>4243</v>
      </c>
      <c r="R813" t="s">
        <v>4258</v>
      </c>
      <c r="S813" t="s">
        <v>3610</v>
      </c>
      <c r="U813" t="s">
        <v>4268</v>
      </c>
      <c r="W813" t="s">
        <v>4282</v>
      </c>
      <c r="X813">
        <v>0</v>
      </c>
      <c r="Y813" t="s">
        <v>4351</v>
      </c>
      <c r="Z813" t="s">
        <v>4352</v>
      </c>
      <c r="AB813" t="s">
        <v>5033</v>
      </c>
      <c r="AD813" t="s">
        <v>6409</v>
      </c>
      <c r="AE813">
        <v>45</v>
      </c>
      <c r="AF813" t="s">
        <v>7101</v>
      </c>
      <c r="AG813" t="s">
        <v>3745</v>
      </c>
      <c r="AH813">
        <v>22</v>
      </c>
      <c r="AI813">
        <v>2</v>
      </c>
      <c r="AJ813">
        <v>0</v>
      </c>
      <c r="AK813">
        <v>104.68</v>
      </c>
      <c r="AN813" t="s">
        <v>7139</v>
      </c>
      <c r="AO813">
        <v>17000</v>
      </c>
      <c r="AU813">
        <v>5.51</v>
      </c>
      <c r="AV813" t="s">
        <v>131</v>
      </c>
      <c r="AW813" t="s">
        <v>7341</v>
      </c>
    </row>
    <row r="814" spans="1:50">
      <c r="A814" s="1">
        <f>HYPERLINK("https://lsnyc.legalserver.org/matter/dynamic-profile/view/1859120","18-1859120")</f>
        <v>0</v>
      </c>
      <c r="B814" t="s">
        <v>56</v>
      </c>
      <c r="C814" t="s">
        <v>104</v>
      </c>
      <c r="D814" t="s">
        <v>457</v>
      </c>
      <c r="E814" t="s">
        <v>174</v>
      </c>
      <c r="F814" t="s">
        <v>1157</v>
      </c>
      <c r="G814" t="s">
        <v>2024</v>
      </c>
      <c r="H814" t="s">
        <v>2900</v>
      </c>
      <c r="I814">
        <v>48</v>
      </c>
      <c r="J814" t="s">
        <v>3604</v>
      </c>
      <c r="K814">
        <v>10034</v>
      </c>
      <c r="L814" t="s">
        <v>3610</v>
      </c>
      <c r="M814" t="s">
        <v>3609</v>
      </c>
      <c r="O814" t="s">
        <v>4210</v>
      </c>
      <c r="P814" t="s">
        <v>4241</v>
      </c>
      <c r="Q814" t="s">
        <v>4248</v>
      </c>
      <c r="R814" t="s">
        <v>4258</v>
      </c>
      <c r="S814" t="s">
        <v>3611</v>
      </c>
      <c r="U814" t="s">
        <v>4268</v>
      </c>
      <c r="W814" t="s">
        <v>457</v>
      </c>
      <c r="X814">
        <v>1265.8</v>
      </c>
      <c r="Y814" t="s">
        <v>4351</v>
      </c>
      <c r="Z814" t="s">
        <v>4354</v>
      </c>
      <c r="AA814" t="s">
        <v>4374</v>
      </c>
      <c r="AB814" t="s">
        <v>5040</v>
      </c>
      <c r="AD814" t="s">
        <v>6415</v>
      </c>
      <c r="AE814">
        <v>41</v>
      </c>
      <c r="AF814" t="s">
        <v>7101</v>
      </c>
      <c r="AG814" t="s">
        <v>7118</v>
      </c>
      <c r="AH814">
        <v>26</v>
      </c>
      <c r="AI814">
        <v>1</v>
      </c>
      <c r="AJ814">
        <v>0</v>
      </c>
      <c r="AK814">
        <v>104.68</v>
      </c>
      <c r="AN814" t="s">
        <v>7138</v>
      </c>
      <c r="AO814">
        <v>12624</v>
      </c>
      <c r="AU814">
        <v>41.53</v>
      </c>
      <c r="AV814" t="s">
        <v>678</v>
      </c>
      <c r="AW814" t="s">
        <v>7342</v>
      </c>
      <c r="AX814" t="s">
        <v>7377</v>
      </c>
    </row>
    <row r="815" spans="1:50">
      <c r="A815" s="1">
        <f>HYPERLINK("https://lsnyc.legalserver.org/matter/dynamic-profile/view/1863506","18-1863506")</f>
        <v>0</v>
      </c>
      <c r="B815" t="s">
        <v>61</v>
      </c>
      <c r="C815" t="s">
        <v>104</v>
      </c>
      <c r="D815" t="s">
        <v>508</v>
      </c>
      <c r="E815" t="s">
        <v>662</v>
      </c>
      <c r="F815" t="s">
        <v>1016</v>
      </c>
      <c r="G815" t="s">
        <v>2025</v>
      </c>
      <c r="H815" t="s">
        <v>2725</v>
      </c>
      <c r="I815">
        <v>53</v>
      </c>
      <c r="J815" t="s">
        <v>3604</v>
      </c>
      <c r="K815">
        <v>10031</v>
      </c>
      <c r="L815" t="s">
        <v>3610</v>
      </c>
      <c r="M815" t="s">
        <v>3609</v>
      </c>
      <c r="O815" t="s">
        <v>4219</v>
      </c>
      <c r="P815" t="s">
        <v>4244</v>
      </c>
      <c r="Q815" t="s">
        <v>4251</v>
      </c>
      <c r="R815" t="s">
        <v>4258</v>
      </c>
      <c r="S815" t="s">
        <v>3611</v>
      </c>
      <c r="U815" t="s">
        <v>4268</v>
      </c>
      <c r="W815" t="s">
        <v>508</v>
      </c>
      <c r="X815">
        <v>566.6799999999999</v>
      </c>
      <c r="Y815" t="s">
        <v>4351</v>
      </c>
      <c r="Z815" t="s">
        <v>4354</v>
      </c>
      <c r="AA815" t="s">
        <v>4377</v>
      </c>
      <c r="AB815" t="s">
        <v>5041</v>
      </c>
      <c r="AD815" t="s">
        <v>6416</v>
      </c>
      <c r="AE815">
        <v>30</v>
      </c>
      <c r="AF815" t="s">
        <v>7101</v>
      </c>
      <c r="AG815" t="s">
        <v>3745</v>
      </c>
      <c r="AH815">
        <v>26</v>
      </c>
      <c r="AI815">
        <v>2</v>
      </c>
      <c r="AJ815">
        <v>0</v>
      </c>
      <c r="AK815">
        <v>104.69</v>
      </c>
      <c r="AL815" t="s">
        <v>614</v>
      </c>
      <c r="AN815" t="s">
        <v>7138</v>
      </c>
      <c r="AO815">
        <v>17232</v>
      </c>
      <c r="AU815">
        <v>40.2</v>
      </c>
      <c r="AV815" t="s">
        <v>283</v>
      </c>
      <c r="AW815" t="s">
        <v>7342</v>
      </c>
    </row>
    <row r="816" spans="1:50">
      <c r="A816" s="1">
        <f>HYPERLINK("https://lsnyc.legalserver.org/matter/dynamic-profile/view/1856641","18-1856641")</f>
        <v>0</v>
      </c>
      <c r="B816" t="s">
        <v>91</v>
      </c>
      <c r="C816" t="s">
        <v>105</v>
      </c>
      <c r="D816" t="s">
        <v>509</v>
      </c>
      <c r="F816" t="s">
        <v>1158</v>
      </c>
      <c r="G816" t="s">
        <v>2026</v>
      </c>
      <c r="H816" t="s">
        <v>2901</v>
      </c>
      <c r="I816" t="s">
        <v>3315</v>
      </c>
      <c r="J816" t="s">
        <v>3604</v>
      </c>
      <c r="K816">
        <v>10029</v>
      </c>
      <c r="L816" t="s">
        <v>3610</v>
      </c>
      <c r="M816" t="s">
        <v>3609</v>
      </c>
      <c r="N816" t="s">
        <v>3898</v>
      </c>
      <c r="O816" t="s">
        <v>4210</v>
      </c>
      <c r="P816" t="s">
        <v>4241</v>
      </c>
      <c r="R816" t="s">
        <v>4258</v>
      </c>
      <c r="S816" t="s">
        <v>3611</v>
      </c>
      <c r="U816" t="s">
        <v>4268</v>
      </c>
      <c r="W816" t="s">
        <v>399</v>
      </c>
      <c r="X816">
        <v>771</v>
      </c>
      <c r="Y816" t="s">
        <v>4351</v>
      </c>
      <c r="Z816" t="s">
        <v>4354</v>
      </c>
      <c r="AB816" t="s">
        <v>5042</v>
      </c>
      <c r="AD816" t="s">
        <v>6417</v>
      </c>
      <c r="AE816">
        <v>23</v>
      </c>
      <c r="AF816" t="s">
        <v>7101</v>
      </c>
      <c r="AG816" t="s">
        <v>3745</v>
      </c>
      <c r="AH816">
        <v>20</v>
      </c>
      <c r="AI816">
        <v>5</v>
      </c>
      <c r="AJ816">
        <v>2</v>
      </c>
      <c r="AK816">
        <v>105.01</v>
      </c>
      <c r="AN816" t="s">
        <v>7138</v>
      </c>
      <c r="AO816">
        <v>39000</v>
      </c>
      <c r="AU816">
        <v>33.6</v>
      </c>
      <c r="AV816" t="s">
        <v>622</v>
      </c>
      <c r="AW816" t="s">
        <v>7344</v>
      </c>
    </row>
    <row r="817" spans="1:50">
      <c r="A817" s="1">
        <f>HYPERLINK("https://lsnyc.legalserver.org/matter/dynamic-profile/view/1863534","18-1863534")</f>
        <v>0</v>
      </c>
      <c r="B817" t="s">
        <v>61</v>
      </c>
      <c r="C817" t="s">
        <v>105</v>
      </c>
      <c r="D817" t="s">
        <v>508</v>
      </c>
      <c r="F817" t="s">
        <v>1016</v>
      </c>
      <c r="G817" t="s">
        <v>2025</v>
      </c>
      <c r="H817" t="s">
        <v>2725</v>
      </c>
      <c r="I817">
        <v>53</v>
      </c>
      <c r="J817" t="s">
        <v>3604</v>
      </c>
      <c r="K817">
        <v>10031</v>
      </c>
      <c r="L817" t="s">
        <v>3610</v>
      </c>
      <c r="M817" t="s">
        <v>3609</v>
      </c>
      <c r="O817" t="s">
        <v>4225</v>
      </c>
      <c r="P817" t="s">
        <v>4245</v>
      </c>
      <c r="R817" t="s">
        <v>4258</v>
      </c>
      <c r="S817" t="s">
        <v>3611</v>
      </c>
      <c r="U817" t="s">
        <v>4268</v>
      </c>
      <c r="W817" t="s">
        <v>508</v>
      </c>
      <c r="X817">
        <v>566.6799999999999</v>
      </c>
      <c r="Y817" t="s">
        <v>4351</v>
      </c>
      <c r="Z817" t="s">
        <v>4354</v>
      </c>
      <c r="AB817" t="s">
        <v>5041</v>
      </c>
      <c r="AD817" t="s">
        <v>6416</v>
      </c>
      <c r="AE817">
        <v>30</v>
      </c>
      <c r="AF817" t="s">
        <v>7101</v>
      </c>
      <c r="AG817" t="s">
        <v>3745</v>
      </c>
      <c r="AH817">
        <v>26</v>
      </c>
      <c r="AI817">
        <v>2</v>
      </c>
      <c r="AJ817">
        <v>0</v>
      </c>
      <c r="AK817">
        <v>105.24</v>
      </c>
      <c r="AL817" t="s">
        <v>614</v>
      </c>
      <c r="AN817" t="s">
        <v>7138</v>
      </c>
      <c r="AO817">
        <v>34555</v>
      </c>
      <c r="AU817">
        <v>17.6</v>
      </c>
      <c r="AV817" t="s">
        <v>208</v>
      </c>
      <c r="AW817" t="s">
        <v>7342</v>
      </c>
    </row>
    <row r="818" spans="1:50">
      <c r="A818" s="1">
        <f>HYPERLINK("https://lsnyc.legalserver.org/matter/dynamic-profile/view/1860843","18-1860843")</f>
        <v>0</v>
      </c>
      <c r="B818" t="s">
        <v>61</v>
      </c>
      <c r="C818" t="s">
        <v>104</v>
      </c>
      <c r="D818" t="s">
        <v>127</v>
      </c>
      <c r="E818" t="s">
        <v>201</v>
      </c>
      <c r="F818" t="s">
        <v>705</v>
      </c>
      <c r="G818" t="s">
        <v>2027</v>
      </c>
      <c r="H818" t="s">
        <v>2882</v>
      </c>
      <c r="I818" t="s">
        <v>3461</v>
      </c>
      <c r="J818" t="s">
        <v>3604</v>
      </c>
      <c r="K818">
        <v>10034</v>
      </c>
      <c r="L818" t="s">
        <v>3610</v>
      </c>
      <c r="M818" t="s">
        <v>3610</v>
      </c>
      <c r="O818" t="s">
        <v>4217</v>
      </c>
      <c r="P818" t="s">
        <v>4245</v>
      </c>
      <c r="Q818" t="s">
        <v>4249</v>
      </c>
      <c r="R818" t="s">
        <v>4258</v>
      </c>
      <c r="S818" t="s">
        <v>3611</v>
      </c>
      <c r="U818" t="s">
        <v>4268</v>
      </c>
      <c r="W818" t="s">
        <v>127</v>
      </c>
      <c r="X818">
        <v>0</v>
      </c>
      <c r="Y818" t="s">
        <v>4351</v>
      </c>
      <c r="Z818" t="s">
        <v>4357</v>
      </c>
      <c r="AA818" t="s">
        <v>4377</v>
      </c>
      <c r="AB818" t="s">
        <v>5043</v>
      </c>
      <c r="AD818" t="s">
        <v>6418</v>
      </c>
      <c r="AE818">
        <v>73</v>
      </c>
      <c r="AF818" t="s">
        <v>7101</v>
      </c>
      <c r="AG818" t="s">
        <v>7118</v>
      </c>
      <c r="AH818">
        <v>38</v>
      </c>
      <c r="AI818">
        <v>2</v>
      </c>
      <c r="AJ818">
        <v>1</v>
      </c>
      <c r="AK818">
        <v>105.51</v>
      </c>
      <c r="AN818" t="s">
        <v>7139</v>
      </c>
      <c r="AO818">
        <v>37320</v>
      </c>
      <c r="AU818">
        <v>1.4</v>
      </c>
      <c r="AV818" t="s">
        <v>366</v>
      </c>
      <c r="AW818" t="s">
        <v>7342</v>
      </c>
    </row>
    <row r="819" spans="1:50">
      <c r="A819" s="1">
        <f>HYPERLINK("https://lsnyc.legalserver.org/matter/dynamic-profile/view/1888681","19-1888681")</f>
        <v>0</v>
      </c>
      <c r="B819" t="s">
        <v>61</v>
      </c>
      <c r="C819" t="s">
        <v>105</v>
      </c>
      <c r="D819" t="s">
        <v>113</v>
      </c>
      <c r="F819" t="s">
        <v>862</v>
      </c>
      <c r="G819" t="s">
        <v>1586</v>
      </c>
      <c r="H819" t="s">
        <v>2556</v>
      </c>
      <c r="I819">
        <v>24</v>
      </c>
      <c r="J819" t="s">
        <v>3604</v>
      </c>
      <c r="K819">
        <v>10034</v>
      </c>
      <c r="L819" t="s">
        <v>3610</v>
      </c>
      <c r="M819" t="s">
        <v>3610</v>
      </c>
      <c r="N819" t="s">
        <v>3739</v>
      </c>
      <c r="O819" t="s">
        <v>4213</v>
      </c>
      <c r="P819" t="s">
        <v>4241</v>
      </c>
      <c r="R819" t="s">
        <v>4258</v>
      </c>
      <c r="S819" t="s">
        <v>3610</v>
      </c>
      <c r="U819" t="s">
        <v>4268</v>
      </c>
      <c r="W819" t="s">
        <v>113</v>
      </c>
      <c r="X819">
        <v>947.89</v>
      </c>
      <c r="Y819" t="s">
        <v>4351</v>
      </c>
      <c r="Z819" t="s">
        <v>4357</v>
      </c>
      <c r="AB819" t="s">
        <v>5044</v>
      </c>
      <c r="AD819" t="s">
        <v>6419</v>
      </c>
      <c r="AE819">
        <v>25</v>
      </c>
      <c r="AF819" t="s">
        <v>7101</v>
      </c>
      <c r="AG819" t="s">
        <v>7118</v>
      </c>
      <c r="AH819">
        <v>20</v>
      </c>
      <c r="AI819">
        <v>3</v>
      </c>
      <c r="AJ819">
        <v>0</v>
      </c>
      <c r="AK819">
        <v>105.65</v>
      </c>
      <c r="AN819" t="s">
        <v>7139</v>
      </c>
      <c r="AO819">
        <v>22536</v>
      </c>
      <c r="AU819">
        <v>0.5</v>
      </c>
      <c r="AV819" t="s">
        <v>113</v>
      </c>
      <c r="AW819" t="s">
        <v>7342</v>
      </c>
    </row>
    <row r="820" spans="1:50">
      <c r="A820" s="1">
        <f>HYPERLINK("https://lsnyc.legalserver.org/matter/dynamic-profile/view/1839297","17-1839297")</f>
        <v>0</v>
      </c>
      <c r="B820" t="s">
        <v>64</v>
      </c>
      <c r="C820" t="s">
        <v>104</v>
      </c>
      <c r="D820" t="s">
        <v>206</v>
      </c>
      <c r="E820" t="s">
        <v>664</v>
      </c>
      <c r="F820" t="s">
        <v>1098</v>
      </c>
      <c r="G820" t="s">
        <v>887</v>
      </c>
      <c r="H820" t="s">
        <v>2902</v>
      </c>
      <c r="I820" t="s">
        <v>3357</v>
      </c>
      <c r="J820" t="s">
        <v>3604</v>
      </c>
      <c r="K820">
        <v>10033</v>
      </c>
      <c r="L820" t="s">
        <v>3610</v>
      </c>
      <c r="M820" t="s">
        <v>3609</v>
      </c>
      <c r="N820" t="s">
        <v>3899</v>
      </c>
      <c r="O820" t="s">
        <v>4209</v>
      </c>
      <c r="P820" t="s">
        <v>4241</v>
      </c>
      <c r="Q820" t="s">
        <v>4248</v>
      </c>
      <c r="R820" t="s">
        <v>4258</v>
      </c>
      <c r="S820" t="s">
        <v>3611</v>
      </c>
      <c r="U820" t="s">
        <v>4268</v>
      </c>
      <c r="W820" t="s">
        <v>133</v>
      </c>
      <c r="X820">
        <v>878.51</v>
      </c>
      <c r="Y820" t="s">
        <v>4351</v>
      </c>
      <c r="Z820" t="s">
        <v>4354</v>
      </c>
      <c r="AA820" t="s">
        <v>4388</v>
      </c>
      <c r="AB820" t="s">
        <v>5045</v>
      </c>
      <c r="AD820" t="s">
        <v>6420</v>
      </c>
      <c r="AE820">
        <v>49</v>
      </c>
      <c r="AF820" t="s">
        <v>7101</v>
      </c>
      <c r="AG820" t="s">
        <v>7116</v>
      </c>
      <c r="AH820">
        <v>27</v>
      </c>
      <c r="AI820">
        <v>2</v>
      </c>
      <c r="AJ820">
        <v>0</v>
      </c>
      <c r="AK820">
        <v>105.67</v>
      </c>
      <c r="AL820" t="s">
        <v>367</v>
      </c>
      <c r="AN820" t="s">
        <v>7139</v>
      </c>
      <c r="AO820">
        <v>17160</v>
      </c>
      <c r="AU820">
        <v>34.55</v>
      </c>
      <c r="AV820" t="s">
        <v>413</v>
      </c>
      <c r="AW820" t="s">
        <v>7342</v>
      </c>
    </row>
    <row r="821" spans="1:50">
      <c r="A821" s="1">
        <f>HYPERLINK("https://lsnyc.legalserver.org/matter/dynamic-profile/view/1895534","19-1895534")</f>
        <v>0</v>
      </c>
      <c r="B821" t="s">
        <v>61</v>
      </c>
      <c r="C821" t="s">
        <v>105</v>
      </c>
      <c r="D821" t="s">
        <v>179</v>
      </c>
      <c r="F821" t="s">
        <v>738</v>
      </c>
      <c r="G821" t="s">
        <v>2028</v>
      </c>
      <c r="H821" t="s">
        <v>2903</v>
      </c>
      <c r="I821" t="s">
        <v>3279</v>
      </c>
      <c r="J821" t="s">
        <v>3604</v>
      </c>
      <c r="K821">
        <v>10034</v>
      </c>
      <c r="L821" t="s">
        <v>3610</v>
      </c>
      <c r="M821" t="s">
        <v>3610</v>
      </c>
      <c r="N821" t="s">
        <v>3900</v>
      </c>
      <c r="O821" t="s">
        <v>4236</v>
      </c>
      <c r="P821" t="s">
        <v>4243</v>
      </c>
      <c r="R821" t="s">
        <v>4258</v>
      </c>
      <c r="S821" t="s">
        <v>3611</v>
      </c>
      <c r="U821" t="s">
        <v>4268</v>
      </c>
      <c r="V821" t="s">
        <v>4274</v>
      </c>
      <c r="W821" t="s">
        <v>179</v>
      </c>
      <c r="X821">
        <v>450.25</v>
      </c>
      <c r="Y821" t="s">
        <v>4351</v>
      </c>
      <c r="Z821" t="s">
        <v>4228</v>
      </c>
      <c r="AB821" t="s">
        <v>5046</v>
      </c>
      <c r="AD821" t="s">
        <v>6421</v>
      </c>
      <c r="AE821">
        <v>49</v>
      </c>
      <c r="AF821" t="s">
        <v>7101</v>
      </c>
      <c r="AG821" t="s">
        <v>3745</v>
      </c>
      <c r="AH821">
        <v>50</v>
      </c>
      <c r="AI821">
        <v>1</v>
      </c>
      <c r="AJ821">
        <v>0</v>
      </c>
      <c r="AK821">
        <v>105.68</v>
      </c>
      <c r="AN821" t="s">
        <v>7138</v>
      </c>
      <c r="AO821">
        <v>13200</v>
      </c>
      <c r="AU821">
        <v>10.3</v>
      </c>
      <c r="AV821" t="s">
        <v>390</v>
      </c>
      <c r="AW821" t="s">
        <v>7341</v>
      </c>
      <c r="AX821" t="s">
        <v>7377</v>
      </c>
    </row>
    <row r="822" spans="1:50">
      <c r="A822" s="1">
        <f>HYPERLINK("https://lsnyc.legalserver.org/matter/dynamic-profile/view/1840099","17-1840099")</f>
        <v>0</v>
      </c>
      <c r="B822" t="s">
        <v>53</v>
      </c>
      <c r="C822" t="s">
        <v>104</v>
      </c>
      <c r="D822" t="s">
        <v>498</v>
      </c>
      <c r="E822" t="s">
        <v>660</v>
      </c>
      <c r="F822" t="s">
        <v>1159</v>
      </c>
      <c r="G822" t="s">
        <v>1961</v>
      </c>
      <c r="H822" t="s">
        <v>2833</v>
      </c>
      <c r="I822">
        <v>54</v>
      </c>
      <c r="J822" t="s">
        <v>3604</v>
      </c>
      <c r="K822">
        <v>10040</v>
      </c>
      <c r="L822" t="s">
        <v>3610</v>
      </c>
      <c r="M822" t="s">
        <v>3609</v>
      </c>
      <c r="N822" t="s">
        <v>3883</v>
      </c>
      <c r="O822" t="s">
        <v>4213</v>
      </c>
      <c r="P822" t="s">
        <v>4242</v>
      </c>
      <c r="Q822" t="s">
        <v>4250</v>
      </c>
      <c r="R822" t="s">
        <v>4258</v>
      </c>
      <c r="S822" t="s">
        <v>3610</v>
      </c>
      <c r="U822" t="s">
        <v>4268</v>
      </c>
      <c r="W822" t="s">
        <v>354</v>
      </c>
      <c r="X822">
        <v>1295</v>
      </c>
      <c r="Y822" t="s">
        <v>4351</v>
      </c>
      <c r="Z822" t="s">
        <v>4352</v>
      </c>
      <c r="AA822" t="s">
        <v>4373</v>
      </c>
      <c r="AB822" t="s">
        <v>5047</v>
      </c>
      <c r="AD822" t="s">
        <v>6422</v>
      </c>
      <c r="AE822">
        <v>45</v>
      </c>
      <c r="AF822" t="s">
        <v>7101</v>
      </c>
      <c r="AG822" t="s">
        <v>3745</v>
      </c>
      <c r="AH822">
        <v>6</v>
      </c>
      <c r="AI822">
        <v>2</v>
      </c>
      <c r="AJ822">
        <v>2</v>
      </c>
      <c r="AK822">
        <v>105.69</v>
      </c>
      <c r="AL822" t="s">
        <v>183</v>
      </c>
      <c r="AN822" t="s">
        <v>7139</v>
      </c>
      <c r="AO822">
        <v>26000</v>
      </c>
      <c r="AU822">
        <v>1</v>
      </c>
      <c r="AV822" t="s">
        <v>210</v>
      </c>
      <c r="AW822" t="s">
        <v>7342</v>
      </c>
    </row>
    <row r="823" spans="1:50">
      <c r="A823" s="1">
        <f>HYPERLINK("https://lsnyc.legalserver.org/matter/dynamic-profile/view/1867904","18-1867904")</f>
        <v>0</v>
      </c>
      <c r="B823" t="s">
        <v>53</v>
      </c>
      <c r="C823" t="s">
        <v>105</v>
      </c>
      <c r="D823" t="s">
        <v>411</v>
      </c>
      <c r="F823" t="s">
        <v>1160</v>
      </c>
      <c r="G823" t="s">
        <v>2029</v>
      </c>
      <c r="H823" t="s">
        <v>2636</v>
      </c>
      <c r="I823" t="s">
        <v>3359</v>
      </c>
      <c r="J823" t="s">
        <v>3604</v>
      </c>
      <c r="K823">
        <v>10031</v>
      </c>
      <c r="L823" t="s">
        <v>3610</v>
      </c>
      <c r="M823" t="s">
        <v>3609</v>
      </c>
      <c r="O823" t="s">
        <v>4213</v>
      </c>
      <c r="P823" t="s">
        <v>4245</v>
      </c>
      <c r="R823" t="s">
        <v>4258</v>
      </c>
      <c r="S823" t="s">
        <v>3610</v>
      </c>
      <c r="U823" t="s">
        <v>4268</v>
      </c>
      <c r="W823" t="s">
        <v>411</v>
      </c>
      <c r="X823">
        <v>1712</v>
      </c>
      <c r="Y823" t="s">
        <v>4351</v>
      </c>
      <c r="Z823" t="s">
        <v>4352</v>
      </c>
      <c r="AB823" t="s">
        <v>5048</v>
      </c>
      <c r="AD823" t="s">
        <v>6423</v>
      </c>
      <c r="AE823">
        <v>42</v>
      </c>
      <c r="AF823" t="s">
        <v>7106</v>
      </c>
      <c r="AG823" t="s">
        <v>7116</v>
      </c>
      <c r="AH823">
        <v>35</v>
      </c>
      <c r="AI823">
        <v>1</v>
      </c>
      <c r="AJ823">
        <v>0</v>
      </c>
      <c r="AK823">
        <v>105.86</v>
      </c>
      <c r="AN823" t="s">
        <v>7138</v>
      </c>
      <c r="AO823">
        <v>12852</v>
      </c>
      <c r="AU823">
        <v>0.25</v>
      </c>
      <c r="AV823" t="s">
        <v>571</v>
      </c>
      <c r="AW823" t="s">
        <v>7341</v>
      </c>
      <c r="AX823" t="s">
        <v>7377</v>
      </c>
    </row>
    <row r="824" spans="1:50">
      <c r="A824" s="1">
        <f>HYPERLINK("https://lsnyc.legalserver.org/matter/dynamic-profile/view/0830874","17-0830874")</f>
        <v>0</v>
      </c>
      <c r="B824" t="s">
        <v>64</v>
      </c>
      <c r="C824" t="s">
        <v>105</v>
      </c>
      <c r="D824" t="s">
        <v>243</v>
      </c>
      <c r="F824" t="s">
        <v>1161</v>
      </c>
      <c r="G824" t="s">
        <v>1594</v>
      </c>
      <c r="H824" t="s">
        <v>2496</v>
      </c>
      <c r="I824">
        <v>51</v>
      </c>
      <c r="J824" t="s">
        <v>3604</v>
      </c>
      <c r="K824">
        <v>10032</v>
      </c>
      <c r="L824" t="s">
        <v>3609</v>
      </c>
      <c r="M824" t="s">
        <v>3609</v>
      </c>
      <c r="N824" t="s">
        <v>3855</v>
      </c>
      <c r="O824" t="s">
        <v>4213</v>
      </c>
      <c r="P824" t="s">
        <v>4241</v>
      </c>
      <c r="R824" t="s">
        <v>4258</v>
      </c>
      <c r="S824" t="s">
        <v>3610</v>
      </c>
      <c r="U824" t="s">
        <v>4268</v>
      </c>
      <c r="W824" t="s">
        <v>4321</v>
      </c>
      <c r="X824">
        <v>1198.29</v>
      </c>
      <c r="Y824" t="s">
        <v>4351</v>
      </c>
      <c r="AB824" t="s">
        <v>5049</v>
      </c>
      <c r="AD824" t="s">
        <v>6424</v>
      </c>
      <c r="AE824">
        <v>35</v>
      </c>
      <c r="AF824" t="s">
        <v>7101</v>
      </c>
      <c r="AG824" t="s">
        <v>3745</v>
      </c>
      <c r="AH824">
        <v>35</v>
      </c>
      <c r="AI824">
        <v>2</v>
      </c>
      <c r="AJ824">
        <v>0</v>
      </c>
      <c r="AK824">
        <v>105.91</v>
      </c>
      <c r="AL824" t="s">
        <v>4319</v>
      </c>
      <c r="AN824" t="s">
        <v>7138</v>
      </c>
      <c r="AO824">
        <v>17199</v>
      </c>
      <c r="AU824">
        <v>1.55</v>
      </c>
      <c r="AV824" t="s">
        <v>318</v>
      </c>
      <c r="AW824" t="s">
        <v>7341</v>
      </c>
    </row>
    <row r="825" spans="1:50">
      <c r="A825" s="1">
        <f>HYPERLINK("https://lsnyc.legalserver.org/matter/dynamic-profile/view/0830880","17-0830880")</f>
        <v>0</v>
      </c>
      <c r="B825" t="s">
        <v>64</v>
      </c>
      <c r="C825" t="s">
        <v>104</v>
      </c>
      <c r="D825" t="s">
        <v>243</v>
      </c>
      <c r="E825" t="s">
        <v>280</v>
      </c>
      <c r="F825" t="s">
        <v>1161</v>
      </c>
      <c r="G825" t="s">
        <v>1594</v>
      </c>
      <c r="H825" t="s">
        <v>2496</v>
      </c>
      <c r="I825">
        <v>51</v>
      </c>
      <c r="J825" t="s">
        <v>3604</v>
      </c>
      <c r="K825">
        <v>10032</v>
      </c>
      <c r="L825" t="s">
        <v>3609</v>
      </c>
      <c r="M825" t="s">
        <v>3609</v>
      </c>
      <c r="N825" t="s">
        <v>3855</v>
      </c>
      <c r="O825" t="s">
        <v>4211</v>
      </c>
      <c r="P825" t="s">
        <v>4244</v>
      </c>
      <c r="Q825" t="s">
        <v>4254</v>
      </c>
      <c r="R825" t="s">
        <v>4258</v>
      </c>
      <c r="S825" t="s">
        <v>3610</v>
      </c>
      <c r="U825" t="s">
        <v>4268</v>
      </c>
      <c r="W825" t="s">
        <v>4321</v>
      </c>
      <c r="X825">
        <v>1198.29</v>
      </c>
      <c r="Y825" t="s">
        <v>4351</v>
      </c>
      <c r="Z825" t="s">
        <v>4352</v>
      </c>
      <c r="AA825" t="s">
        <v>4377</v>
      </c>
      <c r="AB825" t="s">
        <v>5049</v>
      </c>
      <c r="AD825" t="s">
        <v>6424</v>
      </c>
      <c r="AE825">
        <v>35</v>
      </c>
      <c r="AF825" t="s">
        <v>7101</v>
      </c>
      <c r="AG825" t="s">
        <v>3745</v>
      </c>
      <c r="AH825">
        <v>35</v>
      </c>
      <c r="AI825">
        <v>2</v>
      </c>
      <c r="AJ825">
        <v>0</v>
      </c>
      <c r="AK825">
        <v>105.91</v>
      </c>
      <c r="AL825" t="s">
        <v>4319</v>
      </c>
      <c r="AN825" t="s">
        <v>7138</v>
      </c>
      <c r="AO825">
        <v>21906</v>
      </c>
      <c r="AU825">
        <v>1.5</v>
      </c>
      <c r="AV825" t="s">
        <v>221</v>
      </c>
      <c r="AW825" t="s">
        <v>7341</v>
      </c>
    </row>
    <row r="826" spans="1:50">
      <c r="A826" s="1">
        <f>HYPERLINK("https://lsnyc.legalserver.org/matter/dynamic-profile/view/1899822","19-1899822")</f>
        <v>0</v>
      </c>
      <c r="B826" t="s">
        <v>61</v>
      </c>
      <c r="C826" t="s">
        <v>105</v>
      </c>
      <c r="D826" t="s">
        <v>510</v>
      </c>
      <c r="F826" t="s">
        <v>985</v>
      </c>
      <c r="G826" t="s">
        <v>1594</v>
      </c>
      <c r="H826" t="s">
        <v>2743</v>
      </c>
      <c r="I826" t="s">
        <v>3462</v>
      </c>
      <c r="J826" t="s">
        <v>3604</v>
      </c>
      <c r="K826">
        <v>10034</v>
      </c>
      <c r="L826" t="s">
        <v>3610</v>
      </c>
      <c r="M826" t="s">
        <v>3609</v>
      </c>
      <c r="P826" t="s">
        <v>4244</v>
      </c>
      <c r="R826" t="s">
        <v>4258</v>
      </c>
      <c r="S826" t="s">
        <v>3611</v>
      </c>
      <c r="T826" t="s">
        <v>4258</v>
      </c>
      <c r="U826" t="s">
        <v>4268</v>
      </c>
      <c r="W826" t="s">
        <v>424</v>
      </c>
      <c r="X826">
        <v>1287</v>
      </c>
      <c r="Y826" t="s">
        <v>4351</v>
      </c>
      <c r="Z826" t="s">
        <v>4357</v>
      </c>
      <c r="AB826" t="s">
        <v>4766</v>
      </c>
      <c r="AC826" t="s">
        <v>5815</v>
      </c>
      <c r="AD826" t="s">
        <v>6162</v>
      </c>
      <c r="AE826">
        <v>57</v>
      </c>
      <c r="AF826" t="s">
        <v>7101</v>
      </c>
      <c r="AG826" t="s">
        <v>3745</v>
      </c>
      <c r="AH826">
        <v>5</v>
      </c>
      <c r="AI826">
        <v>2</v>
      </c>
      <c r="AJ826">
        <v>2</v>
      </c>
      <c r="AK826">
        <v>106.02</v>
      </c>
      <c r="AN826" t="s">
        <v>7139</v>
      </c>
      <c r="AO826">
        <v>27300</v>
      </c>
      <c r="AU826">
        <v>4.6</v>
      </c>
      <c r="AV826" t="s">
        <v>7304</v>
      </c>
      <c r="AW826" t="s">
        <v>7358</v>
      </c>
      <c r="AX826" t="s">
        <v>7377</v>
      </c>
    </row>
    <row r="827" spans="1:50">
      <c r="A827" s="1">
        <f>HYPERLINK("https://lsnyc.legalserver.org/matter/dynamic-profile/view/1902483","19-1902483")</f>
        <v>0</v>
      </c>
      <c r="B827" t="s">
        <v>92</v>
      </c>
      <c r="C827" t="s">
        <v>105</v>
      </c>
      <c r="D827" t="s">
        <v>330</v>
      </c>
      <c r="F827" t="s">
        <v>1162</v>
      </c>
      <c r="G827" t="s">
        <v>2030</v>
      </c>
      <c r="H827" t="s">
        <v>2904</v>
      </c>
      <c r="I827">
        <v>6</v>
      </c>
      <c r="J827" t="s">
        <v>3604</v>
      </c>
      <c r="K827">
        <v>10012</v>
      </c>
      <c r="L827" t="s">
        <v>3610</v>
      </c>
      <c r="M827" t="s">
        <v>3609</v>
      </c>
      <c r="N827" t="s">
        <v>3901</v>
      </c>
      <c r="O827" t="s">
        <v>4209</v>
      </c>
      <c r="P827" t="s">
        <v>4246</v>
      </c>
      <c r="R827" t="s">
        <v>4258</v>
      </c>
      <c r="S827" t="s">
        <v>3611</v>
      </c>
      <c r="U827" t="s">
        <v>4268</v>
      </c>
      <c r="W827" t="s">
        <v>330</v>
      </c>
      <c r="X827">
        <v>207.16</v>
      </c>
      <c r="Y827" t="s">
        <v>4351</v>
      </c>
      <c r="AB827" t="s">
        <v>5050</v>
      </c>
      <c r="AD827" t="s">
        <v>6425</v>
      </c>
      <c r="AE827">
        <v>0</v>
      </c>
      <c r="AF827" t="s">
        <v>7101</v>
      </c>
      <c r="AG827" t="s">
        <v>7118</v>
      </c>
      <c r="AH827">
        <v>37</v>
      </c>
      <c r="AI827">
        <v>1</v>
      </c>
      <c r="AJ827">
        <v>0</v>
      </c>
      <c r="AK827">
        <v>106.65</v>
      </c>
      <c r="AO827">
        <v>13320</v>
      </c>
      <c r="AU827">
        <v>1.8</v>
      </c>
      <c r="AV827" t="s">
        <v>529</v>
      </c>
      <c r="AW827" t="s">
        <v>7344</v>
      </c>
    </row>
    <row r="828" spans="1:50">
      <c r="A828" s="1">
        <f>HYPERLINK("https://lsnyc.legalserver.org/matter/dynamic-profile/view/1874579","18-1874579")</f>
        <v>0</v>
      </c>
      <c r="B828" t="s">
        <v>56</v>
      </c>
      <c r="C828" t="s">
        <v>105</v>
      </c>
      <c r="D828" t="s">
        <v>248</v>
      </c>
      <c r="F828" t="s">
        <v>1163</v>
      </c>
      <c r="G828" t="s">
        <v>2031</v>
      </c>
      <c r="H828" t="s">
        <v>2905</v>
      </c>
      <c r="I828" t="s">
        <v>3338</v>
      </c>
      <c r="J828" t="s">
        <v>3604</v>
      </c>
      <c r="K828">
        <v>10034</v>
      </c>
      <c r="L828" t="s">
        <v>3610</v>
      </c>
      <c r="M828" t="s">
        <v>3610</v>
      </c>
      <c r="O828" t="s">
        <v>4213</v>
      </c>
      <c r="P828" t="s">
        <v>4241</v>
      </c>
      <c r="R828" t="s">
        <v>4258</v>
      </c>
      <c r="S828" t="s">
        <v>3610</v>
      </c>
      <c r="U828" t="s">
        <v>4268</v>
      </c>
      <c r="W828" t="s">
        <v>248</v>
      </c>
      <c r="X828">
        <v>257</v>
      </c>
      <c r="Y828" t="s">
        <v>4351</v>
      </c>
      <c r="Z828" t="s">
        <v>4354</v>
      </c>
      <c r="AB828" t="s">
        <v>5051</v>
      </c>
      <c r="AD828" t="s">
        <v>6426</v>
      </c>
      <c r="AE828">
        <v>63</v>
      </c>
      <c r="AF828" t="s">
        <v>7101</v>
      </c>
      <c r="AG828" t="s">
        <v>3745</v>
      </c>
      <c r="AH828">
        <v>18</v>
      </c>
      <c r="AI828">
        <v>1</v>
      </c>
      <c r="AJ828">
        <v>0</v>
      </c>
      <c r="AK828">
        <v>106.75</v>
      </c>
      <c r="AN828" t="s">
        <v>7138</v>
      </c>
      <c r="AO828">
        <v>12960</v>
      </c>
      <c r="AU828">
        <v>1.25</v>
      </c>
      <c r="AV828" t="s">
        <v>149</v>
      </c>
      <c r="AW828" t="s">
        <v>7342</v>
      </c>
    </row>
    <row r="829" spans="1:50">
      <c r="A829" s="1">
        <f>HYPERLINK("https://lsnyc.legalserver.org/matter/dynamic-profile/view/1853759","17-1853759")</f>
        <v>0</v>
      </c>
      <c r="B829" t="s">
        <v>56</v>
      </c>
      <c r="C829" t="s">
        <v>104</v>
      </c>
      <c r="D829" t="s">
        <v>193</v>
      </c>
      <c r="E829" t="s">
        <v>665</v>
      </c>
      <c r="F829" t="s">
        <v>725</v>
      </c>
      <c r="G829" t="s">
        <v>1656</v>
      </c>
      <c r="H829" t="s">
        <v>2495</v>
      </c>
      <c r="I829" t="s">
        <v>3297</v>
      </c>
      <c r="J829" t="s">
        <v>3604</v>
      </c>
      <c r="K829">
        <v>10032</v>
      </c>
      <c r="L829" t="s">
        <v>3610</v>
      </c>
      <c r="M829" t="s">
        <v>3610</v>
      </c>
      <c r="O829" t="s">
        <v>4213</v>
      </c>
      <c r="P829" t="s">
        <v>4244</v>
      </c>
      <c r="Q829" t="s">
        <v>4254</v>
      </c>
      <c r="R829" t="s">
        <v>4258</v>
      </c>
      <c r="S829" t="s">
        <v>3611</v>
      </c>
      <c r="U829" t="s">
        <v>4268</v>
      </c>
      <c r="W829" t="s">
        <v>374</v>
      </c>
      <c r="X829">
        <v>1060</v>
      </c>
      <c r="Y829" t="s">
        <v>4351</v>
      </c>
      <c r="Z829" t="s">
        <v>4354</v>
      </c>
      <c r="AA829" t="s">
        <v>4377</v>
      </c>
      <c r="AB829" t="s">
        <v>5052</v>
      </c>
      <c r="AD829" t="s">
        <v>6427</v>
      </c>
      <c r="AE829">
        <v>115</v>
      </c>
      <c r="AF829" t="s">
        <v>7101</v>
      </c>
      <c r="AG829" t="s">
        <v>7118</v>
      </c>
      <c r="AH829">
        <v>37</v>
      </c>
      <c r="AI829">
        <v>2</v>
      </c>
      <c r="AJ829">
        <v>0</v>
      </c>
      <c r="AK829">
        <v>106.77</v>
      </c>
      <c r="AN829" t="s">
        <v>7139</v>
      </c>
      <c r="AO829">
        <v>17340</v>
      </c>
      <c r="AU829">
        <v>7.45</v>
      </c>
      <c r="AV829" t="s">
        <v>665</v>
      </c>
      <c r="AW829" t="s">
        <v>7342</v>
      </c>
    </row>
    <row r="830" spans="1:50">
      <c r="A830" s="1">
        <f>HYPERLINK("https://lsnyc.legalserver.org/matter/dynamic-profile/view/1889136","19-1889136")</f>
        <v>0</v>
      </c>
      <c r="B830" t="s">
        <v>53</v>
      </c>
      <c r="C830" t="s">
        <v>104</v>
      </c>
      <c r="D830" t="s">
        <v>511</v>
      </c>
      <c r="E830" t="s">
        <v>667</v>
      </c>
      <c r="F830" t="s">
        <v>703</v>
      </c>
      <c r="G830" t="s">
        <v>2032</v>
      </c>
      <c r="H830" t="s">
        <v>2906</v>
      </c>
      <c r="J830" t="s">
        <v>3604</v>
      </c>
      <c r="K830">
        <v>10029</v>
      </c>
      <c r="L830" t="s">
        <v>3610</v>
      </c>
      <c r="M830" t="s">
        <v>3610</v>
      </c>
      <c r="O830" t="s">
        <v>4211</v>
      </c>
      <c r="P830" t="s">
        <v>4242</v>
      </c>
      <c r="Q830" t="s">
        <v>4250</v>
      </c>
      <c r="R830" t="s">
        <v>4258</v>
      </c>
      <c r="S830" t="s">
        <v>3611</v>
      </c>
      <c r="U830" t="s">
        <v>4268</v>
      </c>
      <c r="V830" t="s">
        <v>4274</v>
      </c>
      <c r="W830" t="s">
        <v>174</v>
      </c>
      <c r="X830">
        <v>73</v>
      </c>
      <c r="Y830" t="s">
        <v>4351</v>
      </c>
      <c r="Z830" t="s">
        <v>4352</v>
      </c>
      <c r="AA830" t="s">
        <v>4373</v>
      </c>
      <c r="AB830" t="s">
        <v>5053</v>
      </c>
      <c r="AD830" t="s">
        <v>6428</v>
      </c>
      <c r="AE830">
        <v>1</v>
      </c>
      <c r="AF830" t="s">
        <v>7102</v>
      </c>
      <c r="AG830" t="s">
        <v>3745</v>
      </c>
      <c r="AH830">
        <v>20</v>
      </c>
      <c r="AI830">
        <v>1</v>
      </c>
      <c r="AJ830">
        <v>0</v>
      </c>
      <c r="AK830">
        <v>106.82</v>
      </c>
      <c r="AN830" t="s">
        <v>7138</v>
      </c>
      <c r="AO830">
        <v>13342</v>
      </c>
      <c r="AP830" t="s">
        <v>7183</v>
      </c>
      <c r="AU830">
        <v>0.1</v>
      </c>
      <c r="AV830" t="s">
        <v>190</v>
      </c>
      <c r="AW830" t="s">
        <v>7341</v>
      </c>
      <c r="AX830" t="s">
        <v>7377</v>
      </c>
    </row>
    <row r="831" spans="1:50">
      <c r="A831" s="1">
        <f>HYPERLINK("https://lsnyc.legalserver.org/matter/dynamic-profile/view/1902882","19-1902882")</f>
        <v>0</v>
      </c>
      <c r="B831" t="s">
        <v>61</v>
      </c>
      <c r="C831" t="s">
        <v>105</v>
      </c>
      <c r="D831" t="s">
        <v>512</v>
      </c>
      <c r="F831" t="s">
        <v>727</v>
      </c>
      <c r="G831" t="s">
        <v>1898</v>
      </c>
      <c r="H831" t="s">
        <v>2907</v>
      </c>
      <c r="I831" t="s">
        <v>3463</v>
      </c>
      <c r="J831" t="s">
        <v>3604</v>
      </c>
      <c r="K831">
        <v>10034</v>
      </c>
      <c r="L831" t="s">
        <v>3609</v>
      </c>
      <c r="M831" t="s">
        <v>3609</v>
      </c>
      <c r="R831" t="s">
        <v>4258</v>
      </c>
      <c r="U831" t="s">
        <v>4268</v>
      </c>
      <c r="X831">
        <v>179</v>
      </c>
      <c r="Y831" t="s">
        <v>4351</v>
      </c>
      <c r="Z831" t="s">
        <v>4228</v>
      </c>
      <c r="AB831" t="s">
        <v>5054</v>
      </c>
      <c r="AD831" t="s">
        <v>6429</v>
      </c>
      <c r="AE831">
        <v>135</v>
      </c>
      <c r="AF831" t="s">
        <v>7105</v>
      </c>
      <c r="AG831" t="s">
        <v>7120</v>
      </c>
      <c r="AH831">
        <v>38</v>
      </c>
      <c r="AI831">
        <v>1</v>
      </c>
      <c r="AJ831">
        <v>0</v>
      </c>
      <c r="AK831">
        <v>106.84</v>
      </c>
      <c r="AN831" t="s">
        <v>7138</v>
      </c>
      <c r="AO831">
        <v>13344</v>
      </c>
      <c r="AU831">
        <v>2.8</v>
      </c>
      <c r="AV831" t="s">
        <v>666</v>
      </c>
      <c r="AW831" t="s">
        <v>7361</v>
      </c>
    </row>
    <row r="832" spans="1:50">
      <c r="A832" s="1">
        <f>HYPERLINK("https://lsnyc.legalserver.org/matter/dynamic-profile/view/1836549","17-1836549")</f>
        <v>0</v>
      </c>
      <c r="B832" t="s">
        <v>55</v>
      </c>
      <c r="C832" t="s">
        <v>104</v>
      </c>
      <c r="D832" t="s">
        <v>414</v>
      </c>
      <c r="E832" t="s">
        <v>662</v>
      </c>
      <c r="F832" t="s">
        <v>1154</v>
      </c>
      <c r="G832" t="s">
        <v>1863</v>
      </c>
      <c r="H832" t="s">
        <v>2531</v>
      </c>
      <c r="I832" t="s">
        <v>3311</v>
      </c>
      <c r="J832" t="s">
        <v>3604</v>
      </c>
      <c r="K832">
        <v>10035</v>
      </c>
      <c r="L832" t="s">
        <v>3610</v>
      </c>
      <c r="M832" t="s">
        <v>3610</v>
      </c>
      <c r="N832" t="s">
        <v>3654</v>
      </c>
      <c r="O832" t="s">
        <v>4211</v>
      </c>
      <c r="P832" t="s">
        <v>4245</v>
      </c>
      <c r="Q832" t="s">
        <v>4249</v>
      </c>
      <c r="R832" t="s">
        <v>4258</v>
      </c>
      <c r="S832" t="s">
        <v>3610</v>
      </c>
      <c r="U832" t="s">
        <v>4268</v>
      </c>
      <c r="V832" t="s">
        <v>4274</v>
      </c>
      <c r="W832" t="s">
        <v>133</v>
      </c>
      <c r="X832">
        <v>831</v>
      </c>
      <c r="Y832" t="s">
        <v>4351</v>
      </c>
      <c r="Z832" t="s">
        <v>4352</v>
      </c>
      <c r="AA832" t="s">
        <v>4377</v>
      </c>
      <c r="AB832" t="s">
        <v>5034</v>
      </c>
      <c r="AD832" t="s">
        <v>6410</v>
      </c>
      <c r="AE832">
        <v>35</v>
      </c>
      <c r="AF832" t="s">
        <v>7101</v>
      </c>
      <c r="AG832" t="s">
        <v>7118</v>
      </c>
      <c r="AH832">
        <v>31</v>
      </c>
      <c r="AI832">
        <v>1</v>
      </c>
      <c r="AJ832">
        <v>0</v>
      </c>
      <c r="AK832">
        <v>106.97</v>
      </c>
      <c r="AN832" t="s">
        <v>7138</v>
      </c>
      <c r="AO832">
        <v>12900</v>
      </c>
      <c r="AU832">
        <v>61.45</v>
      </c>
      <c r="AV832" t="s">
        <v>144</v>
      </c>
      <c r="AW832" t="s">
        <v>7341</v>
      </c>
    </row>
    <row r="833" spans="1:50">
      <c r="A833" s="1">
        <f>HYPERLINK("https://lsnyc.legalserver.org/matter/dynamic-profile/view/1876334","18-1876334")</f>
        <v>0</v>
      </c>
      <c r="B833" t="s">
        <v>62</v>
      </c>
      <c r="C833" t="s">
        <v>105</v>
      </c>
      <c r="D833" t="s">
        <v>476</v>
      </c>
      <c r="F833" t="s">
        <v>1032</v>
      </c>
      <c r="G833" t="s">
        <v>1765</v>
      </c>
      <c r="H833" t="s">
        <v>2488</v>
      </c>
      <c r="I833" t="s">
        <v>3464</v>
      </c>
      <c r="J833" t="s">
        <v>3604</v>
      </c>
      <c r="K833">
        <v>10033</v>
      </c>
      <c r="L833" t="s">
        <v>3610</v>
      </c>
      <c r="M833" t="s">
        <v>3610</v>
      </c>
      <c r="O833" t="s">
        <v>4213</v>
      </c>
      <c r="P833" t="s">
        <v>4245</v>
      </c>
      <c r="R833" t="s">
        <v>4258</v>
      </c>
      <c r="S833" t="s">
        <v>3610</v>
      </c>
      <c r="U833" t="s">
        <v>4268</v>
      </c>
      <c r="W833" t="s">
        <v>476</v>
      </c>
      <c r="X833">
        <v>1145.5</v>
      </c>
      <c r="Y833" t="s">
        <v>4351</v>
      </c>
      <c r="Z833" t="s">
        <v>4354</v>
      </c>
      <c r="AB833" t="s">
        <v>5055</v>
      </c>
      <c r="AD833" t="s">
        <v>6430</v>
      </c>
      <c r="AE833">
        <v>232</v>
      </c>
      <c r="AF833" t="s">
        <v>7101</v>
      </c>
      <c r="AG833" t="s">
        <v>4228</v>
      </c>
      <c r="AH833">
        <v>50</v>
      </c>
      <c r="AI833">
        <v>1</v>
      </c>
      <c r="AJ833">
        <v>0</v>
      </c>
      <c r="AK833">
        <v>107.25</v>
      </c>
      <c r="AN833" t="s">
        <v>7138</v>
      </c>
      <c r="AO833">
        <v>13020</v>
      </c>
      <c r="AU833">
        <v>1.1</v>
      </c>
      <c r="AV833" t="s">
        <v>426</v>
      </c>
      <c r="AW833" t="s">
        <v>7342</v>
      </c>
    </row>
    <row r="834" spans="1:50">
      <c r="A834" s="1">
        <f>HYPERLINK("https://lsnyc.legalserver.org/matter/dynamic-profile/view/0825125","17-0825125")</f>
        <v>0</v>
      </c>
      <c r="B834" t="s">
        <v>53</v>
      </c>
      <c r="C834" t="s">
        <v>104</v>
      </c>
      <c r="D834" t="s">
        <v>513</v>
      </c>
      <c r="E834" t="s">
        <v>260</v>
      </c>
      <c r="F834" t="s">
        <v>1068</v>
      </c>
      <c r="G834" t="s">
        <v>1688</v>
      </c>
      <c r="H834" t="s">
        <v>2671</v>
      </c>
      <c r="I834">
        <v>41</v>
      </c>
      <c r="J834" t="s">
        <v>3604</v>
      </c>
      <c r="K834">
        <v>10034</v>
      </c>
      <c r="L834" t="s">
        <v>3610</v>
      </c>
      <c r="M834" t="s">
        <v>3609</v>
      </c>
      <c r="O834" t="s">
        <v>4211</v>
      </c>
      <c r="P834" t="s">
        <v>4244</v>
      </c>
      <c r="Q834" t="s">
        <v>4254</v>
      </c>
      <c r="R834" t="s">
        <v>4258</v>
      </c>
      <c r="S834" t="s">
        <v>3611</v>
      </c>
      <c r="U834" t="s">
        <v>4268</v>
      </c>
      <c r="W834" t="s">
        <v>604</v>
      </c>
      <c r="X834">
        <v>767.76</v>
      </c>
      <c r="Y834" t="s">
        <v>4351</v>
      </c>
      <c r="Z834" t="s">
        <v>4365</v>
      </c>
      <c r="AA834" t="s">
        <v>4374</v>
      </c>
      <c r="AB834" t="s">
        <v>5001</v>
      </c>
      <c r="AD834" t="s">
        <v>6377</v>
      </c>
      <c r="AE834">
        <v>23</v>
      </c>
      <c r="AF834" t="s">
        <v>7101</v>
      </c>
      <c r="AG834" t="s">
        <v>7118</v>
      </c>
      <c r="AH834">
        <v>40</v>
      </c>
      <c r="AI834">
        <v>1</v>
      </c>
      <c r="AJ834">
        <v>0</v>
      </c>
      <c r="AK834">
        <v>107.27</v>
      </c>
      <c r="AN834" t="s">
        <v>7138</v>
      </c>
      <c r="AO834">
        <v>12744</v>
      </c>
      <c r="AU834">
        <v>10.03</v>
      </c>
      <c r="AV834" t="s">
        <v>217</v>
      </c>
      <c r="AW834" t="s">
        <v>7356</v>
      </c>
    </row>
    <row r="835" spans="1:50">
      <c r="A835" s="1">
        <f>HYPERLINK("https://lsnyc.legalserver.org/matter/dynamic-profile/view/1864472","18-1864472")</f>
        <v>0</v>
      </c>
      <c r="B835" t="s">
        <v>53</v>
      </c>
      <c r="C835" t="s">
        <v>105</v>
      </c>
      <c r="D835" t="s">
        <v>157</v>
      </c>
      <c r="F835" t="s">
        <v>977</v>
      </c>
      <c r="G835" t="s">
        <v>1600</v>
      </c>
      <c r="H835" t="s">
        <v>2508</v>
      </c>
      <c r="I835">
        <v>610</v>
      </c>
      <c r="J835" t="s">
        <v>3604</v>
      </c>
      <c r="K835">
        <v>10029</v>
      </c>
      <c r="L835" t="s">
        <v>3610</v>
      </c>
      <c r="M835" t="s">
        <v>3609</v>
      </c>
      <c r="N835" t="s">
        <v>3642</v>
      </c>
      <c r="O835" t="s">
        <v>4213</v>
      </c>
      <c r="P835" t="s">
        <v>4241</v>
      </c>
      <c r="R835" t="s">
        <v>4258</v>
      </c>
      <c r="S835" t="s">
        <v>3610</v>
      </c>
      <c r="U835" t="s">
        <v>4268</v>
      </c>
      <c r="V835" t="s">
        <v>4274</v>
      </c>
      <c r="W835" t="s">
        <v>157</v>
      </c>
      <c r="X835">
        <v>0</v>
      </c>
      <c r="Y835" t="s">
        <v>4351</v>
      </c>
      <c r="Z835" t="s">
        <v>4352</v>
      </c>
      <c r="AB835" t="s">
        <v>4928</v>
      </c>
      <c r="AD835" t="s">
        <v>6312</v>
      </c>
      <c r="AE835">
        <v>108</v>
      </c>
      <c r="AF835" t="s">
        <v>7106</v>
      </c>
      <c r="AG835" t="s">
        <v>7116</v>
      </c>
      <c r="AH835">
        <v>21</v>
      </c>
      <c r="AI835">
        <v>1</v>
      </c>
      <c r="AJ835">
        <v>2</v>
      </c>
      <c r="AK835">
        <v>107.35</v>
      </c>
      <c r="AN835" t="s">
        <v>7138</v>
      </c>
      <c r="AO835">
        <v>22308</v>
      </c>
      <c r="AU835">
        <v>80.84999999999999</v>
      </c>
      <c r="AV835" t="s">
        <v>7285</v>
      </c>
      <c r="AW835" t="s">
        <v>7341</v>
      </c>
      <c r="AX835" t="s">
        <v>7377</v>
      </c>
    </row>
    <row r="836" spans="1:50">
      <c r="A836" s="1">
        <f>HYPERLINK("https://lsnyc.legalserver.org/matter/dynamic-profile/view/1844650","17-1844650")</f>
        <v>0</v>
      </c>
      <c r="B836" t="s">
        <v>61</v>
      </c>
      <c r="C836" t="s">
        <v>104</v>
      </c>
      <c r="D836" t="s">
        <v>514</v>
      </c>
      <c r="E836" t="s">
        <v>662</v>
      </c>
      <c r="F836" t="s">
        <v>705</v>
      </c>
      <c r="G836" t="s">
        <v>2027</v>
      </c>
      <c r="H836" t="s">
        <v>2908</v>
      </c>
      <c r="I836" t="s">
        <v>3461</v>
      </c>
      <c r="J836" t="s">
        <v>3604</v>
      </c>
      <c r="K836">
        <v>10034</v>
      </c>
      <c r="L836" t="s">
        <v>3610</v>
      </c>
      <c r="M836" t="s">
        <v>3609</v>
      </c>
      <c r="N836" t="s">
        <v>3902</v>
      </c>
      <c r="O836" t="s">
        <v>4210</v>
      </c>
      <c r="P836" t="s">
        <v>4241</v>
      </c>
      <c r="Q836" t="s">
        <v>4248</v>
      </c>
      <c r="R836" t="s">
        <v>4258</v>
      </c>
      <c r="S836" t="s">
        <v>3611</v>
      </c>
      <c r="U836" t="s">
        <v>4268</v>
      </c>
      <c r="W836" t="s">
        <v>133</v>
      </c>
      <c r="X836">
        <v>917.98</v>
      </c>
      <c r="Y836" t="s">
        <v>4351</v>
      </c>
      <c r="Z836" t="s">
        <v>4354</v>
      </c>
      <c r="AA836" t="s">
        <v>4374</v>
      </c>
      <c r="AB836" t="s">
        <v>5043</v>
      </c>
      <c r="AD836" t="s">
        <v>6418</v>
      </c>
      <c r="AE836">
        <v>73</v>
      </c>
      <c r="AF836" t="s">
        <v>7101</v>
      </c>
      <c r="AG836" t="s">
        <v>7118</v>
      </c>
      <c r="AH836">
        <v>38</v>
      </c>
      <c r="AI836">
        <v>2</v>
      </c>
      <c r="AJ836">
        <v>1</v>
      </c>
      <c r="AK836">
        <v>107.37</v>
      </c>
      <c r="AN836" t="s">
        <v>7139</v>
      </c>
      <c r="AO836">
        <v>21924</v>
      </c>
      <c r="AU836">
        <v>19.1</v>
      </c>
      <c r="AV836" t="s">
        <v>264</v>
      </c>
      <c r="AW836" t="s">
        <v>7342</v>
      </c>
    </row>
    <row r="837" spans="1:50">
      <c r="A837" s="1">
        <f>HYPERLINK("https://lsnyc.legalserver.org/matter/dynamic-profile/view/1897239","19-1897239")</f>
        <v>0</v>
      </c>
      <c r="B837" t="s">
        <v>60</v>
      </c>
      <c r="C837" t="s">
        <v>105</v>
      </c>
      <c r="D837" t="s">
        <v>319</v>
      </c>
      <c r="F837" t="s">
        <v>1164</v>
      </c>
      <c r="G837" t="s">
        <v>2033</v>
      </c>
      <c r="H837" t="s">
        <v>2691</v>
      </c>
      <c r="I837" t="s">
        <v>3333</v>
      </c>
      <c r="J837" t="s">
        <v>3604</v>
      </c>
      <c r="K837">
        <v>10034</v>
      </c>
      <c r="L837" t="s">
        <v>3610</v>
      </c>
      <c r="M837" t="s">
        <v>3610</v>
      </c>
      <c r="P837" t="s">
        <v>4241</v>
      </c>
      <c r="R837" t="s">
        <v>4258</v>
      </c>
      <c r="S837" t="s">
        <v>3611</v>
      </c>
      <c r="U837" t="s">
        <v>4268</v>
      </c>
      <c r="W837" t="s">
        <v>319</v>
      </c>
      <c r="X837">
        <v>2600</v>
      </c>
      <c r="Y837" t="s">
        <v>4351</v>
      </c>
      <c r="AB837" t="s">
        <v>5056</v>
      </c>
      <c r="AD837" t="s">
        <v>6431</v>
      </c>
      <c r="AE837">
        <v>46</v>
      </c>
      <c r="AF837" t="s">
        <v>7101</v>
      </c>
      <c r="AG837" t="s">
        <v>3745</v>
      </c>
      <c r="AH837">
        <v>9</v>
      </c>
      <c r="AI837">
        <v>1</v>
      </c>
      <c r="AJ837">
        <v>1</v>
      </c>
      <c r="AK837">
        <v>107.63</v>
      </c>
      <c r="AN837" t="s">
        <v>7139</v>
      </c>
      <c r="AO837">
        <v>18200</v>
      </c>
      <c r="AU837">
        <v>20</v>
      </c>
      <c r="AV837" t="s">
        <v>502</v>
      </c>
      <c r="AW837" t="s">
        <v>7342</v>
      </c>
    </row>
    <row r="838" spans="1:50">
      <c r="A838" s="1">
        <f>HYPERLINK("https://lsnyc.legalserver.org/matter/dynamic-profile/view/1853967","17-1853967")</f>
        <v>0</v>
      </c>
      <c r="B838" t="s">
        <v>61</v>
      </c>
      <c r="C838" t="s">
        <v>104</v>
      </c>
      <c r="D838" t="s">
        <v>125</v>
      </c>
      <c r="E838" t="s">
        <v>201</v>
      </c>
      <c r="F838" t="s">
        <v>1165</v>
      </c>
      <c r="G838" t="s">
        <v>2034</v>
      </c>
      <c r="H838" t="s">
        <v>2635</v>
      </c>
      <c r="I838" t="s">
        <v>3288</v>
      </c>
      <c r="J838" t="s">
        <v>3604</v>
      </c>
      <c r="K838">
        <v>10034</v>
      </c>
      <c r="L838" t="s">
        <v>3610</v>
      </c>
      <c r="M838" t="s">
        <v>3610</v>
      </c>
      <c r="O838" t="s">
        <v>4209</v>
      </c>
      <c r="P838" t="s">
        <v>4245</v>
      </c>
      <c r="Q838" t="s">
        <v>4249</v>
      </c>
      <c r="R838" t="s">
        <v>4258</v>
      </c>
      <c r="S838" t="s">
        <v>3611</v>
      </c>
      <c r="U838" t="s">
        <v>4268</v>
      </c>
      <c r="W838" t="s">
        <v>125</v>
      </c>
      <c r="X838">
        <v>1380</v>
      </c>
      <c r="Y838" t="s">
        <v>4351</v>
      </c>
      <c r="Z838" t="s">
        <v>4354</v>
      </c>
      <c r="AA838" t="s">
        <v>4377</v>
      </c>
      <c r="AB838" t="s">
        <v>5057</v>
      </c>
      <c r="AD838" t="s">
        <v>6432</v>
      </c>
      <c r="AE838">
        <v>26</v>
      </c>
      <c r="AF838" t="s">
        <v>7101</v>
      </c>
      <c r="AG838" t="s">
        <v>3745</v>
      </c>
      <c r="AH838">
        <v>25</v>
      </c>
      <c r="AI838">
        <v>1</v>
      </c>
      <c r="AJ838">
        <v>0</v>
      </c>
      <c r="AK838">
        <v>107.65</v>
      </c>
      <c r="AN838" t="s">
        <v>7139</v>
      </c>
      <c r="AO838">
        <v>12982</v>
      </c>
      <c r="AU838">
        <v>4.3</v>
      </c>
      <c r="AV838" t="s">
        <v>201</v>
      </c>
      <c r="AW838" t="s">
        <v>7342</v>
      </c>
    </row>
    <row r="839" spans="1:50">
      <c r="A839" s="1">
        <f>HYPERLINK("https://lsnyc.legalserver.org/matter/dynamic-profile/view/1847647","17-1847647")</f>
        <v>0</v>
      </c>
      <c r="B839" t="s">
        <v>64</v>
      </c>
      <c r="C839" t="s">
        <v>105</v>
      </c>
      <c r="D839" t="s">
        <v>284</v>
      </c>
      <c r="F839" t="s">
        <v>938</v>
      </c>
      <c r="G839" t="s">
        <v>1739</v>
      </c>
      <c r="H839" t="s">
        <v>2632</v>
      </c>
      <c r="I839" t="s">
        <v>3325</v>
      </c>
      <c r="J839" t="s">
        <v>3604</v>
      </c>
      <c r="K839">
        <v>10034</v>
      </c>
      <c r="L839" t="s">
        <v>3610</v>
      </c>
      <c r="M839" t="s">
        <v>3609</v>
      </c>
      <c r="O839" t="s">
        <v>4213</v>
      </c>
      <c r="P839" t="s">
        <v>4241</v>
      </c>
      <c r="R839" t="s">
        <v>4258</v>
      </c>
      <c r="S839" t="s">
        <v>3610</v>
      </c>
      <c r="U839" t="s">
        <v>4268</v>
      </c>
      <c r="W839" t="s">
        <v>609</v>
      </c>
      <c r="X839">
        <v>1484.84</v>
      </c>
      <c r="Y839" t="s">
        <v>4351</v>
      </c>
      <c r="Z839" t="s">
        <v>4354</v>
      </c>
      <c r="AB839" t="s">
        <v>5058</v>
      </c>
      <c r="AE839">
        <v>50</v>
      </c>
      <c r="AF839" t="s">
        <v>7101</v>
      </c>
      <c r="AG839" t="s">
        <v>3745</v>
      </c>
      <c r="AH839">
        <v>12</v>
      </c>
      <c r="AI839">
        <v>1</v>
      </c>
      <c r="AJ839">
        <v>0</v>
      </c>
      <c r="AK839">
        <v>107.79</v>
      </c>
      <c r="AN839" t="s">
        <v>7139</v>
      </c>
      <c r="AO839">
        <v>13000</v>
      </c>
      <c r="AU839">
        <v>0</v>
      </c>
      <c r="AW839" t="s">
        <v>7342</v>
      </c>
    </row>
    <row r="840" spans="1:50">
      <c r="A840" s="1">
        <f>HYPERLINK("https://lsnyc.legalserver.org/matter/dynamic-profile/view/1891392","19-1891392")</f>
        <v>0</v>
      </c>
      <c r="B840" t="s">
        <v>64</v>
      </c>
      <c r="C840" t="s">
        <v>104</v>
      </c>
      <c r="D840" t="s">
        <v>438</v>
      </c>
      <c r="E840" t="s">
        <v>159</v>
      </c>
      <c r="F840" t="s">
        <v>807</v>
      </c>
      <c r="G840" t="s">
        <v>1885</v>
      </c>
      <c r="H840" t="s">
        <v>2642</v>
      </c>
      <c r="I840" t="s">
        <v>3465</v>
      </c>
      <c r="J840" t="s">
        <v>3604</v>
      </c>
      <c r="K840">
        <v>10034</v>
      </c>
      <c r="L840" t="s">
        <v>3610</v>
      </c>
      <c r="M840" t="s">
        <v>3609</v>
      </c>
      <c r="O840" t="s">
        <v>4210</v>
      </c>
      <c r="P840" t="s">
        <v>4244</v>
      </c>
      <c r="Q840" t="s">
        <v>4254</v>
      </c>
      <c r="R840" t="s">
        <v>4258</v>
      </c>
      <c r="S840" t="s">
        <v>3611</v>
      </c>
      <c r="U840" t="s">
        <v>4268</v>
      </c>
      <c r="V840" t="s">
        <v>4274</v>
      </c>
      <c r="W840" t="s">
        <v>154</v>
      </c>
      <c r="X840">
        <v>1053</v>
      </c>
      <c r="Y840" t="s">
        <v>4351</v>
      </c>
      <c r="Z840" t="s">
        <v>4354</v>
      </c>
      <c r="AA840" t="s">
        <v>4377</v>
      </c>
      <c r="AB840" t="s">
        <v>5059</v>
      </c>
      <c r="AD840" t="s">
        <v>6433</v>
      </c>
      <c r="AE840">
        <v>50</v>
      </c>
      <c r="AF840" t="s">
        <v>7101</v>
      </c>
      <c r="AH840">
        <v>13</v>
      </c>
      <c r="AI840">
        <v>1</v>
      </c>
      <c r="AJ840">
        <v>2</v>
      </c>
      <c r="AK840">
        <v>107.83</v>
      </c>
      <c r="AN840" t="s">
        <v>7138</v>
      </c>
      <c r="AO840">
        <v>23000</v>
      </c>
      <c r="AU840">
        <v>3.5</v>
      </c>
      <c r="AV840" t="s">
        <v>159</v>
      </c>
      <c r="AW840" t="s">
        <v>64</v>
      </c>
    </row>
    <row r="841" spans="1:50">
      <c r="A841" s="1">
        <f>HYPERLINK("https://lsnyc.legalserver.org/matter/dynamic-profile/view/1885707","18-1885707")</f>
        <v>0</v>
      </c>
      <c r="B841" t="s">
        <v>64</v>
      </c>
      <c r="C841" t="s">
        <v>104</v>
      </c>
      <c r="D841" t="s">
        <v>201</v>
      </c>
      <c r="E841" t="s">
        <v>159</v>
      </c>
      <c r="F841" t="s">
        <v>790</v>
      </c>
      <c r="G841" t="s">
        <v>1599</v>
      </c>
      <c r="H841" t="s">
        <v>2909</v>
      </c>
      <c r="I841">
        <v>24</v>
      </c>
      <c r="J841" t="s">
        <v>3604</v>
      </c>
      <c r="K841">
        <v>10040</v>
      </c>
      <c r="L841" t="s">
        <v>3610</v>
      </c>
      <c r="M841" t="s">
        <v>3610</v>
      </c>
      <c r="N841" t="s">
        <v>3903</v>
      </c>
      <c r="O841" t="s">
        <v>4209</v>
      </c>
      <c r="P841" t="s">
        <v>4241</v>
      </c>
      <c r="Q841" t="s">
        <v>4248</v>
      </c>
      <c r="R841" t="s">
        <v>4258</v>
      </c>
      <c r="S841" t="s">
        <v>3611</v>
      </c>
      <c r="U841" t="s">
        <v>4268</v>
      </c>
      <c r="W841" t="s">
        <v>201</v>
      </c>
      <c r="X841">
        <v>1400</v>
      </c>
      <c r="Y841" t="s">
        <v>4351</v>
      </c>
      <c r="Z841" t="s">
        <v>4361</v>
      </c>
      <c r="AA841" t="s">
        <v>4375</v>
      </c>
      <c r="AB841" t="s">
        <v>5060</v>
      </c>
      <c r="AD841" t="s">
        <v>6434</v>
      </c>
      <c r="AE841">
        <v>21</v>
      </c>
      <c r="AF841" t="s">
        <v>7101</v>
      </c>
      <c r="AG841" t="s">
        <v>3745</v>
      </c>
      <c r="AH841">
        <v>1</v>
      </c>
      <c r="AI841">
        <v>3</v>
      </c>
      <c r="AJ841">
        <v>3</v>
      </c>
      <c r="AK841">
        <v>107.88</v>
      </c>
      <c r="AN841" t="s">
        <v>7139</v>
      </c>
      <c r="AO841">
        <v>36400</v>
      </c>
      <c r="AU841">
        <v>50.2</v>
      </c>
      <c r="AV841" t="s">
        <v>159</v>
      </c>
      <c r="AW841" t="s">
        <v>7342</v>
      </c>
    </row>
    <row r="842" spans="1:50">
      <c r="A842" s="1">
        <f>HYPERLINK("https://lsnyc.legalserver.org/matter/dynamic-profile/view/1846002","17-1846002")</f>
        <v>0</v>
      </c>
      <c r="B842" t="s">
        <v>61</v>
      </c>
      <c r="C842" t="s">
        <v>104</v>
      </c>
      <c r="D842" t="s">
        <v>336</v>
      </c>
      <c r="E842" t="s">
        <v>201</v>
      </c>
      <c r="F842" t="s">
        <v>1040</v>
      </c>
      <c r="G842" t="s">
        <v>2035</v>
      </c>
      <c r="H842" t="s">
        <v>2910</v>
      </c>
      <c r="I842" t="s">
        <v>3365</v>
      </c>
      <c r="J842" t="s">
        <v>3604</v>
      </c>
      <c r="K842">
        <v>10034</v>
      </c>
      <c r="L842" t="s">
        <v>3610</v>
      </c>
      <c r="M842" t="s">
        <v>3610</v>
      </c>
      <c r="O842" t="s">
        <v>4210</v>
      </c>
      <c r="P842" t="s">
        <v>4245</v>
      </c>
      <c r="Q842" t="s">
        <v>4249</v>
      </c>
      <c r="R842" t="s">
        <v>4258</v>
      </c>
      <c r="S842" t="s">
        <v>3611</v>
      </c>
      <c r="U842" t="s">
        <v>4268</v>
      </c>
      <c r="W842" t="s">
        <v>4322</v>
      </c>
      <c r="X842">
        <v>1335.75</v>
      </c>
      <c r="Y842" t="s">
        <v>4351</v>
      </c>
      <c r="Z842" t="s">
        <v>4354</v>
      </c>
      <c r="AA842" t="s">
        <v>4377</v>
      </c>
      <c r="AB842" t="s">
        <v>5061</v>
      </c>
      <c r="AD842" t="s">
        <v>6435</v>
      </c>
      <c r="AE842">
        <v>21</v>
      </c>
      <c r="AF842" t="s">
        <v>7101</v>
      </c>
      <c r="AG842" t="s">
        <v>3745</v>
      </c>
      <c r="AH842">
        <v>3</v>
      </c>
      <c r="AI842">
        <v>2</v>
      </c>
      <c r="AJ842">
        <v>1</v>
      </c>
      <c r="AK842">
        <v>107.89</v>
      </c>
      <c r="AN842" t="s">
        <v>7139</v>
      </c>
      <c r="AO842">
        <v>22032</v>
      </c>
      <c r="AU842">
        <v>9.699999999999999</v>
      </c>
      <c r="AV842" t="s">
        <v>348</v>
      </c>
      <c r="AW842" t="s">
        <v>7342</v>
      </c>
    </row>
    <row r="843" spans="1:50">
      <c r="A843" s="1">
        <f>HYPERLINK("https://lsnyc.legalserver.org/matter/dynamic-profile/view/1902471","19-1902471")</f>
        <v>0</v>
      </c>
      <c r="B843" t="s">
        <v>81</v>
      </c>
      <c r="C843" t="s">
        <v>105</v>
      </c>
      <c r="D843" t="s">
        <v>330</v>
      </c>
      <c r="F843" t="s">
        <v>1166</v>
      </c>
      <c r="G843" t="s">
        <v>2036</v>
      </c>
      <c r="H843" t="s">
        <v>2911</v>
      </c>
      <c r="I843">
        <v>11</v>
      </c>
      <c r="J843" t="s">
        <v>3604</v>
      </c>
      <c r="K843">
        <v>10009</v>
      </c>
      <c r="L843" t="s">
        <v>3610</v>
      </c>
      <c r="M843" t="s">
        <v>3609</v>
      </c>
      <c r="N843" t="s">
        <v>3904</v>
      </c>
      <c r="O843" t="s">
        <v>4210</v>
      </c>
      <c r="P843" t="s">
        <v>4246</v>
      </c>
      <c r="R843" t="s">
        <v>4258</v>
      </c>
      <c r="S843" t="s">
        <v>3611</v>
      </c>
      <c r="U843" t="s">
        <v>4268</v>
      </c>
      <c r="W843" t="s">
        <v>330</v>
      </c>
      <c r="X843">
        <v>2400</v>
      </c>
      <c r="Y843" t="s">
        <v>4351</v>
      </c>
      <c r="Z843" t="s">
        <v>4364</v>
      </c>
      <c r="AB843" t="s">
        <v>5062</v>
      </c>
      <c r="AD843" t="s">
        <v>6436</v>
      </c>
      <c r="AE843">
        <v>0</v>
      </c>
      <c r="AF843" t="s">
        <v>7114</v>
      </c>
      <c r="AG843" t="s">
        <v>3745</v>
      </c>
      <c r="AH843">
        <v>1</v>
      </c>
      <c r="AI843">
        <v>1</v>
      </c>
      <c r="AJ843">
        <v>0</v>
      </c>
      <c r="AK843">
        <v>108.09</v>
      </c>
      <c r="AN843" t="s">
        <v>7138</v>
      </c>
      <c r="AO843">
        <v>13500</v>
      </c>
      <c r="AU843">
        <v>0</v>
      </c>
      <c r="AW843" t="s">
        <v>7347</v>
      </c>
      <c r="AX843" t="s">
        <v>7377</v>
      </c>
    </row>
    <row r="844" spans="1:50">
      <c r="A844" s="1">
        <f>HYPERLINK("https://lsnyc.legalserver.org/matter/dynamic-profile/view/1887998","19-1887998")</f>
        <v>0</v>
      </c>
      <c r="B844" t="s">
        <v>61</v>
      </c>
      <c r="C844" t="s">
        <v>105</v>
      </c>
      <c r="D844" t="s">
        <v>194</v>
      </c>
      <c r="F844" t="s">
        <v>1167</v>
      </c>
      <c r="G844" t="s">
        <v>1838</v>
      </c>
      <c r="H844" t="s">
        <v>2556</v>
      </c>
      <c r="I844">
        <v>31</v>
      </c>
      <c r="J844" t="s">
        <v>3604</v>
      </c>
      <c r="K844">
        <v>10034</v>
      </c>
      <c r="L844" t="s">
        <v>3610</v>
      </c>
      <c r="M844" t="s">
        <v>3610</v>
      </c>
      <c r="N844" t="s">
        <v>3739</v>
      </c>
      <c r="O844" t="s">
        <v>4213</v>
      </c>
      <c r="P844" t="s">
        <v>4241</v>
      </c>
      <c r="R844" t="s">
        <v>4258</v>
      </c>
      <c r="S844" t="s">
        <v>3610</v>
      </c>
      <c r="U844" t="s">
        <v>4268</v>
      </c>
      <c r="W844" t="s">
        <v>194</v>
      </c>
      <c r="X844">
        <v>1013.58</v>
      </c>
      <c r="Y844" t="s">
        <v>4351</v>
      </c>
      <c r="Z844" t="s">
        <v>4354</v>
      </c>
      <c r="AB844" t="s">
        <v>5063</v>
      </c>
      <c r="AD844" t="s">
        <v>6437</v>
      </c>
      <c r="AE844">
        <v>25</v>
      </c>
      <c r="AF844" t="s">
        <v>7101</v>
      </c>
      <c r="AG844" t="s">
        <v>3745</v>
      </c>
      <c r="AH844">
        <v>50</v>
      </c>
      <c r="AI844">
        <v>2</v>
      </c>
      <c r="AJ844">
        <v>0</v>
      </c>
      <c r="AK844">
        <v>108.26</v>
      </c>
      <c r="AN844" t="s">
        <v>7139</v>
      </c>
      <c r="AO844">
        <v>17820</v>
      </c>
      <c r="AU844">
        <v>2.9</v>
      </c>
      <c r="AV844" t="s">
        <v>676</v>
      </c>
      <c r="AW844" t="s">
        <v>7342</v>
      </c>
    </row>
    <row r="845" spans="1:50">
      <c r="A845" s="1">
        <f>HYPERLINK("https://lsnyc.legalserver.org/matter/dynamic-profile/view/1855008","18-1855008")</f>
        <v>0</v>
      </c>
      <c r="B845" t="s">
        <v>66</v>
      </c>
      <c r="C845" t="s">
        <v>104</v>
      </c>
      <c r="D845" t="s">
        <v>515</v>
      </c>
      <c r="E845" t="s">
        <v>276</v>
      </c>
      <c r="F845" t="s">
        <v>1168</v>
      </c>
      <c r="G845" t="s">
        <v>2037</v>
      </c>
      <c r="H845" t="s">
        <v>2912</v>
      </c>
      <c r="I845">
        <v>53</v>
      </c>
      <c r="J845" t="s">
        <v>3604</v>
      </c>
      <c r="K845">
        <v>10031</v>
      </c>
      <c r="L845" t="s">
        <v>3610</v>
      </c>
      <c r="M845" t="s">
        <v>3609</v>
      </c>
      <c r="O845" t="s">
        <v>4211</v>
      </c>
      <c r="P845" t="s">
        <v>4242</v>
      </c>
      <c r="Q845" t="s">
        <v>4250</v>
      </c>
      <c r="R845" t="s">
        <v>4258</v>
      </c>
      <c r="S845" t="s">
        <v>3611</v>
      </c>
      <c r="U845" t="s">
        <v>4268</v>
      </c>
      <c r="W845" t="s">
        <v>278</v>
      </c>
      <c r="X845">
        <v>1060</v>
      </c>
      <c r="Y845" t="s">
        <v>4351</v>
      </c>
      <c r="AA845" t="s">
        <v>4373</v>
      </c>
      <c r="AB845" t="s">
        <v>5064</v>
      </c>
      <c r="AD845" t="s">
        <v>6438</v>
      </c>
      <c r="AE845">
        <v>0</v>
      </c>
      <c r="AF845" t="s">
        <v>7106</v>
      </c>
      <c r="AH845">
        <v>10</v>
      </c>
      <c r="AI845">
        <v>1</v>
      </c>
      <c r="AJ845">
        <v>0</v>
      </c>
      <c r="AK845">
        <v>108.46</v>
      </c>
      <c r="AN845" t="s">
        <v>7138</v>
      </c>
      <c r="AO845">
        <v>13080</v>
      </c>
      <c r="AU845">
        <v>0.5</v>
      </c>
      <c r="AV845" t="s">
        <v>276</v>
      </c>
      <c r="AW845" t="s">
        <v>7359</v>
      </c>
    </row>
    <row r="846" spans="1:50">
      <c r="A846" s="1">
        <f>HYPERLINK("https://lsnyc.legalserver.org/matter/dynamic-profile/view/1880203","18-1880203")</f>
        <v>0</v>
      </c>
      <c r="B846" t="s">
        <v>53</v>
      </c>
      <c r="C846" t="s">
        <v>104</v>
      </c>
      <c r="D846" t="s">
        <v>417</v>
      </c>
      <c r="E846" t="s">
        <v>656</v>
      </c>
      <c r="F846" t="s">
        <v>1169</v>
      </c>
      <c r="G846" t="s">
        <v>1600</v>
      </c>
      <c r="H846" t="s">
        <v>2913</v>
      </c>
      <c r="I846" t="s">
        <v>3291</v>
      </c>
      <c r="J846" t="s">
        <v>3604</v>
      </c>
      <c r="K846">
        <v>10029</v>
      </c>
      <c r="L846" t="s">
        <v>3610</v>
      </c>
      <c r="M846" t="s">
        <v>3610</v>
      </c>
      <c r="O846" t="s">
        <v>4211</v>
      </c>
      <c r="P846" t="s">
        <v>4242</v>
      </c>
      <c r="Q846" t="s">
        <v>4250</v>
      </c>
      <c r="R846" t="s">
        <v>4258</v>
      </c>
      <c r="S846" t="s">
        <v>3611</v>
      </c>
      <c r="U846" t="s">
        <v>4268</v>
      </c>
      <c r="V846" t="s">
        <v>4274</v>
      </c>
      <c r="W846" t="s">
        <v>227</v>
      </c>
      <c r="X846">
        <v>1885</v>
      </c>
      <c r="Y846" t="s">
        <v>4351</v>
      </c>
      <c r="Z846" t="s">
        <v>4359</v>
      </c>
      <c r="AA846" t="s">
        <v>4373</v>
      </c>
      <c r="AB846" t="s">
        <v>4501</v>
      </c>
      <c r="AD846" t="s">
        <v>6439</v>
      </c>
      <c r="AE846">
        <v>24</v>
      </c>
      <c r="AF846" t="s">
        <v>7106</v>
      </c>
      <c r="AG846" t="s">
        <v>7116</v>
      </c>
      <c r="AH846">
        <v>6</v>
      </c>
      <c r="AI846">
        <v>1</v>
      </c>
      <c r="AJ846">
        <v>0</v>
      </c>
      <c r="AK846">
        <v>108.63</v>
      </c>
      <c r="AN846" t="s">
        <v>7138</v>
      </c>
      <c r="AO846">
        <v>13188</v>
      </c>
      <c r="AU846">
        <v>1.2</v>
      </c>
      <c r="AV846" t="s">
        <v>227</v>
      </c>
      <c r="AW846" t="s">
        <v>7346</v>
      </c>
    </row>
    <row r="847" spans="1:50">
      <c r="A847" s="1">
        <f>HYPERLINK("https://lsnyc.legalserver.org/matter/dynamic-profile/view/1837674","17-1837674")</f>
        <v>0</v>
      </c>
      <c r="B847" t="s">
        <v>78</v>
      </c>
      <c r="C847" t="s">
        <v>105</v>
      </c>
      <c r="D847" t="s">
        <v>516</v>
      </c>
      <c r="F847" t="s">
        <v>958</v>
      </c>
      <c r="G847" t="s">
        <v>1594</v>
      </c>
      <c r="H847" t="s">
        <v>2858</v>
      </c>
      <c r="I847">
        <v>2</v>
      </c>
      <c r="J847" t="s">
        <v>3604</v>
      </c>
      <c r="K847">
        <v>10035</v>
      </c>
      <c r="L847" t="s">
        <v>3610</v>
      </c>
      <c r="M847" t="s">
        <v>3609</v>
      </c>
      <c r="N847" t="s">
        <v>3905</v>
      </c>
      <c r="O847" t="s">
        <v>4209</v>
      </c>
      <c r="P847" t="s">
        <v>4241</v>
      </c>
      <c r="R847" t="s">
        <v>4258</v>
      </c>
      <c r="S847" t="s">
        <v>3611</v>
      </c>
      <c r="U847" t="s">
        <v>4268</v>
      </c>
      <c r="W847" t="s">
        <v>4282</v>
      </c>
      <c r="X847">
        <v>1550</v>
      </c>
      <c r="Y847" t="s">
        <v>4351</v>
      </c>
      <c r="Z847" t="s">
        <v>4357</v>
      </c>
      <c r="AB847" t="s">
        <v>4958</v>
      </c>
      <c r="AD847" t="s">
        <v>6335</v>
      </c>
      <c r="AE847">
        <v>30</v>
      </c>
      <c r="AF847" t="s">
        <v>7103</v>
      </c>
      <c r="AG847" t="s">
        <v>3745</v>
      </c>
      <c r="AH847">
        <v>5</v>
      </c>
      <c r="AI847">
        <v>1</v>
      </c>
      <c r="AJ847">
        <v>2</v>
      </c>
      <c r="AK847">
        <v>108.72</v>
      </c>
      <c r="AN847" t="s">
        <v>7138</v>
      </c>
      <c r="AO847">
        <v>22200</v>
      </c>
      <c r="AU847">
        <v>43.1</v>
      </c>
      <c r="AV847" t="s">
        <v>689</v>
      </c>
      <c r="AW847" t="s">
        <v>7341</v>
      </c>
    </row>
    <row r="848" spans="1:50">
      <c r="A848" s="1">
        <f>HYPERLINK("https://lsnyc.legalserver.org/matter/dynamic-profile/view/1861226","18-1861226")</f>
        <v>0</v>
      </c>
      <c r="B848" t="s">
        <v>61</v>
      </c>
      <c r="C848" t="s">
        <v>105</v>
      </c>
      <c r="D848" t="s">
        <v>152</v>
      </c>
      <c r="F848" t="s">
        <v>696</v>
      </c>
      <c r="G848" t="s">
        <v>2038</v>
      </c>
      <c r="H848" t="s">
        <v>2725</v>
      </c>
      <c r="I848">
        <v>24</v>
      </c>
      <c r="J848" t="s">
        <v>3604</v>
      </c>
      <c r="K848">
        <v>10031</v>
      </c>
      <c r="L848" t="s">
        <v>3610</v>
      </c>
      <c r="M848" t="s">
        <v>3609</v>
      </c>
      <c r="O848" t="s">
        <v>4225</v>
      </c>
      <c r="P848" t="s">
        <v>4245</v>
      </c>
      <c r="R848" t="s">
        <v>4258</v>
      </c>
      <c r="S848" t="s">
        <v>3611</v>
      </c>
      <c r="U848" t="s">
        <v>4268</v>
      </c>
      <c r="W848" t="s">
        <v>152</v>
      </c>
      <c r="X848">
        <v>760.3099999999999</v>
      </c>
      <c r="Y848" t="s">
        <v>4351</v>
      </c>
      <c r="Z848" t="s">
        <v>4357</v>
      </c>
      <c r="AB848" t="s">
        <v>5065</v>
      </c>
      <c r="AD848" t="s">
        <v>6440</v>
      </c>
      <c r="AE848">
        <v>29</v>
      </c>
      <c r="AF848" t="s">
        <v>7101</v>
      </c>
      <c r="AG848" t="s">
        <v>7116</v>
      </c>
      <c r="AH848">
        <v>40</v>
      </c>
      <c r="AI848">
        <v>2</v>
      </c>
      <c r="AJ848">
        <v>0</v>
      </c>
      <c r="AK848">
        <v>108.85</v>
      </c>
      <c r="AL848" t="s">
        <v>614</v>
      </c>
      <c r="AN848" t="s">
        <v>7138</v>
      </c>
      <c r="AO848">
        <v>26916</v>
      </c>
      <c r="AU848">
        <v>6.7</v>
      </c>
      <c r="AV848" t="s">
        <v>140</v>
      </c>
      <c r="AW848" t="s">
        <v>7342</v>
      </c>
    </row>
    <row r="849" spans="1:50">
      <c r="A849" s="1">
        <f>HYPERLINK("https://lsnyc.legalserver.org/matter/dynamic-profile/view/1867877","18-1867877")</f>
        <v>0</v>
      </c>
      <c r="B849" t="s">
        <v>53</v>
      </c>
      <c r="C849" t="s">
        <v>105</v>
      </c>
      <c r="D849" t="s">
        <v>411</v>
      </c>
      <c r="F849" t="s">
        <v>1046</v>
      </c>
      <c r="G849" t="s">
        <v>1737</v>
      </c>
      <c r="H849" t="s">
        <v>2508</v>
      </c>
      <c r="I849">
        <v>214</v>
      </c>
      <c r="J849" t="s">
        <v>3604</v>
      </c>
      <c r="K849">
        <v>10029</v>
      </c>
      <c r="L849" t="s">
        <v>3610</v>
      </c>
      <c r="M849" t="s">
        <v>3610</v>
      </c>
      <c r="O849" t="s">
        <v>4213</v>
      </c>
      <c r="P849" t="s">
        <v>4245</v>
      </c>
      <c r="R849" t="s">
        <v>4258</v>
      </c>
      <c r="S849" t="s">
        <v>3610</v>
      </c>
      <c r="U849" t="s">
        <v>4268</v>
      </c>
      <c r="V849" t="s">
        <v>4274</v>
      </c>
      <c r="W849" t="s">
        <v>411</v>
      </c>
      <c r="X849">
        <v>1917</v>
      </c>
      <c r="Y849" t="s">
        <v>4351</v>
      </c>
      <c r="Z849" t="s">
        <v>4352</v>
      </c>
      <c r="AB849" t="s">
        <v>5066</v>
      </c>
      <c r="AD849" t="s">
        <v>6441</v>
      </c>
      <c r="AE849">
        <v>108</v>
      </c>
      <c r="AF849" t="s">
        <v>7106</v>
      </c>
      <c r="AG849" t="s">
        <v>7116</v>
      </c>
      <c r="AH849">
        <v>12</v>
      </c>
      <c r="AI849">
        <v>1</v>
      </c>
      <c r="AJ849">
        <v>0</v>
      </c>
      <c r="AK849">
        <v>108.87</v>
      </c>
      <c r="AN849" t="s">
        <v>7138</v>
      </c>
      <c r="AO849">
        <v>13217</v>
      </c>
      <c r="AU849">
        <v>0</v>
      </c>
      <c r="AW849" t="s">
        <v>7341</v>
      </c>
    </row>
    <row r="850" spans="1:50">
      <c r="A850" s="1">
        <f>HYPERLINK("https://lsnyc.legalserver.org/matter/dynamic-profile/view/1889313","19-1889313")</f>
        <v>0</v>
      </c>
      <c r="B850" t="s">
        <v>61</v>
      </c>
      <c r="C850" t="s">
        <v>105</v>
      </c>
      <c r="D850" t="s">
        <v>155</v>
      </c>
      <c r="F850" t="s">
        <v>924</v>
      </c>
      <c r="G850" t="s">
        <v>1790</v>
      </c>
      <c r="H850" t="s">
        <v>2544</v>
      </c>
      <c r="I850" t="s">
        <v>3466</v>
      </c>
      <c r="J850" t="s">
        <v>3604</v>
      </c>
      <c r="K850">
        <v>10034</v>
      </c>
      <c r="L850" t="s">
        <v>3610</v>
      </c>
      <c r="M850" t="s">
        <v>3610</v>
      </c>
      <c r="O850" t="s">
        <v>4219</v>
      </c>
      <c r="P850" t="s">
        <v>4242</v>
      </c>
      <c r="R850" t="s">
        <v>4258</v>
      </c>
      <c r="S850" t="s">
        <v>3611</v>
      </c>
      <c r="U850" t="s">
        <v>4268</v>
      </c>
      <c r="W850" t="s">
        <v>155</v>
      </c>
      <c r="X850">
        <v>1601.08</v>
      </c>
      <c r="Y850" t="s">
        <v>4351</v>
      </c>
      <c r="Z850" t="s">
        <v>4357</v>
      </c>
      <c r="AB850" t="s">
        <v>5067</v>
      </c>
      <c r="AD850" t="s">
        <v>6442</v>
      </c>
      <c r="AE850">
        <v>69</v>
      </c>
      <c r="AF850" t="s">
        <v>7101</v>
      </c>
      <c r="AG850" t="s">
        <v>7118</v>
      </c>
      <c r="AH850">
        <v>35</v>
      </c>
      <c r="AI850">
        <v>1</v>
      </c>
      <c r="AJ850">
        <v>0</v>
      </c>
      <c r="AK850">
        <v>109.05</v>
      </c>
      <c r="AN850" t="s">
        <v>7138</v>
      </c>
      <c r="AO850">
        <v>13620</v>
      </c>
      <c r="AU850">
        <v>2.6</v>
      </c>
      <c r="AV850" t="s">
        <v>511</v>
      </c>
      <c r="AW850" t="s">
        <v>7342</v>
      </c>
      <c r="AX850" t="s">
        <v>7377</v>
      </c>
    </row>
    <row r="851" spans="1:50">
      <c r="A851" s="1">
        <f>HYPERLINK("https://lsnyc.legalserver.org/matter/dynamic-profile/view/1900574","19-1900574")</f>
        <v>0</v>
      </c>
      <c r="B851" t="s">
        <v>87</v>
      </c>
      <c r="C851" t="s">
        <v>105</v>
      </c>
      <c r="D851" t="s">
        <v>196</v>
      </c>
      <c r="F851" t="s">
        <v>1022</v>
      </c>
      <c r="G851" t="s">
        <v>1768</v>
      </c>
      <c r="H851" t="s">
        <v>2534</v>
      </c>
      <c r="I851" t="s">
        <v>3395</v>
      </c>
      <c r="J851" t="s">
        <v>3604</v>
      </c>
      <c r="K851">
        <v>10040</v>
      </c>
      <c r="L851" t="s">
        <v>3610</v>
      </c>
      <c r="M851" t="s">
        <v>3609</v>
      </c>
      <c r="O851" t="s">
        <v>4211</v>
      </c>
      <c r="P851" t="s">
        <v>4244</v>
      </c>
      <c r="R851" t="s">
        <v>4258</v>
      </c>
      <c r="S851" t="s">
        <v>3611</v>
      </c>
      <c r="U851" t="s">
        <v>4268</v>
      </c>
      <c r="W851" t="s">
        <v>196</v>
      </c>
      <c r="X851">
        <v>1230.2</v>
      </c>
      <c r="Y851" t="s">
        <v>4351</v>
      </c>
      <c r="Z851" t="s">
        <v>4357</v>
      </c>
      <c r="AB851" t="s">
        <v>5068</v>
      </c>
      <c r="AD851" t="s">
        <v>6443</v>
      </c>
      <c r="AE851">
        <v>44</v>
      </c>
      <c r="AF851" t="s">
        <v>7101</v>
      </c>
      <c r="AG851" t="s">
        <v>7116</v>
      </c>
      <c r="AH851">
        <v>23</v>
      </c>
      <c r="AI851">
        <v>1</v>
      </c>
      <c r="AJ851">
        <v>0</v>
      </c>
      <c r="AK851">
        <v>109.14</v>
      </c>
      <c r="AN851" t="s">
        <v>7139</v>
      </c>
      <c r="AO851">
        <v>13632</v>
      </c>
      <c r="AU851">
        <v>0.7</v>
      </c>
      <c r="AV851" t="s">
        <v>7286</v>
      </c>
      <c r="AW851" t="s">
        <v>7342</v>
      </c>
      <c r="AX851" t="s">
        <v>7377</v>
      </c>
    </row>
    <row r="852" spans="1:50">
      <c r="A852" s="1">
        <f>HYPERLINK("https://lsnyc.legalserver.org/matter/dynamic-profile/view/1845745","17-1845745")</f>
        <v>0</v>
      </c>
      <c r="B852" t="s">
        <v>61</v>
      </c>
      <c r="C852" t="s">
        <v>105</v>
      </c>
      <c r="D852" t="s">
        <v>367</v>
      </c>
      <c r="F852" t="s">
        <v>1170</v>
      </c>
      <c r="G852" t="s">
        <v>706</v>
      </c>
      <c r="H852" t="s">
        <v>2914</v>
      </c>
      <c r="I852">
        <v>23</v>
      </c>
      <c r="J852" t="s">
        <v>3604</v>
      </c>
      <c r="K852">
        <v>10034</v>
      </c>
      <c r="L852" t="s">
        <v>3610</v>
      </c>
      <c r="M852" t="s">
        <v>3609</v>
      </c>
      <c r="O852" t="s">
        <v>4211</v>
      </c>
      <c r="P852" t="s">
        <v>4244</v>
      </c>
      <c r="R852" t="s">
        <v>4258</v>
      </c>
      <c r="S852" t="s">
        <v>3611</v>
      </c>
      <c r="U852" t="s">
        <v>4268</v>
      </c>
      <c r="W852" t="s">
        <v>379</v>
      </c>
      <c r="X852">
        <v>1212.7</v>
      </c>
      <c r="Y852" t="s">
        <v>4351</v>
      </c>
      <c r="Z852" t="s">
        <v>4354</v>
      </c>
      <c r="AB852" t="s">
        <v>5069</v>
      </c>
      <c r="AD852" t="s">
        <v>6444</v>
      </c>
      <c r="AE852">
        <v>30</v>
      </c>
      <c r="AF852" t="s">
        <v>7101</v>
      </c>
      <c r="AG852" t="s">
        <v>3745</v>
      </c>
      <c r="AH852">
        <v>1</v>
      </c>
      <c r="AI852">
        <v>3</v>
      </c>
      <c r="AJ852">
        <v>3</v>
      </c>
      <c r="AK852">
        <v>109.22</v>
      </c>
      <c r="AN852" t="s">
        <v>7139</v>
      </c>
      <c r="AO852">
        <v>36000</v>
      </c>
      <c r="AU852">
        <v>5.3</v>
      </c>
      <c r="AV852" t="s">
        <v>391</v>
      </c>
      <c r="AW852" t="s">
        <v>7342</v>
      </c>
    </row>
    <row r="853" spans="1:50">
      <c r="A853" s="1">
        <f>HYPERLINK("https://lsnyc.legalserver.org/matter/dynamic-profile/view/1889603","19-1889603")</f>
        <v>0</v>
      </c>
      <c r="B853" t="s">
        <v>69</v>
      </c>
      <c r="C853" t="s">
        <v>105</v>
      </c>
      <c r="D853" t="s">
        <v>517</v>
      </c>
      <c r="F853" t="s">
        <v>1171</v>
      </c>
      <c r="G853" t="s">
        <v>2039</v>
      </c>
      <c r="H853" t="s">
        <v>2915</v>
      </c>
      <c r="I853" t="s">
        <v>3338</v>
      </c>
      <c r="J853" t="s">
        <v>3604</v>
      </c>
      <c r="K853">
        <v>10035</v>
      </c>
      <c r="L853" t="s">
        <v>3610</v>
      </c>
      <c r="M853" t="s">
        <v>3610</v>
      </c>
      <c r="N853" t="s">
        <v>3906</v>
      </c>
      <c r="O853" t="s">
        <v>4209</v>
      </c>
      <c r="P853" t="s">
        <v>4246</v>
      </c>
      <c r="R853" t="s">
        <v>4258</v>
      </c>
      <c r="S853" t="s">
        <v>3611</v>
      </c>
      <c r="U853" t="s">
        <v>4268</v>
      </c>
      <c r="V853" t="s">
        <v>4274</v>
      </c>
      <c r="W853" t="s">
        <v>487</v>
      </c>
      <c r="X853">
        <v>3600</v>
      </c>
      <c r="Y853" t="s">
        <v>4351</v>
      </c>
      <c r="Z853" t="s">
        <v>4365</v>
      </c>
      <c r="AB853" t="s">
        <v>5070</v>
      </c>
      <c r="AD853" t="s">
        <v>6445</v>
      </c>
      <c r="AE853">
        <v>48</v>
      </c>
      <c r="AF853" t="s">
        <v>7111</v>
      </c>
      <c r="AG853" t="s">
        <v>7120</v>
      </c>
      <c r="AH853">
        <v>12</v>
      </c>
      <c r="AI853">
        <v>4</v>
      </c>
      <c r="AJ853">
        <v>0</v>
      </c>
      <c r="AK853">
        <v>109.28</v>
      </c>
      <c r="AN853" t="s">
        <v>7138</v>
      </c>
      <c r="AO853">
        <v>28140</v>
      </c>
      <c r="AU853">
        <v>14.7</v>
      </c>
      <c r="AV853" t="s">
        <v>666</v>
      </c>
      <c r="AW853" t="s">
        <v>7361</v>
      </c>
    </row>
    <row r="854" spans="1:50">
      <c r="A854" s="1">
        <f>HYPERLINK("https://lsnyc.legalserver.org/matter/dynamic-profile/view/1887304","19-1887304")</f>
        <v>0</v>
      </c>
      <c r="B854" t="s">
        <v>61</v>
      </c>
      <c r="C854" t="s">
        <v>105</v>
      </c>
      <c r="D854" t="s">
        <v>283</v>
      </c>
      <c r="F854" t="s">
        <v>1172</v>
      </c>
      <c r="G854" t="s">
        <v>1693</v>
      </c>
      <c r="H854" t="s">
        <v>2631</v>
      </c>
      <c r="I854">
        <v>5</v>
      </c>
      <c r="J854" t="s">
        <v>3604</v>
      </c>
      <c r="K854">
        <v>10034</v>
      </c>
      <c r="L854" t="s">
        <v>3610</v>
      </c>
      <c r="M854" t="s">
        <v>3610</v>
      </c>
      <c r="O854" t="s">
        <v>4221</v>
      </c>
      <c r="P854" t="s">
        <v>4244</v>
      </c>
      <c r="R854" t="s">
        <v>4258</v>
      </c>
      <c r="S854" t="s">
        <v>3611</v>
      </c>
      <c r="U854" t="s">
        <v>4268</v>
      </c>
      <c r="W854" t="s">
        <v>283</v>
      </c>
      <c r="X854">
        <v>694.16</v>
      </c>
      <c r="Y854" t="s">
        <v>4351</v>
      </c>
      <c r="Z854" t="s">
        <v>4357</v>
      </c>
      <c r="AB854" t="s">
        <v>5071</v>
      </c>
      <c r="AD854" t="s">
        <v>6446</v>
      </c>
      <c r="AE854">
        <v>25</v>
      </c>
      <c r="AF854" t="s">
        <v>7101</v>
      </c>
      <c r="AG854" t="s">
        <v>7118</v>
      </c>
      <c r="AH854">
        <v>46</v>
      </c>
      <c r="AI854">
        <v>2</v>
      </c>
      <c r="AJ854">
        <v>0</v>
      </c>
      <c r="AK854">
        <v>109.36</v>
      </c>
      <c r="AN854" t="s">
        <v>7138</v>
      </c>
      <c r="AO854">
        <v>18000</v>
      </c>
      <c r="AU854">
        <v>18.67</v>
      </c>
      <c r="AV854" t="s">
        <v>689</v>
      </c>
      <c r="AW854" t="s">
        <v>7342</v>
      </c>
      <c r="AX854" t="s">
        <v>7377</v>
      </c>
    </row>
    <row r="855" spans="1:50">
      <c r="A855" s="1">
        <f>HYPERLINK("https://lsnyc.legalserver.org/matter/dynamic-profile/view/1872469","18-1872469")</f>
        <v>0</v>
      </c>
      <c r="B855" t="s">
        <v>73</v>
      </c>
      <c r="C855" t="s">
        <v>104</v>
      </c>
      <c r="D855" t="s">
        <v>137</v>
      </c>
      <c r="E855" t="s">
        <v>248</v>
      </c>
      <c r="F855" t="s">
        <v>733</v>
      </c>
      <c r="G855" t="s">
        <v>2040</v>
      </c>
      <c r="H855" t="s">
        <v>2916</v>
      </c>
      <c r="I855" t="s">
        <v>3285</v>
      </c>
      <c r="J855" t="s">
        <v>3604</v>
      </c>
      <c r="K855">
        <v>10033</v>
      </c>
      <c r="L855" t="s">
        <v>3610</v>
      </c>
      <c r="M855" t="s">
        <v>3610</v>
      </c>
      <c r="N855" t="s">
        <v>3907</v>
      </c>
      <c r="O855" t="s">
        <v>4210</v>
      </c>
      <c r="P855" t="s">
        <v>4242</v>
      </c>
      <c r="Q855" t="s">
        <v>4250</v>
      </c>
      <c r="R855" t="s">
        <v>4258</v>
      </c>
      <c r="S855" t="s">
        <v>3611</v>
      </c>
      <c r="U855" t="s">
        <v>4268</v>
      </c>
      <c r="W855" t="s">
        <v>137</v>
      </c>
      <c r="X855">
        <v>173</v>
      </c>
      <c r="Y855" t="s">
        <v>4351</v>
      </c>
      <c r="Z855" t="s">
        <v>4354</v>
      </c>
      <c r="AA855" t="s">
        <v>4373</v>
      </c>
      <c r="AB855" t="s">
        <v>5072</v>
      </c>
      <c r="AE855">
        <v>35</v>
      </c>
      <c r="AF855" t="s">
        <v>7106</v>
      </c>
      <c r="AG855" t="s">
        <v>7116</v>
      </c>
      <c r="AH855">
        <v>10</v>
      </c>
      <c r="AI855">
        <v>1</v>
      </c>
      <c r="AJ855">
        <v>0</v>
      </c>
      <c r="AK855">
        <v>109.42</v>
      </c>
      <c r="AN855" t="s">
        <v>7139</v>
      </c>
      <c r="AO855">
        <v>13284</v>
      </c>
      <c r="AU855">
        <v>2.2</v>
      </c>
      <c r="AV855" t="s">
        <v>248</v>
      </c>
      <c r="AW855" t="s">
        <v>7342</v>
      </c>
    </row>
    <row r="856" spans="1:50">
      <c r="A856" s="1">
        <f>HYPERLINK("https://lsnyc.legalserver.org/matter/dynamic-profile/view/1897803","19-1897803")</f>
        <v>0</v>
      </c>
      <c r="B856" t="s">
        <v>56</v>
      </c>
      <c r="C856" t="s">
        <v>105</v>
      </c>
      <c r="D856" t="s">
        <v>146</v>
      </c>
      <c r="F856" t="s">
        <v>1173</v>
      </c>
      <c r="G856" t="s">
        <v>1811</v>
      </c>
      <c r="H856" t="s">
        <v>2917</v>
      </c>
      <c r="I856" t="s">
        <v>3467</v>
      </c>
      <c r="J856" t="s">
        <v>3604</v>
      </c>
      <c r="K856">
        <v>10032</v>
      </c>
      <c r="L856" t="s">
        <v>3610</v>
      </c>
      <c r="M856" t="s">
        <v>3610</v>
      </c>
      <c r="O856" t="s">
        <v>4219</v>
      </c>
      <c r="P856" t="s">
        <v>4241</v>
      </c>
      <c r="R856" t="s">
        <v>4258</v>
      </c>
      <c r="S856" t="s">
        <v>3611</v>
      </c>
      <c r="U856" t="s">
        <v>4268</v>
      </c>
      <c r="W856" t="s">
        <v>146</v>
      </c>
      <c r="X856">
        <v>370</v>
      </c>
      <c r="Y856" t="s">
        <v>4351</v>
      </c>
      <c r="Z856" t="s">
        <v>4354</v>
      </c>
      <c r="AB856" t="s">
        <v>5073</v>
      </c>
      <c r="AD856" t="s">
        <v>6447</v>
      </c>
      <c r="AE856">
        <v>0</v>
      </c>
      <c r="AF856" t="s">
        <v>7104</v>
      </c>
      <c r="AG856" t="s">
        <v>3745</v>
      </c>
      <c r="AH856">
        <v>9</v>
      </c>
      <c r="AI856">
        <v>3</v>
      </c>
      <c r="AJ856">
        <v>0</v>
      </c>
      <c r="AK856">
        <v>109.7</v>
      </c>
      <c r="AN856" t="s">
        <v>7139</v>
      </c>
      <c r="AO856">
        <v>23400</v>
      </c>
      <c r="AU856">
        <v>6.9</v>
      </c>
      <c r="AV856" t="s">
        <v>689</v>
      </c>
      <c r="AW856" t="s">
        <v>7342</v>
      </c>
    </row>
    <row r="857" spans="1:50">
      <c r="A857" s="1">
        <f>HYPERLINK("https://lsnyc.legalserver.org/matter/dynamic-profile/view/1864356","18-1864356")</f>
        <v>0</v>
      </c>
      <c r="B857" t="s">
        <v>69</v>
      </c>
      <c r="C857" t="s">
        <v>105</v>
      </c>
      <c r="D857" t="s">
        <v>162</v>
      </c>
      <c r="F857" t="s">
        <v>780</v>
      </c>
      <c r="G857" t="s">
        <v>1653</v>
      </c>
      <c r="H857" t="s">
        <v>2538</v>
      </c>
      <c r="I857" t="s">
        <v>3276</v>
      </c>
      <c r="J857" t="s">
        <v>3604</v>
      </c>
      <c r="K857">
        <v>10035</v>
      </c>
      <c r="L857" t="s">
        <v>3610</v>
      </c>
      <c r="M857" t="s">
        <v>3610</v>
      </c>
      <c r="N857" t="s">
        <v>3908</v>
      </c>
      <c r="O857" t="s">
        <v>4209</v>
      </c>
      <c r="P857" t="s">
        <v>4241</v>
      </c>
      <c r="R857" t="s">
        <v>4258</v>
      </c>
      <c r="S857" t="s">
        <v>3611</v>
      </c>
      <c r="U857" t="s">
        <v>4268</v>
      </c>
      <c r="V857" t="s">
        <v>4274</v>
      </c>
      <c r="W857" t="s">
        <v>162</v>
      </c>
      <c r="X857">
        <v>550</v>
      </c>
      <c r="Y857" t="s">
        <v>4351</v>
      </c>
      <c r="Z857" t="s">
        <v>4228</v>
      </c>
      <c r="AB857" t="s">
        <v>4487</v>
      </c>
      <c r="AD857" t="s">
        <v>5918</v>
      </c>
      <c r="AE857">
        <v>30</v>
      </c>
      <c r="AF857" t="s">
        <v>7101</v>
      </c>
      <c r="AG857" t="s">
        <v>3745</v>
      </c>
      <c r="AH857">
        <v>20</v>
      </c>
      <c r="AI857">
        <v>1</v>
      </c>
      <c r="AJ857">
        <v>2</v>
      </c>
      <c r="AK857">
        <v>110.11</v>
      </c>
      <c r="AN857" t="s">
        <v>7138</v>
      </c>
      <c r="AO857">
        <v>22880</v>
      </c>
      <c r="AU857">
        <v>41.2</v>
      </c>
      <c r="AV857" t="s">
        <v>666</v>
      </c>
      <c r="AW857" t="s">
        <v>7341</v>
      </c>
      <c r="AX857" t="s">
        <v>7377</v>
      </c>
    </row>
    <row r="858" spans="1:50">
      <c r="A858" s="1">
        <f>HYPERLINK("https://lsnyc.legalserver.org/matter/dynamic-profile/view/1835693","17-1835693")</f>
        <v>0</v>
      </c>
      <c r="B858" t="s">
        <v>61</v>
      </c>
      <c r="C858" t="s">
        <v>105</v>
      </c>
      <c r="D858" t="s">
        <v>121</v>
      </c>
      <c r="F858" t="s">
        <v>696</v>
      </c>
      <c r="G858" t="s">
        <v>2038</v>
      </c>
      <c r="H858" t="s">
        <v>2725</v>
      </c>
      <c r="I858">
        <v>24</v>
      </c>
      <c r="J858" t="s">
        <v>3604</v>
      </c>
      <c r="K858">
        <v>10031</v>
      </c>
      <c r="L858" t="s">
        <v>3610</v>
      </c>
      <c r="M858" t="s">
        <v>3609</v>
      </c>
      <c r="N858" t="s">
        <v>3909</v>
      </c>
      <c r="O858" t="s">
        <v>4209</v>
      </c>
      <c r="P858" t="s">
        <v>4241</v>
      </c>
      <c r="R858" t="s">
        <v>4258</v>
      </c>
      <c r="U858" t="s">
        <v>4268</v>
      </c>
      <c r="W858" t="s">
        <v>121</v>
      </c>
      <c r="X858">
        <v>760.3099999999999</v>
      </c>
      <c r="Y858" t="s">
        <v>4351</v>
      </c>
      <c r="Z858" t="s">
        <v>4354</v>
      </c>
      <c r="AB858" t="s">
        <v>5065</v>
      </c>
      <c r="AD858" t="s">
        <v>6440</v>
      </c>
      <c r="AE858">
        <v>29</v>
      </c>
      <c r="AF858" t="s">
        <v>7101</v>
      </c>
      <c r="AG858" t="s">
        <v>7116</v>
      </c>
      <c r="AH858">
        <v>40</v>
      </c>
      <c r="AI858">
        <v>2</v>
      </c>
      <c r="AJ858">
        <v>0</v>
      </c>
      <c r="AK858">
        <v>110.32</v>
      </c>
      <c r="AL858" t="s">
        <v>614</v>
      </c>
      <c r="AN858" t="s">
        <v>7138</v>
      </c>
      <c r="AO858">
        <v>17916</v>
      </c>
      <c r="AU858">
        <v>99.09999999999999</v>
      </c>
      <c r="AV858" t="s">
        <v>675</v>
      </c>
      <c r="AW858" t="s">
        <v>7341</v>
      </c>
    </row>
    <row r="859" spans="1:50">
      <c r="A859" s="1">
        <f>HYPERLINK("https://lsnyc.legalserver.org/matter/dynamic-profile/view/1851725","17-1851725")</f>
        <v>0</v>
      </c>
      <c r="B859" t="s">
        <v>50</v>
      </c>
      <c r="C859" t="s">
        <v>104</v>
      </c>
      <c r="D859" t="s">
        <v>294</v>
      </c>
      <c r="E859" t="s">
        <v>282</v>
      </c>
      <c r="F859" t="s">
        <v>696</v>
      </c>
      <c r="G859" t="s">
        <v>2038</v>
      </c>
      <c r="H859" t="s">
        <v>2725</v>
      </c>
      <c r="I859">
        <v>24</v>
      </c>
      <c r="J859" t="s">
        <v>3604</v>
      </c>
      <c r="K859">
        <v>10031</v>
      </c>
      <c r="L859" t="s">
        <v>3609</v>
      </c>
      <c r="M859" t="s">
        <v>3609</v>
      </c>
      <c r="Q859" t="s">
        <v>4248</v>
      </c>
      <c r="R859" t="s">
        <v>4258</v>
      </c>
      <c r="U859" t="s">
        <v>4267</v>
      </c>
      <c r="X859">
        <v>0</v>
      </c>
      <c r="Y859" t="s">
        <v>4351</v>
      </c>
      <c r="AA859" t="s">
        <v>4393</v>
      </c>
      <c r="AB859" t="s">
        <v>5065</v>
      </c>
      <c r="AD859" t="s">
        <v>6440</v>
      </c>
      <c r="AE859">
        <v>0</v>
      </c>
      <c r="AH859">
        <v>0</v>
      </c>
      <c r="AI859">
        <v>2</v>
      </c>
      <c r="AJ859">
        <v>0</v>
      </c>
      <c r="AK859">
        <v>110.32</v>
      </c>
      <c r="AN859" t="s">
        <v>7138</v>
      </c>
      <c r="AO859">
        <v>26916</v>
      </c>
      <c r="AU859">
        <v>43.65</v>
      </c>
      <c r="AV859" t="s">
        <v>4289</v>
      </c>
      <c r="AW859" t="s">
        <v>7340</v>
      </c>
    </row>
    <row r="860" spans="1:50">
      <c r="A860" s="1">
        <f>HYPERLINK("https://lsnyc.legalserver.org/matter/dynamic-profile/view/1863839","18-1863839")</f>
        <v>0</v>
      </c>
      <c r="B860" t="s">
        <v>53</v>
      </c>
      <c r="C860" t="s">
        <v>105</v>
      </c>
      <c r="D860" t="s">
        <v>160</v>
      </c>
      <c r="F860" t="s">
        <v>977</v>
      </c>
      <c r="G860" t="s">
        <v>1575</v>
      </c>
      <c r="H860" t="s">
        <v>2508</v>
      </c>
      <c r="I860">
        <v>810</v>
      </c>
      <c r="J860" t="s">
        <v>3604</v>
      </c>
      <c r="K860">
        <v>10029</v>
      </c>
      <c r="L860" t="s">
        <v>3610</v>
      </c>
      <c r="M860" t="s">
        <v>3610</v>
      </c>
      <c r="N860" t="s">
        <v>3642</v>
      </c>
      <c r="O860" t="s">
        <v>4213</v>
      </c>
      <c r="P860" t="s">
        <v>4241</v>
      </c>
      <c r="R860" t="s">
        <v>4258</v>
      </c>
      <c r="S860" t="s">
        <v>3610</v>
      </c>
      <c r="U860" t="s">
        <v>4268</v>
      </c>
      <c r="V860" t="s">
        <v>4274</v>
      </c>
      <c r="W860" t="s">
        <v>242</v>
      </c>
      <c r="X860">
        <v>0</v>
      </c>
      <c r="Y860" t="s">
        <v>4351</v>
      </c>
      <c r="Z860" t="s">
        <v>4352</v>
      </c>
      <c r="AB860" t="s">
        <v>5074</v>
      </c>
      <c r="AD860" t="s">
        <v>6448</v>
      </c>
      <c r="AE860">
        <v>108</v>
      </c>
      <c r="AF860" t="s">
        <v>7106</v>
      </c>
      <c r="AG860" t="s">
        <v>7116</v>
      </c>
      <c r="AH860">
        <v>6</v>
      </c>
      <c r="AI860">
        <v>1</v>
      </c>
      <c r="AJ860">
        <v>1</v>
      </c>
      <c r="AK860">
        <v>110.52</v>
      </c>
      <c r="AN860" t="s">
        <v>7138</v>
      </c>
      <c r="AO860">
        <v>18192</v>
      </c>
      <c r="AP860" t="s">
        <v>7158</v>
      </c>
      <c r="AU860">
        <v>0.35</v>
      </c>
      <c r="AV860" t="s">
        <v>625</v>
      </c>
      <c r="AW860" t="s">
        <v>7341</v>
      </c>
    </row>
    <row r="861" spans="1:50">
      <c r="A861" s="1">
        <f>HYPERLINK("https://lsnyc.legalserver.org/matter/dynamic-profile/view/0821996","16-0821996")</f>
        <v>0</v>
      </c>
      <c r="B861" t="s">
        <v>64</v>
      </c>
      <c r="C861" t="s">
        <v>105</v>
      </c>
      <c r="D861" t="s">
        <v>518</v>
      </c>
      <c r="F861" t="s">
        <v>1174</v>
      </c>
      <c r="G861" t="s">
        <v>1594</v>
      </c>
      <c r="H861" t="s">
        <v>2496</v>
      </c>
      <c r="I861">
        <v>43</v>
      </c>
      <c r="J861" t="s">
        <v>3604</v>
      </c>
      <c r="K861">
        <v>10032</v>
      </c>
      <c r="L861" t="s">
        <v>3610</v>
      </c>
      <c r="M861" t="s">
        <v>3609</v>
      </c>
      <c r="O861" t="s">
        <v>4211</v>
      </c>
      <c r="P861" t="s">
        <v>4241</v>
      </c>
      <c r="R861" t="s">
        <v>4258</v>
      </c>
      <c r="S861" t="s">
        <v>3610</v>
      </c>
      <c r="U861" t="s">
        <v>4268</v>
      </c>
      <c r="W861" t="s">
        <v>4282</v>
      </c>
      <c r="X861">
        <v>881.7</v>
      </c>
      <c r="Y861" t="s">
        <v>4351</v>
      </c>
      <c r="Z861" t="s">
        <v>4352</v>
      </c>
      <c r="AB861" t="s">
        <v>5075</v>
      </c>
      <c r="AD861" t="s">
        <v>6449</v>
      </c>
      <c r="AE861">
        <v>35</v>
      </c>
      <c r="AF861" t="s">
        <v>7101</v>
      </c>
      <c r="AG861" t="s">
        <v>3745</v>
      </c>
      <c r="AH861">
        <v>25</v>
      </c>
      <c r="AI861">
        <v>2</v>
      </c>
      <c r="AJ861">
        <v>2</v>
      </c>
      <c r="AK861">
        <v>110.55</v>
      </c>
      <c r="AL861" t="s">
        <v>4319</v>
      </c>
      <c r="AN861" t="s">
        <v>7139</v>
      </c>
      <c r="AO861">
        <v>26864</v>
      </c>
      <c r="AU861">
        <v>1.75</v>
      </c>
      <c r="AV861" t="s">
        <v>677</v>
      </c>
      <c r="AW861" t="s">
        <v>7341</v>
      </c>
    </row>
    <row r="862" spans="1:50">
      <c r="A862" s="1">
        <f>HYPERLINK("https://lsnyc.legalserver.org/matter/dynamic-profile/view/1854958","18-1854958")</f>
        <v>0</v>
      </c>
      <c r="B862" t="s">
        <v>61</v>
      </c>
      <c r="C862" t="s">
        <v>105</v>
      </c>
      <c r="D862" t="s">
        <v>519</v>
      </c>
      <c r="F862" t="s">
        <v>1175</v>
      </c>
      <c r="G862" t="s">
        <v>1746</v>
      </c>
      <c r="H862" t="s">
        <v>2918</v>
      </c>
      <c r="I862" t="s">
        <v>3345</v>
      </c>
      <c r="J862" t="s">
        <v>3604</v>
      </c>
      <c r="K862">
        <v>10034</v>
      </c>
      <c r="L862" t="s">
        <v>3610</v>
      </c>
      <c r="M862" t="s">
        <v>3609</v>
      </c>
      <c r="N862" t="s">
        <v>3910</v>
      </c>
      <c r="O862" t="s">
        <v>4209</v>
      </c>
      <c r="P862" t="s">
        <v>4241</v>
      </c>
      <c r="R862" t="s">
        <v>4258</v>
      </c>
      <c r="S862" t="s">
        <v>3611</v>
      </c>
      <c r="U862" t="s">
        <v>4268</v>
      </c>
      <c r="W862" t="s">
        <v>519</v>
      </c>
      <c r="X862">
        <v>1291.19</v>
      </c>
      <c r="Y862" t="s">
        <v>4351</v>
      </c>
      <c r="Z862" t="s">
        <v>4354</v>
      </c>
      <c r="AB862" t="s">
        <v>5076</v>
      </c>
      <c r="AD862" t="s">
        <v>6450</v>
      </c>
      <c r="AE862">
        <v>89</v>
      </c>
      <c r="AF862" t="s">
        <v>7101</v>
      </c>
      <c r="AG862" t="s">
        <v>7118</v>
      </c>
      <c r="AH862">
        <v>20</v>
      </c>
      <c r="AI862">
        <v>3</v>
      </c>
      <c r="AJ862">
        <v>0</v>
      </c>
      <c r="AK862">
        <v>110.6</v>
      </c>
      <c r="AN862" t="s">
        <v>7139</v>
      </c>
      <c r="AO862">
        <v>34692</v>
      </c>
      <c r="AU862">
        <v>20.1</v>
      </c>
      <c r="AV862" t="s">
        <v>239</v>
      </c>
      <c r="AW862" t="s">
        <v>7342</v>
      </c>
    </row>
    <row r="863" spans="1:50">
      <c r="A863" s="1">
        <f>HYPERLINK("https://lsnyc.legalserver.org/matter/dynamic-profile/view/1886076","18-1886076")</f>
        <v>0</v>
      </c>
      <c r="B863" t="s">
        <v>64</v>
      </c>
      <c r="C863" t="s">
        <v>104</v>
      </c>
      <c r="D863" t="s">
        <v>109</v>
      </c>
      <c r="E863" t="s">
        <v>159</v>
      </c>
      <c r="F863" t="s">
        <v>807</v>
      </c>
      <c r="G863" t="s">
        <v>1885</v>
      </c>
      <c r="H863" t="s">
        <v>2642</v>
      </c>
      <c r="I863" t="s">
        <v>3465</v>
      </c>
      <c r="J863" t="s">
        <v>3604</v>
      </c>
      <c r="K863">
        <v>10034</v>
      </c>
      <c r="L863" t="s">
        <v>3610</v>
      </c>
      <c r="M863" t="s">
        <v>3610</v>
      </c>
      <c r="N863" t="s">
        <v>3911</v>
      </c>
      <c r="O863" t="s">
        <v>4213</v>
      </c>
      <c r="P863" t="s">
        <v>4241</v>
      </c>
      <c r="Q863" t="s">
        <v>4248</v>
      </c>
      <c r="R863" t="s">
        <v>4258</v>
      </c>
      <c r="S863" t="s">
        <v>3610</v>
      </c>
      <c r="U863" t="s">
        <v>4268</v>
      </c>
      <c r="V863" t="s">
        <v>4275</v>
      </c>
      <c r="W863" t="s">
        <v>154</v>
      </c>
      <c r="X863">
        <v>1053</v>
      </c>
      <c r="Y863" t="s">
        <v>4351</v>
      </c>
      <c r="Z863" t="s">
        <v>4354</v>
      </c>
      <c r="AA863" t="s">
        <v>4379</v>
      </c>
      <c r="AB863" t="s">
        <v>5059</v>
      </c>
      <c r="AD863" t="s">
        <v>6433</v>
      </c>
      <c r="AE863">
        <v>50</v>
      </c>
      <c r="AF863" t="s">
        <v>7101</v>
      </c>
      <c r="AH863">
        <v>13</v>
      </c>
      <c r="AI863">
        <v>1</v>
      </c>
      <c r="AJ863">
        <v>2</v>
      </c>
      <c r="AK863">
        <v>110.68</v>
      </c>
      <c r="AN863" t="s">
        <v>7138</v>
      </c>
      <c r="AO863">
        <v>23000</v>
      </c>
      <c r="AU863">
        <v>0.1</v>
      </c>
      <c r="AV863" t="s">
        <v>109</v>
      </c>
      <c r="AW863" t="s">
        <v>64</v>
      </c>
    </row>
    <row r="864" spans="1:50">
      <c r="A864" s="1">
        <f>HYPERLINK("https://lsnyc.legalserver.org/matter/dynamic-profile/view/1860573","18-1860573")</f>
        <v>0</v>
      </c>
      <c r="B864" t="s">
        <v>55</v>
      </c>
      <c r="C864" t="s">
        <v>104</v>
      </c>
      <c r="D864" t="s">
        <v>257</v>
      </c>
      <c r="E864" t="s">
        <v>303</v>
      </c>
      <c r="F864" t="s">
        <v>733</v>
      </c>
      <c r="G864" t="s">
        <v>1728</v>
      </c>
      <c r="H864" t="s">
        <v>2797</v>
      </c>
      <c r="I864" t="s">
        <v>3356</v>
      </c>
      <c r="J864" t="s">
        <v>3604</v>
      </c>
      <c r="K864">
        <v>10035</v>
      </c>
      <c r="L864" t="s">
        <v>3610</v>
      </c>
      <c r="M864" t="s">
        <v>3610</v>
      </c>
      <c r="O864" t="s">
        <v>4211</v>
      </c>
      <c r="P864" t="s">
        <v>4244</v>
      </c>
      <c r="Q864" t="s">
        <v>4249</v>
      </c>
      <c r="R864" t="s">
        <v>4258</v>
      </c>
      <c r="S864" t="s">
        <v>3611</v>
      </c>
      <c r="U864" t="s">
        <v>4268</v>
      </c>
      <c r="V864" t="s">
        <v>4274</v>
      </c>
      <c r="W864" t="s">
        <v>257</v>
      </c>
      <c r="X864">
        <v>1370</v>
      </c>
      <c r="Y864" t="s">
        <v>4351</v>
      </c>
      <c r="Z864" t="s">
        <v>4354</v>
      </c>
      <c r="AA864" t="s">
        <v>4377</v>
      </c>
      <c r="AB864" t="s">
        <v>5077</v>
      </c>
      <c r="AD864" t="s">
        <v>6451</v>
      </c>
      <c r="AE864">
        <v>30</v>
      </c>
      <c r="AF864" t="s">
        <v>7106</v>
      </c>
      <c r="AG864" t="s">
        <v>7116</v>
      </c>
      <c r="AH864">
        <v>11</v>
      </c>
      <c r="AI864">
        <v>2</v>
      </c>
      <c r="AJ864">
        <v>0</v>
      </c>
      <c r="AK864">
        <v>110.81</v>
      </c>
      <c r="AN864" t="s">
        <v>7139</v>
      </c>
      <c r="AO864">
        <v>18240</v>
      </c>
      <c r="AU864">
        <v>2.9</v>
      </c>
      <c r="AV864" t="s">
        <v>473</v>
      </c>
      <c r="AW864" t="s">
        <v>7341</v>
      </c>
    </row>
    <row r="865" spans="1:50">
      <c r="A865" s="1">
        <f>HYPERLINK("https://lsnyc.legalserver.org/matter/dynamic-profile/view/1856257","18-1856257")</f>
        <v>0</v>
      </c>
      <c r="B865" t="s">
        <v>53</v>
      </c>
      <c r="C865" t="s">
        <v>104</v>
      </c>
      <c r="D865" t="s">
        <v>368</v>
      </c>
      <c r="E865" t="s">
        <v>260</v>
      </c>
      <c r="F865" t="s">
        <v>1176</v>
      </c>
      <c r="G865" t="s">
        <v>2041</v>
      </c>
      <c r="H865" t="s">
        <v>2919</v>
      </c>
      <c r="I865">
        <v>52</v>
      </c>
      <c r="J865" t="s">
        <v>3604</v>
      </c>
      <c r="K865">
        <v>10034</v>
      </c>
      <c r="L865" t="s">
        <v>3610</v>
      </c>
      <c r="M865" t="s">
        <v>3609</v>
      </c>
      <c r="N865" t="s">
        <v>3912</v>
      </c>
      <c r="O865" t="s">
        <v>4209</v>
      </c>
      <c r="P865" t="s">
        <v>4241</v>
      </c>
      <c r="Q865" t="s">
        <v>4248</v>
      </c>
      <c r="R865" t="s">
        <v>4258</v>
      </c>
      <c r="S865" t="s">
        <v>3611</v>
      </c>
      <c r="U865" t="s">
        <v>4268</v>
      </c>
      <c r="W865" t="s">
        <v>368</v>
      </c>
      <c r="X865">
        <v>978</v>
      </c>
      <c r="Y865" t="s">
        <v>4351</v>
      </c>
      <c r="Z865" t="s">
        <v>4352</v>
      </c>
      <c r="AA865" t="s">
        <v>4374</v>
      </c>
      <c r="AB865" t="s">
        <v>5078</v>
      </c>
      <c r="AD865" t="s">
        <v>6452</v>
      </c>
      <c r="AE865">
        <v>30</v>
      </c>
      <c r="AF865" t="s">
        <v>7101</v>
      </c>
      <c r="AG865" t="s">
        <v>3745</v>
      </c>
      <c r="AH865">
        <v>22</v>
      </c>
      <c r="AI865">
        <v>1</v>
      </c>
      <c r="AJ865">
        <v>1</v>
      </c>
      <c r="AK865">
        <v>110.84</v>
      </c>
      <c r="AN865" t="s">
        <v>7139</v>
      </c>
      <c r="AO865">
        <v>18000</v>
      </c>
      <c r="AU865">
        <v>6.7</v>
      </c>
      <c r="AV865" t="s">
        <v>111</v>
      </c>
      <c r="AW865" t="s">
        <v>7342</v>
      </c>
    </row>
    <row r="866" spans="1:50">
      <c r="A866" s="1">
        <f>HYPERLINK("https://lsnyc.legalserver.org/matter/dynamic-profile/view/0806797","16-0806797")</f>
        <v>0</v>
      </c>
      <c r="B866" t="s">
        <v>67</v>
      </c>
      <c r="C866" t="s">
        <v>104</v>
      </c>
      <c r="D866" t="s">
        <v>520</v>
      </c>
      <c r="E866" t="s">
        <v>442</v>
      </c>
      <c r="F866" t="s">
        <v>1177</v>
      </c>
      <c r="G866" t="s">
        <v>1399</v>
      </c>
      <c r="H866" t="s">
        <v>2920</v>
      </c>
      <c r="I866" t="s">
        <v>3396</v>
      </c>
      <c r="J866" t="s">
        <v>3604</v>
      </c>
      <c r="K866">
        <v>10034</v>
      </c>
      <c r="L866" t="s">
        <v>3610</v>
      </c>
      <c r="M866" t="s">
        <v>3610</v>
      </c>
      <c r="N866" t="s">
        <v>3913</v>
      </c>
      <c r="O866" t="s">
        <v>4209</v>
      </c>
      <c r="P866" t="s">
        <v>4241</v>
      </c>
      <c r="Q866" t="s">
        <v>4251</v>
      </c>
      <c r="R866" t="s">
        <v>4258</v>
      </c>
      <c r="S866" t="s">
        <v>3611</v>
      </c>
      <c r="T866" t="s">
        <v>4264</v>
      </c>
      <c r="U866" t="s">
        <v>4268</v>
      </c>
      <c r="V866" t="s">
        <v>4274</v>
      </c>
      <c r="W866" t="s">
        <v>187</v>
      </c>
      <c r="X866">
        <v>1550</v>
      </c>
      <c r="Y866" t="s">
        <v>4351</v>
      </c>
      <c r="Z866" t="s">
        <v>4354</v>
      </c>
      <c r="AA866" t="s">
        <v>4374</v>
      </c>
      <c r="AB866" t="s">
        <v>5079</v>
      </c>
      <c r="AD866" t="s">
        <v>6453</v>
      </c>
      <c r="AE866">
        <v>60</v>
      </c>
      <c r="AF866" t="s">
        <v>7101</v>
      </c>
      <c r="AG866" t="s">
        <v>3745</v>
      </c>
      <c r="AH866">
        <v>11</v>
      </c>
      <c r="AI866">
        <v>1</v>
      </c>
      <c r="AJ866">
        <v>0</v>
      </c>
      <c r="AK866">
        <v>111.11</v>
      </c>
      <c r="AN866" t="s">
        <v>7138</v>
      </c>
      <c r="AO866">
        <v>13200</v>
      </c>
      <c r="AU866">
        <v>198.95</v>
      </c>
      <c r="AV866" t="s">
        <v>167</v>
      </c>
      <c r="AW866" t="s">
        <v>7360</v>
      </c>
    </row>
    <row r="867" spans="1:50">
      <c r="A867" s="1">
        <f>HYPERLINK("https://lsnyc.legalserver.org/matter/dynamic-profile/view/1892749","19-1892749")</f>
        <v>0</v>
      </c>
      <c r="B867" t="s">
        <v>58</v>
      </c>
      <c r="C867" t="s">
        <v>105</v>
      </c>
      <c r="D867" t="s">
        <v>190</v>
      </c>
      <c r="F867" t="s">
        <v>1178</v>
      </c>
      <c r="G867" t="s">
        <v>2042</v>
      </c>
      <c r="H867" t="s">
        <v>2921</v>
      </c>
      <c r="I867">
        <v>6</v>
      </c>
      <c r="J867" t="s">
        <v>3604</v>
      </c>
      <c r="K867">
        <v>10031</v>
      </c>
      <c r="L867" t="s">
        <v>3609</v>
      </c>
      <c r="M867" t="s">
        <v>3609</v>
      </c>
      <c r="P867" t="s">
        <v>4241</v>
      </c>
      <c r="R867" t="s">
        <v>4258</v>
      </c>
      <c r="S867" t="s">
        <v>3610</v>
      </c>
      <c r="U867" t="s">
        <v>4268</v>
      </c>
      <c r="V867" t="s">
        <v>4274</v>
      </c>
      <c r="X867">
        <v>1400</v>
      </c>
      <c r="Y867" t="s">
        <v>4351</v>
      </c>
      <c r="AB867" t="s">
        <v>5080</v>
      </c>
      <c r="AD867" t="s">
        <v>6454</v>
      </c>
      <c r="AE867">
        <v>0</v>
      </c>
      <c r="AG867" t="s">
        <v>7116</v>
      </c>
      <c r="AH867">
        <v>15</v>
      </c>
      <c r="AI867">
        <v>3</v>
      </c>
      <c r="AJ867">
        <v>2</v>
      </c>
      <c r="AK867">
        <v>111.13</v>
      </c>
      <c r="AO867">
        <v>33528</v>
      </c>
      <c r="AU867">
        <v>3.3</v>
      </c>
      <c r="AV867" t="s">
        <v>4302</v>
      </c>
      <c r="AW867" t="s">
        <v>7359</v>
      </c>
    </row>
    <row r="868" spans="1:50">
      <c r="A868" s="1">
        <f>HYPERLINK("https://lsnyc.legalserver.org/matter/dynamic-profile/view/1839738","17-1839738")</f>
        <v>0</v>
      </c>
      <c r="B868" t="s">
        <v>53</v>
      </c>
      <c r="C868" t="s">
        <v>104</v>
      </c>
      <c r="D868" t="s">
        <v>434</v>
      </c>
      <c r="E868" t="s">
        <v>260</v>
      </c>
      <c r="F868" t="s">
        <v>733</v>
      </c>
      <c r="G868" t="s">
        <v>2043</v>
      </c>
      <c r="H868" t="s">
        <v>2922</v>
      </c>
      <c r="I868">
        <v>22</v>
      </c>
      <c r="J868" t="s">
        <v>3604</v>
      </c>
      <c r="K868">
        <v>10032</v>
      </c>
      <c r="L868" t="s">
        <v>3610</v>
      </c>
      <c r="M868" t="s">
        <v>3609</v>
      </c>
      <c r="N868" t="s">
        <v>3914</v>
      </c>
      <c r="O868" t="s">
        <v>4210</v>
      </c>
      <c r="P868" t="s">
        <v>4241</v>
      </c>
      <c r="Q868" t="s">
        <v>4248</v>
      </c>
      <c r="R868" t="s">
        <v>4258</v>
      </c>
      <c r="S868" t="s">
        <v>3611</v>
      </c>
      <c r="U868" t="s">
        <v>4268</v>
      </c>
      <c r="W868" t="s">
        <v>133</v>
      </c>
      <c r="X868">
        <v>878.34</v>
      </c>
      <c r="Y868" t="s">
        <v>4351</v>
      </c>
      <c r="Z868" t="s">
        <v>4354</v>
      </c>
      <c r="AA868" t="s">
        <v>4374</v>
      </c>
      <c r="AB868" t="s">
        <v>5081</v>
      </c>
      <c r="AD868" t="s">
        <v>6455</v>
      </c>
      <c r="AE868">
        <v>21</v>
      </c>
      <c r="AF868" t="s">
        <v>7101</v>
      </c>
      <c r="AG868" t="s">
        <v>3745</v>
      </c>
      <c r="AH868">
        <v>41</v>
      </c>
      <c r="AI868">
        <v>3</v>
      </c>
      <c r="AJ868">
        <v>4</v>
      </c>
      <c r="AK868">
        <v>111.25</v>
      </c>
      <c r="AL868" t="s">
        <v>188</v>
      </c>
      <c r="AN868" t="s">
        <v>7139</v>
      </c>
      <c r="AO868">
        <v>41320</v>
      </c>
      <c r="AU868">
        <v>44.97</v>
      </c>
      <c r="AV868" t="s">
        <v>160</v>
      </c>
      <c r="AW868" t="s">
        <v>7342</v>
      </c>
    </row>
    <row r="869" spans="1:50">
      <c r="A869" s="1">
        <f>HYPERLINK("https://lsnyc.legalserver.org/matter/dynamic-profile/view/1874714","18-1874714")</f>
        <v>0</v>
      </c>
      <c r="B869" t="s">
        <v>61</v>
      </c>
      <c r="C869" t="s">
        <v>104</v>
      </c>
      <c r="D869" t="s">
        <v>144</v>
      </c>
      <c r="E869" t="s">
        <v>668</v>
      </c>
      <c r="F869" t="s">
        <v>895</v>
      </c>
      <c r="G869" t="s">
        <v>1775</v>
      </c>
      <c r="H869" t="s">
        <v>2631</v>
      </c>
      <c r="I869">
        <v>2</v>
      </c>
      <c r="J869" t="s">
        <v>3604</v>
      </c>
      <c r="K869">
        <v>10034</v>
      </c>
      <c r="L869" t="s">
        <v>3610</v>
      </c>
      <c r="M869" t="s">
        <v>3610</v>
      </c>
      <c r="O869" t="s">
        <v>4217</v>
      </c>
      <c r="P869" t="s">
        <v>4245</v>
      </c>
      <c r="Q869" t="s">
        <v>4249</v>
      </c>
      <c r="R869" t="s">
        <v>4258</v>
      </c>
      <c r="S869" t="s">
        <v>3611</v>
      </c>
      <c r="U869" t="s">
        <v>4268</v>
      </c>
      <c r="W869" t="s">
        <v>144</v>
      </c>
      <c r="X869">
        <v>817.5700000000001</v>
      </c>
      <c r="Y869" t="s">
        <v>4351</v>
      </c>
      <c r="Z869" t="s">
        <v>4357</v>
      </c>
      <c r="AA869" t="s">
        <v>4384</v>
      </c>
      <c r="AB869" t="s">
        <v>4635</v>
      </c>
      <c r="AC869" t="s">
        <v>5813</v>
      </c>
      <c r="AD869" t="s">
        <v>6048</v>
      </c>
      <c r="AE869">
        <v>25</v>
      </c>
      <c r="AF869" t="s">
        <v>7101</v>
      </c>
      <c r="AG869" t="s">
        <v>7118</v>
      </c>
      <c r="AH869">
        <v>12</v>
      </c>
      <c r="AI869">
        <v>1</v>
      </c>
      <c r="AJ869">
        <v>1</v>
      </c>
      <c r="AK869">
        <v>111.26</v>
      </c>
      <c r="AN869" t="s">
        <v>7139</v>
      </c>
      <c r="AO869">
        <v>18312.78</v>
      </c>
      <c r="AU869">
        <v>2.5</v>
      </c>
      <c r="AV869" t="s">
        <v>668</v>
      </c>
      <c r="AW869" t="s">
        <v>7342</v>
      </c>
      <c r="AX869" t="s">
        <v>7377</v>
      </c>
    </row>
    <row r="870" spans="1:50">
      <c r="A870" s="1">
        <f>HYPERLINK("https://lsnyc.legalserver.org/matter/dynamic-profile/view/1872494","18-1872494")</f>
        <v>0</v>
      </c>
      <c r="B870" t="s">
        <v>63</v>
      </c>
      <c r="C870" t="s">
        <v>104</v>
      </c>
      <c r="D870" t="s">
        <v>137</v>
      </c>
      <c r="E870" t="s">
        <v>320</v>
      </c>
      <c r="F870" t="s">
        <v>1179</v>
      </c>
      <c r="G870" t="s">
        <v>1808</v>
      </c>
      <c r="H870" t="s">
        <v>2635</v>
      </c>
      <c r="I870" t="s">
        <v>3293</v>
      </c>
      <c r="J870" t="s">
        <v>3604</v>
      </c>
      <c r="K870">
        <v>10034</v>
      </c>
      <c r="L870" t="s">
        <v>3610</v>
      </c>
      <c r="M870" t="s">
        <v>3610</v>
      </c>
      <c r="P870" t="s">
        <v>4245</v>
      </c>
      <c r="Q870" t="s">
        <v>4249</v>
      </c>
      <c r="R870" t="s">
        <v>4258</v>
      </c>
      <c r="S870" t="s">
        <v>3611</v>
      </c>
      <c r="U870" t="s">
        <v>4268</v>
      </c>
      <c r="W870" t="s">
        <v>137</v>
      </c>
      <c r="X870">
        <v>687.12</v>
      </c>
      <c r="Y870" t="s">
        <v>4351</v>
      </c>
      <c r="Z870" t="s">
        <v>4354</v>
      </c>
      <c r="AA870" t="s">
        <v>4377</v>
      </c>
      <c r="AB870" t="s">
        <v>5082</v>
      </c>
      <c r="AD870" t="s">
        <v>6456</v>
      </c>
      <c r="AE870">
        <v>26</v>
      </c>
      <c r="AF870" t="s">
        <v>7101</v>
      </c>
      <c r="AG870" t="s">
        <v>3745</v>
      </c>
      <c r="AH870">
        <v>53</v>
      </c>
      <c r="AI870">
        <v>1</v>
      </c>
      <c r="AJ870">
        <v>0</v>
      </c>
      <c r="AK870">
        <v>111.4</v>
      </c>
      <c r="AN870" t="s">
        <v>7139</v>
      </c>
      <c r="AO870">
        <v>13524</v>
      </c>
      <c r="AU870">
        <v>0.1</v>
      </c>
      <c r="AV870" t="s">
        <v>320</v>
      </c>
      <c r="AW870" t="s">
        <v>7342</v>
      </c>
    </row>
    <row r="871" spans="1:50">
      <c r="A871" s="1">
        <f>HYPERLINK("https://lsnyc.legalserver.org/matter/dynamic-profile/view/1898707","19-1898707")</f>
        <v>0</v>
      </c>
      <c r="B871" t="s">
        <v>70</v>
      </c>
      <c r="C871" t="s">
        <v>104</v>
      </c>
      <c r="D871" t="s">
        <v>408</v>
      </c>
      <c r="E871" t="s">
        <v>510</v>
      </c>
      <c r="F871" t="s">
        <v>1065</v>
      </c>
      <c r="G871" t="s">
        <v>2044</v>
      </c>
      <c r="H871" t="s">
        <v>2923</v>
      </c>
      <c r="I871" t="s">
        <v>3302</v>
      </c>
      <c r="J871" t="s">
        <v>3604</v>
      </c>
      <c r="K871">
        <v>10035</v>
      </c>
      <c r="L871" t="s">
        <v>3610</v>
      </c>
      <c r="M871" t="s">
        <v>3610</v>
      </c>
      <c r="O871" t="s">
        <v>4221</v>
      </c>
      <c r="P871" t="s">
        <v>4242</v>
      </c>
      <c r="Q871" t="s">
        <v>4250</v>
      </c>
      <c r="R871" t="s">
        <v>4258</v>
      </c>
      <c r="S871" t="s">
        <v>3611</v>
      </c>
      <c r="U871" t="s">
        <v>4268</v>
      </c>
      <c r="V871" t="s">
        <v>4274</v>
      </c>
      <c r="W871" t="s">
        <v>273</v>
      </c>
      <c r="X871">
        <v>677.1</v>
      </c>
      <c r="Y871" t="s">
        <v>4351</v>
      </c>
      <c r="Z871" t="s">
        <v>4352</v>
      </c>
      <c r="AA871" t="s">
        <v>4373</v>
      </c>
      <c r="AB871" t="s">
        <v>5083</v>
      </c>
      <c r="AD871" t="s">
        <v>6457</v>
      </c>
      <c r="AE871">
        <v>185</v>
      </c>
      <c r="AF871" t="s">
        <v>7101</v>
      </c>
      <c r="AG871" t="s">
        <v>3745</v>
      </c>
      <c r="AH871">
        <v>10</v>
      </c>
      <c r="AI871">
        <v>1</v>
      </c>
      <c r="AJ871">
        <v>0</v>
      </c>
      <c r="AK871">
        <v>111.45</v>
      </c>
      <c r="AN871" t="s">
        <v>7138</v>
      </c>
      <c r="AO871">
        <v>13920</v>
      </c>
      <c r="AU871">
        <v>1</v>
      </c>
      <c r="AV871" t="s">
        <v>273</v>
      </c>
      <c r="AW871" t="s">
        <v>7347</v>
      </c>
    </row>
    <row r="872" spans="1:50">
      <c r="A872" s="1">
        <f>HYPERLINK("https://lsnyc.legalserver.org/matter/dynamic-profile/view/1889861","19-1889861")</f>
        <v>0</v>
      </c>
      <c r="B872" t="s">
        <v>87</v>
      </c>
      <c r="C872" t="s">
        <v>104</v>
      </c>
      <c r="D872" t="s">
        <v>521</v>
      </c>
      <c r="E872" t="s">
        <v>396</v>
      </c>
      <c r="F872" t="s">
        <v>771</v>
      </c>
      <c r="G872" t="s">
        <v>2045</v>
      </c>
      <c r="H872" t="s">
        <v>2924</v>
      </c>
      <c r="I872" t="s">
        <v>3306</v>
      </c>
      <c r="J872" t="s">
        <v>3604</v>
      </c>
      <c r="K872">
        <v>10034</v>
      </c>
      <c r="L872" t="s">
        <v>3610</v>
      </c>
      <c r="M872" t="s">
        <v>3609</v>
      </c>
      <c r="O872" t="s">
        <v>4218</v>
      </c>
      <c r="P872" t="s">
        <v>4245</v>
      </c>
      <c r="Q872" t="s">
        <v>4249</v>
      </c>
      <c r="R872" t="s">
        <v>4258</v>
      </c>
      <c r="S872" t="s">
        <v>3611</v>
      </c>
      <c r="U872" t="s">
        <v>4269</v>
      </c>
      <c r="W872" t="s">
        <v>521</v>
      </c>
      <c r="X872">
        <v>1231.92</v>
      </c>
      <c r="Y872" t="s">
        <v>4351</v>
      </c>
      <c r="Z872" t="s">
        <v>4354</v>
      </c>
      <c r="AA872" t="s">
        <v>4377</v>
      </c>
      <c r="AB872" t="s">
        <v>5084</v>
      </c>
      <c r="AD872" t="s">
        <v>6458</v>
      </c>
      <c r="AE872">
        <v>42</v>
      </c>
      <c r="AF872" t="s">
        <v>7101</v>
      </c>
      <c r="AG872" t="s">
        <v>7118</v>
      </c>
      <c r="AH872">
        <v>14</v>
      </c>
      <c r="AI872">
        <v>1</v>
      </c>
      <c r="AJ872">
        <v>0</v>
      </c>
      <c r="AK872">
        <v>111.45</v>
      </c>
      <c r="AN872" t="s">
        <v>7139</v>
      </c>
      <c r="AO872">
        <v>13920</v>
      </c>
      <c r="AU872">
        <v>1.6</v>
      </c>
      <c r="AV872" t="s">
        <v>663</v>
      </c>
      <c r="AW872" t="s">
        <v>87</v>
      </c>
      <c r="AX872" t="s">
        <v>7377</v>
      </c>
    </row>
    <row r="873" spans="1:50">
      <c r="A873" s="1">
        <f>HYPERLINK("https://lsnyc.legalserver.org/matter/dynamic-profile/view/1889917","19-1889917")</f>
        <v>0</v>
      </c>
      <c r="B873" t="s">
        <v>87</v>
      </c>
      <c r="C873" t="s">
        <v>104</v>
      </c>
      <c r="D873" t="s">
        <v>299</v>
      </c>
      <c r="E873" t="s">
        <v>396</v>
      </c>
      <c r="F873" t="s">
        <v>771</v>
      </c>
      <c r="G873" t="s">
        <v>2045</v>
      </c>
      <c r="H873" t="s">
        <v>2924</v>
      </c>
      <c r="I873" t="s">
        <v>3306</v>
      </c>
      <c r="J873" t="s">
        <v>3604</v>
      </c>
      <c r="K873">
        <v>10034</v>
      </c>
      <c r="L873" t="s">
        <v>3610</v>
      </c>
      <c r="M873" t="s">
        <v>3609</v>
      </c>
      <c r="O873" t="s">
        <v>4218</v>
      </c>
      <c r="P873" t="s">
        <v>4245</v>
      </c>
      <c r="Q873" t="s">
        <v>4249</v>
      </c>
      <c r="R873" t="s">
        <v>4258</v>
      </c>
      <c r="S873" t="s">
        <v>3611</v>
      </c>
      <c r="U873" t="s">
        <v>4268</v>
      </c>
      <c r="W873" t="s">
        <v>299</v>
      </c>
      <c r="X873">
        <v>1231.92</v>
      </c>
      <c r="Y873" t="s">
        <v>4351</v>
      </c>
      <c r="Z873" t="s">
        <v>4354</v>
      </c>
      <c r="AA873" t="s">
        <v>4377</v>
      </c>
      <c r="AB873" t="s">
        <v>5084</v>
      </c>
      <c r="AD873" t="s">
        <v>6459</v>
      </c>
      <c r="AE873">
        <v>42</v>
      </c>
      <c r="AF873" t="s">
        <v>7101</v>
      </c>
      <c r="AG873" t="s">
        <v>7118</v>
      </c>
      <c r="AH873">
        <v>14</v>
      </c>
      <c r="AI873">
        <v>1</v>
      </c>
      <c r="AJ873">
        <v>0</v>
      </c>
      <c r="AK873">
        <v>111.45</v>
      </c>
      <c r="AN873" t="s">
        <v>7139</v>
      </c>
      <c r="AO873">
        <v>13920</v>
      </c>
      <c r="AU873">
        <v>9.1</v>
      </c>
      <c r="AV873" t="s">
        <v>663</v>
      </c>
      <c r="AW873" t="s">
        <v>87</v>
      </c>
      <c r="AX873" t="s">
        <v>7377</v>
      </c>
    </row>
    <row r="874" spans="1:50">
      <c r="A874" s="1">
        <f>HYPERLINK("https://lsnyc.legalserver.org/matter/dynamic-profile/view/1853702","17-1853702")</f>
        <v>0</v>
      </c>
      <c r="B874" t="s">
        <v>81</v>
      </c>
      <c r="C874" t="s">
        <v>105</v>
      </c>
      <c r="D874" t="s">
        <v>374</v>
      </c>
      <c r="F874" t="s">
        <v>1180</v>
      </c>
      <c r="G874" t="s">
        <v>2046</v>
      </c>
      <c r="H874" t="s">
        <v>2925</v>
      </c>
      <c r="I874" t="s">
        <v>3315</v>
      </c>
      <c r="J874" t="s">
        <v>3604</v>
      </c>
      <c r="K874">
        <v>10035</v>
      </c>
      <c r="L874" t="s">
        <v>3610</v>
      </c>
      <c r="M874" t="s">
        <v>3609</v>
      </c>
      <c r="N874" t="s">
        <v>3915</v>
      </c>
      <c r="O874" t="s">
        <v>4209</v>
      </c>
      <c r="P874" t="s">
        <v>4241</v>
      </c>
      <c r="R874" t="s">
        <v>4258</v>
      </c>
      <c r="S874" t="s">
        <v>3611</v>
      </c>
      <c r="U874" t="s">
        <v>4268</v>
      </c>
      <c r="W874" t="s">
        <v>484</v>
      </c>
      <c r="X874">
        <v>814.25</v>
      </c>
      <c r="Y874" t="s">
        <v>4351</v>
      </c>
      <c r="Z874" t="s">
        <v>4356</v>
      </c>
      <c r="AB874" t="s">
        <v>5085</v>
      </c>
      <c r="AD874" t="s">
        <v>6460</v>
      </c>
      <c r="AE874">
        <v>8</v>
      </c>
      <c r="AF874" t="s">
        <v>7101</v>
      </c>
      <c r="AG874" t="s">
        <v>3745</v>
      </c>
      <c r="AH874">
        <v>0</v>
      </c>
      <c r="AI874">
        <v>1</v>
      </c>
      <c r="AJ874">
        <v>0</v>
      </c>
      <c r="AK874">
        <v>111.64</v>
      </c>
      <c r="AN874" t="s">
        <v>7138</v>
      </c>
      <c r="AO874">
        <v>13464</v>
      </c>
      <c r="AU874">
        <v>45.3</v>
      </c>
      <c r="AV874" t="s">
        <v>606</v>
      </c>
      <c r="AW874" t="s">
        <v>7341</v>
      </c>
    </row>
    <row r="875" spans="1:50">
      <c r="A875" s="1">
        <f>HYPERLINK("https://lsnyc.legalserver.org/matter/dynamic-profile/view/1857047","18-1857047")</f>
        <v>0</v>
      </c>
      <c r="B875" t="s">
        <v>57</v>
      </c>
      <c r="C875" t="s">
        <v>105</v>
      </c>
      <c r="D875" t="s">
        <v>522</v>
      </c>
      <c r="F875" t="s">
        <v>1180</v>
      </c>
      <c r="G875" t="s">
        <v>2046</v>
      </c>
      <c r="H875" t="s">
        <v>2925</v>
      </c>
      <c r="I875" t="s">
        <v>3315</v>
      </c>
      <c r="J875" t="s">
        <v>3604</v>
      </c>
      <c r="K875">
        <v>10035</v>
      </c>
      <c r="L875" t="s">
        <v>3610</v>
      </c>
      <c r="M875" t="s">
        <v>3609</v>
      </c>
      <c r="O875" t="s">
        <v>4212</v>
      </c>
      <c r="P875" t="s">
        <v>4243</v>
      </c>
      <c r="R875" t="s">
        <v>4258</v>
      </c>
      <c r="S875" t="s">
        <v>3611</v>
      </c>
      <c r="U875" t="s">
        <v>4270</v>
      </c>
      <c r="W875" t="s">
        <v>522</v>
      </c>
      <c r="X875">
        <v>814.25</v>
      </c>
      <c r="Y875" t="s">
        <v>4351</v>
      </c>
      <c r="Z875" t="s">
        <v>4356</v>
      </c>
      <c r="AB875" t="s">
        <v>5085</v>
      </c>
      <c r="AD875" t="s">
        <v>6460</v>
      </c>
      <c r="AE875">
        <v>8</v>
      </c>
      <c r="AF875" t="s">
        <v>7101</v>
      </c>
      <c r="AG875" t="s">
        <v>3745</v>
      </c>
      <c r="AH875">
        <v>8</v>
      </c>
      <c r="AI875">
        <v>1</v>
      </c>
      <c r="AJ875">
        <v>0</v>
      </c>
      <c r="AK875">
        <v>111.64</v>
      </c>
      <c r="AN875" t="s">
        <v>7138</v>
      </c>
      <c r="AO875">
        <v>13464</v>
      </c>
      <c r="AU875">
        <v>120</v>
      </c>
      <c r="AV875" t="s">
        <v>417</v>
      </c>
      <c r="AW875" t="s">
        <v>7341</v>
      </c>
    </row>
    <row r="876" spans="1:50">
      <c r="A876" s="1">
        <f>HYPERLINK("https://lsnyc.legalserver.org/matter/dynamic-profile/view/1835001","17-1835001")</f>
        <v>0</v>
      </c>
      <c r="B876" t="s">
        <v>61</v>
      </c>
      <c r="C876" t="s">
        <v>104</v>
      </c>
      <c r="D876" t="s">
        <v>431</v>
      </c>
      <c r="E876" t="s">
        <v>668</v>
      </c>
      <c r="F876" t="s">
        <v>895</v>
      </c>
      <c r="G876" t="s">
        <v>1775</v>
      </c>
      <c r="H876" t="s">
        <v>2631</v>
      </c>
      <c r="I876">
        <v>2</v>
      </c>
      <c r="J876" t="s">
        <v>3604</v>
      </c>
      <c r="K876">
        <v>10034</v>
      </c>
      <c r="L876" t="s">
        <v>3610</v>
      </c>
      <c r="M876" t="s">
        <v>3609</v>
      </c>
      <c r="N876" t="s">
        <v>3916</v>
      </c>
      <c r="O876" t="s">
        <v>4209</v>
      </c>
      <c r="P876" t="s">
        <v>4241</v>
      </c>
      <c r="Q876" t="s">
        <v>4248</v>
      </c>
      <c r="R876" t="s">
        <v>4258</v>
      </c>
      <c r="S876" t="s">
        <v>3611</v>
      </c>
      <c r="U876" t="s">
        <v>4268</v>
      </c>
      <c r="W876" t="s">
        <v>4283</v>
      </c>
      <c r="X876">
        <v>871.5700000000001</v>
      </c>
      <c r="Y876" t="s">
        <v>4351</v>
      </c>
      <c r="Z876" t="s">
        <v>4352</v>
      </c>
      <c r="AA876" t="s">
        <v>4374</v>
      </c>
      <c r="AB876" t="s">
        <v>4635</v>
      </c>
      <c r="AC876" t="s">
        <v>5813</v>
      </c>
      <c r="AD876" t="s">
        <v>6048</v>
      </c>
      <c r="AE876">
        <v>25</v>
      </c>
      <c r="AF876" t="s">
        <v>7101</v>
      </c>
      <c r="AG876" t="s">
        <v>7118</v>
      </c>
      <c r="AH876">
        <v>12</v>
      </c>
      <c r="AI876">
        <v>1</v>
      </c>
      <c r="AJ876">
        <v>1</v>
      </c>
      <c r="AK876">
        <v>111.72</v>
      </c>
      <c r="AN876" t="s">
        <v>7139</v>
      </c>
      <c r="AO876">
        <v>18144</v>
      </c>
      <c r="AU876">
        <v>20.3</v>
      </c>
      <c r="AV876" t="s">
        <v>668</v>
      </c>
      <c r="AW876" t="s">
        <v>7341</v>
      </c>
    </row>
    <row r="877" spans="1:50">
      <c r="A877" s="1">
        <f>HYPERLINK("https://lsnyc.legalserver.org/matter/dynamic-profile/view/1865962","18-1865962")</f>
        <v>0</v>
      </c>
      <c r="B877" t="s">
        <v>53</v>
      </c>
      <c r="C877" t="s">
        <v>105</v>
      </c>
      <c r="D877" t="s">
        <v>460</v>
      </c>
      <c r="F877" t="s">
        <v>1181</v>
      </c>
      <c r="G877" t="s">
        <v>1768</v>
      </c>
      <c r="H877" t="s">
        <v>2636</v>
      </c>
      <c r="I877" t="s">
        <v>3430</v>
      </c>
      <c r="J877" t="s">
        <v>3604</v>
      </c>
      <c r="K877">
        <v>10031</v>
      </c>
      <c r="L877" t="s">
        <v>3610</v>
      </c>
      <c r="M877" t="s">
        <v>3609</v>
      </c>
      <c r="O877" t="s">
        <v>4213</v>
      </c>
      <c r="P877" t="s">
        <v>4241</v>
      </c>
      <c r="R877" t="s">
        <v>4258</v>
      </c>
      <c r="S877" t="s">
        <v>3610</v>
      </c>
      <c r="U877" t="s">
        <v>4268</v>
      </c>
      <c r="V877" t="s">
        <v>4274</v>
      </c>
      <c r="W877" t="s">
        <v>460</v>
      </c>
      <c r="X877">
        <v>1712</v>
      </c>
      <c r="Y877" t="s">
        <v>4351</v>
      </c>
      <c r="Z877" t="s">
        <v>4352</v>
      </c>
      <c r="AB877" t="s">
        <v>5086</v>
      </c>
      <c r="AD877" t="s">
        <v>6461</v>
      </c>
      <c r="AE877">
        <v>42</v>
      </c>
      <c r="AF877" t="s">
        <v>7106</v>
      </c>
      <c r="AG877" t="s">
        <v>7116</v>
      </c>
      <c r="AH877">
        <v>21</v>
      </c>
      <c r="AI877">
        <v>2</v>
      </c>
      <c r="AJ877">
        <v>0</v>
      </c>
      <c r="AK877">
        <v>111.98</v>
      </c>
      <c r="AN877" t="s">
        <v>7139</v>
      </c>
      <c r="AO877">
        <v>18432</v>
      </c>
      <c r="AU877">
        <v>0.25</v>
      </c>
      <c r="AV877" t="s">
        <v>655</v>
      </c>
      <c r="AW877" t="s">
        <v>7341</v>
      </c>
      <c r="AX877" t="s">
        <v>7377</v>
      </c>
    </row>
    <row r="878" spans="1:50">
      <c r="A878" s="1">
        <f>HYPERLINK("https://lsnyc.legalserver.org/matter/dynamic-profile/view/1886947","19-1886947")</f>
        <v>0</v>
      </c>
      <c r="B878" t="s">
        <v>69</v>
      </c>
      <c r="C878" t="s">
        <v>105</v>
      </c>
      <c r="D878" t="s">
        <v>163</v>
      </c>
      <c r="F878" t="s">
        <v>1146</v>
      </c>
      <c r="G878" t="s">
        <v>2027</v>
      </c>
      <c r="H878" t="s">
        <v>2926</v>
      </c>
      <c r="I878" t="s">
        <v>3468</v>
      </c>
      <c r="J878" t="s">
        <v>3604</v>
      </c>
      <c r="K878">
        <v>10023</v>
      </c>
      <c r="L878" t="s">
        <v>3610</v>
      </c>
      <c r="M878" t="s">
        <v>3610</v>
      </c>
      <c r="O878" t="s">
        <v>4211</v>
      </c>
      <c r="P878" t="s">
        <v>4242</v>
      </c>
      <c r="R878" t="s">
        <v>4258</v>
      </c>
      <c r="S878" t="s">
        <v>3611</v>
      </c>
      <c r="U878" t="s">
        <v>4268</v>
      </c>
      <c r="V878" t="s">
        <v>4275</v>
      </c>
      <c r="W878" t="s">
        <v>163</v>
      </c>
      <c r="X878">
        <v>675</v>
      </c>
      <c r="Y878" t="s">
        <v>4351</v>
      </c>
      <c r="Z878" t="s">
        <v>4361</v>
      </c>
      <c r="AB878" t="s">
        <v>5087</v>
      </c>
      <c r="AD878" t="s">
        <v>6462</v>
      </c>
      <c r="AE878">
        <v>20</v>
      </c>
      <c r="AF878" t="s">
        <v>7101</v>
      </c>
      <c r="AG878" t="s">
        <v>3745</v>
      </c>
      <c r="AH878">
        <v>30</v>
      </c>
      <c r="AI878">
        <v>1</v>
      </c>
      <c r="AJ878">
        <v>0</v>
      </c>
      <c r="AK878">
        <v>112.19</v>
      </c>
      <c r="AN878" t="s">
        <v>7138</v>
      </c>
      <c r="AO878">
        <v>13620</v>
      </c>
      <c r="AU878">
        <v>6.6</v>
      </c>
      <c r="AV878" t="s">
        <v>666</v>
      </c>
      <c r="AW878" t="s">
        <v>7341</v>
      </c>
    </row>
    <row r="879" spans="1:50">
      <c r="A879" s="1">
        <f>HYPERLINK("https://lsnyc.legalserver.org/matter/dynamic-profile/view/1893564","19-1893564")</f>
        <v>0</v>
      </c>
      <c r="B879" t="s">
        <v>60</v>
      </c>
      <c r="C879" t="s">
        <v>105</v>
      </c>
      <c r="D879" t="s">
        <v>352</v>
      </c>
      <c r="F879" t="s">
        <v>891</v>
      </c>
      <c r="G879" t="s">
        <v>2047</v>
      </c>
      <c r="H879" t="s">
        <v>2844</v>
      </c>
      <c r="I879" t="s">
        <v>3356</v>
      </c>
      <c r="J879" t="s">
        <v>3604</v>
      </c>
      <c r="K879">
        <v>10034</v>
      </c>
      <c r="L879" t="s">
        <v>3609</v>
      </c>
      <c r="M879" t="s">
        <v>3609</v>
      </c>
      <c r="N879" t="s">
        <v>3917</v>
      </c>
      <c r="O879" t="s">
        <v>4209</v>
      </c>
      <c r="P879" t="s">
        <v>4242</v>
      </c>
      <c r="R879" t="s">
        <v>4258</v>
      </c>
      <c r="U879" t="s">
        <v>4268</v>
      </c>
      <c r="X879">
        <v>1250</v>
      </c>
      <c r="Y879" t="s">
        <v>4351</v>
      </c>
      <c r="Z879" t="s">
        <v>4357</v>
      </c>
      <c r="AB879" t="s">
        <v>5088</v>
      </c>
      <c r="AD879" t="s">
        <v>6463</v>
      </c>
      <c r="AE879">
        <v>33</v>
      </c>
      <c r="AF879" t="s">
        <v>7104</v>
      </c>
      <c r="AG879" t="s">
        <v>7116</v>
      </c>
      <c r="AH879">
        <v>15</v>
      </c>
      <c r="AI879">
        <v>1</v>
      </c>
      <c r="AJ879">
        <v>0</v>
      </c>
      <c r="AK879">
        <v>112.27</v>
      </c>
      <c r="AN879" t="s">
        <v>7138</v>
      </c>
      <c r="AO879">
        <v>14022</v>
      </c>
      <c r="AU879">
        <v>2.6</v>
      </c>
      <c r="AV879" t="s">
        <v>261</v>
      </c>
      <c r="AW879" t="s">
        <v>7352</v>
      </c>
    </row>
    <row r="880" spans="1:50">
      <c r="A880" s="1">
        <f>HYPERLINK("https://lsnyc.legalserver.org/matter/dynamic-profile/view/0822673","16-0822673")</f>
        <v>0</v>
      </c>
      <c r="B880" t="s">
        <v>63</v>
      </c>
      <c r="C880" t="s">
        <v>104</v>
      </c>
      <c r="D880" t="s">
        <v>523</v>
      </c>
      <c r="E880" t="s">
        <v>512</v>
      </c>
      <c r="F880" t="s">
        <v>733</v>
      </c>
      <c r="G880" t="s">
        <v>2048</v>
      </c>
      <c r="H880" t="s">
        <v>2860</v>
      </c>
      <c r="I880" t="s">
        <v>3469</v>
      </c>
      <c r="J880" t="s">
        <v>3604</v>
      </c>
      <c r="K880">
        <v>10034</v>
      </c>
      <c r="L880" t="s">
        <v>3610</v>
      </c>
      <c r="M880" t="s">
        <v>3609</v>
      </c>
      <c r="O880" t="s">
        <v>4213</v>
      </c>
      <c r="P880" t="s">
        <v>4244</v>
      </c>
      <c r="Q880" t="s">
        <v>4254</v>
      </c>
      <c r="R880" t="s">
        <v>4258</v>
      </c>
      <c r="S880" t="s">
        <v>3610</v>
      </c>
      <c r="U880" t="s">
        <v>4268</v>
      </c>
      <c r="W880" t="s">
        <v>466</v>
      </c>
      <c r="X880">
        <v>1325.31</v>
      </c>
      <c r="Y880" t="s">
        <v>4351</v>
      </c>
      <c r="Z880" t="s">
        <v>4352</v>
      </c>
      <c r="AA880" t="s">
        <v>4377</v>
      </c>
      <c r="AB880" t="s">
        <v>5089</v>
      </c>
      <c r="AE880">
        <v>48</v>
      </c>
      <c r="AF880" t="s">
        <v>7101</v>
      </c>
      <c r="AH880">
        <v>11</v>
      </c>
      <c r="AI880">
        <v>1</v>
      </c>
      <c r="AJ880">
        <v>1</v>
      </c>
      <c r="AK880">
        <v>112.36</v>
      </c>
      <c r="AN880" t="s">
        <v>7139</v>
      </c>
      <c r="AO880">
        <v>18000</v>
      </c>
      <c r="AU880">
        <v>19.6</v>
      </c>
      <c r="AV880" t="s">
        <v>386</v>
      </c>
      <c r="AW880" t="s">
        <v>63</v>
      </c>
    </row>
    <row r="881" spans="1:50">
      <c r="A881" s="1">
        <f>HYPERLINK("https://lsnyc.legalserver.org/matter/dynamic-profile/view/1885366","18-1885366")</f>
        <v>0</v>
      </c>
      <c r="B881" t="s">
        <v>52</v>
      </c>
      <c r="C881" t="s">
        <v>104</v>
      </c>
      <c r="D881" t="s">
        <v>209</v>
      </c>
      <c r="E881" t="s">
        <v>113</v>
      </c>
      <c r="F881" t="s">
        <v>1182</v>
      </c>
      <c r="G881" t="s">
        <v>2049</v>
      </c>
      <c r="H881" t="s">
        <v>2927</v>
      </c>
      <c r="I881" t="s">
        <v>3286</v>
      </c>
      <c r="J881" t="s">
        <v>3604</v>
      </c>
      <c r="K881">
        <v>10033</v>
      </c>
      <c r="L881" t="s">
        <v>3610</v>
      </c>
      <c r="M881" t="s">
        <v>3610</v>
      </c>
      <c r="O881" t="s">
        <v>4211</v>
      </c>
      <c r="P881" t="s">
        <v>4242</v>
      </c>
      <c r="Q881" t="s">
        <v>4250</v>
      </c>
      <c r="R881" t="s">
        <v>4258</v>
      </c>
      <c r="S881" t="s">
        <v>3611</v>
      </c>
      <c r="U881" t="s">
        <v>4268</v>
      </c>
      <c r="W881" t="s">
        <v>209</v>
      </c>
      <c r="X881">
        <v>390</v>
      </c>
      <c r="Y881" t="s">
        <v>4351</v>
      </c>
      <c r="Z881" t="s">
        <v>4354</v>
      </c>
      <c r="AA881" t="s">
        <v>4373</v>
      </c>
      <c r="AB881" t="s">
        <v>5090</v>
      </c>
      <c r="AD881" t="s">
        <v>6464</v>
      </c>
      <c r="AE881">
        <v>0</v>
      </c>
      <c r="AF881" t="s">
        <v>7101</v>
      </c>
      <c r="AG881" t="s">
        <v>3745</v>
      </c>
      <c r="AH881">
        <v>4</v>
      </c>
      <c r="AI881">
        <v>1</v>
      </c>
      <c r="AJ881">
        <v>2</v>
      </c>
      <c r="AK881">
        <v>112.49</v>
      </c>
      <c r="AN881" t="s">
        <v>7138</v>
      </c>
      <c r="AO881">
        <v>23376</v>
      </c>
      <c r="AU881">
        <v>1.3</v>
      </c>
      <c r="AV881" t="s">
        <v>201</v>
      </c>
      <c r="AW881" t="s">
        <v>7342</v>
      </c>
    </row>
    <row r="882" spans="1:50">
      <c r="A882" s="1">
        <f>HYPERLINK("https://lsnyc.legalserver.org/matter/dynamic-profile/view/1889638","19-1889638")</f>
        <v>0</v>
      </c>
      <c r="B882" t="s">
        <v>63</v>
      </c>
      <c r="C882" t="s">
        <v>105</v>
      </c>
      <c r="D882" t="s">
        <v>320</v>
      </c>
      <c r="F882" t="s">
        <v>922</v>
      </c>
      <c r="G882" t="s">
        <v>2050</v>
      </c>
      <c r="H882" t="s">
        <v>2928</v>
      </c>
      <c r="I882">
        <v>65</v>
      </c>
      <c r="J882" t="s">
        <v>3604</v>
      </c>
      <c r="K882">
        <v>10034</v>
      </c>
      <c r="L882" t="s">
        <v>3610</v>
      </c>
      <c r="M882" t="s">
        <v>3610</v>
      </c>
      <c r="N882" t="s">
        <v>3918</v>
      </c>
      <c r="O882" t="s">
        <v>4210</v>
      </c>
      <c r="P882" t="s">
        <v>4241</v>
      </c>
      <c r="R882" t="s">
        <v>4258</v>
      </c>
      <c r="S882" t="s">
        <v>3611</v>
      </c>
      <c r="U882" t="s">
        <v>4268</v>
      </c>
      <c r="W882" t="s">
        <v>320</v>
      </c>
      <c r="X882">
        <v>1313</v>
      </c>
      <c r="Y882" t="s">
        <v>4351</v>
      </c>
      <c r="Z882" t="s">
        <v>4354</v>
      </c>
      <c r="AB882" t="s">
        <v>5091</v>
      </c>
      <c r="AD882" t="s">
        <v>6465</v>
      </c>
      <c r="AE882">
        <v>100</v>
      </c>
      <c r="AF882" t="s">
        <v>7101</v>
      </c>
      <c r="AG882" t="s">
        <v>3745</v>
      </c>
      <c r="AH882">
        <v>5</v>
      </c>
      <c r="AI882">
        <v>2</v>
      </c>
      <c r="AJ882">
        <v>1</v>
      </c>
      <c r="AK882">
        <v>112.52</v>
      </c>
      <c r="AN882" t="s">
        <v>7139</v>
      </c>
      <c r="AO882">
        <v>24000</v>
      </c>
      <c r="AU882">
        <v>27</v>
      </c>
      <c r="AV882" t="s">
        <v>689</v>
      </c>
      <c r="AW882" t="s">
        <v>7342</v>
      </c>
    </row>
    <row r="883" spans="1:50">
      <c r="A883" s="1">
        <f>HYPERLINK("https://lsnyc.legalserver.org/matter/dynamic-profile/view/1836774","17-1836774")</f>
        <v>0</v>
      </c>
      <c r="B883" t="s">
        <v>61</v>
      </c>
      <c r="C883" t="s">
        <v>105</v>
      </c>
      <c r="D883" t="s">
        <v>524</v>
      </c>
      <c r="F883" t="s">
        <v>807</v>
      </c>
      <c r="G883" t="s">
        <v>1885</v>
      </c>
      <c r="H883" t="s">
        <v>2642</v>
      </c>
      <c r="I883" t="s">
        <v>3470</v>
      </c>
      <c r="J883" t="s">
        <v>3604</v>
      </c>
      <c r="K883">
        <v>10034</v>
      </c>
      <c r="L883" t="s">
        <v>3610</v>
      </c>
      <c r="M883" t="s">
        <v>3609</v>
      </c>
      <c r="O883" t="s">
        <v>4213</v>
      </c>
      <c r="P883" t="s">
        <v>4244</v>
      </c>
      <c r="R883" t="s">
        <v>4258</v>
      </c>
      <c r="S883" t="s">
        <v>3610</v>
      </c>
      <c r="U883" t="s">
        <v>4268</v>
      </c>
      <c r="W883" t="s">
        <v>4282</v>
      </c>
      <c r="X883">
        <v>1053</v>
      </c>
      <c r="Y883" t="s">
        <v>4351</v>
      </c>
      <c r="Z883" t="s">
        <v>4352</v>
      </c>
      <c r="AB883" t="s">
        <v>5059</v>
      </c>
      <c r="AD883" t="s">
        <v>6433</v>
      </c>
      <c r="AE883">
        <v>50</v>
      </c>
      <c r="AF883" t="s">
        <v>7101</v>
      </c>
      <c r="AG883" t="s">
        <v>3745</v>
      </c>
      <c r="AH883">
        <v>13</v>
      </c>
      <c r="AI883">
        <v>1</v>
      </c>
      <c r="AJ883">
        <v>2</v>
      </c>
      <c r="AK883">
        <v>112.63</v>
      </c>
      <c r="AN883" t="s">
        <v>7139</v>
      </c>
      <c r="AO883">
        <v>23000</v>
      </c>
      <c r="AU883">
        <v>4.7</v>
      </c>
      <c r="AV883" t="s">
        <v>551</v>
      </c>
      <c r="AW883" t="s">
        <v>7341</v>
      </c>
    </row>
    <row r="884" spans="1:50">
      <c r="A884" s="1">
        <f>HYPERLINK("https://lsnyc.legalserver.org/matter/dynamic-profile/view/1841253","17-1841253")</f>
        <v>0</v>
      </c>
      <c r="B884" t="s">
        <v>61</v>
      </c>
      <c r="C884" t="s">
        <v>105</v>
      </c>
      <c r="D884" t="s">
        <v>228</v>
      </c>
      <c r="F884" t="s">
        <v>807</v>
      </c>
      <c r="G884" t="s">
        <v>1885</v>
      </c>
      <c r="H884" t="s">
        <v>2642</v>
      </c>
      <c r="I884" t="s">
        <v>3470</v>
      </c>
      <c r="J884" t="s">
        <v>3604</v>
      </c>
      <c r="K884">
        <v>10034</v>
      </c>
      <c r="L884" t="s">
        <v>3610</v>
      </c>
      <c r="M884" t="s">
        <v>3609</v>
      </c>
      <c r="N884" t="s">
        <v>3919</v>
      </c>
      <c r="O884" t="s">
        <v>4209</v>
      </c>
      <c r="P884" t="s">
        <v>4241</v>
      </c>
      <c r="R884" t="s">
        <v>4258</v>
      </c>
      <c r="S884" t="s">
        <v>3611</v>
      </c>
      <c r="U884" t="s">
        <v>4268</v>
      </c>
      <c r="W884" t="s">
        <v>228</v>
      </c>
      <c r="X884">
        <v>1053</v>
      </c>
      <c r="Y884" t="s">
        <v>4351</v>
      </c>
      <c r="Z884" t="s">
        <v>4352</v>
      </c>
      <c r="AB884" t="s">
        <v>5059</v>
      </c>
      <c r="AD884" t="s">
        <v>6433</v>
      </c>
      <c r="AE884">
        <v>50</v>
      </c>
      <c r="AF884" t="s">
        <v>7101</v>
      </c>
      <c r="AG884" t="s">
        <v>3745</v>
      </c>
      <c r="AH884">
        <v>13</v>
      </c>
      <c r="AI884">
        <v>1</v>
      </c>
      <c r="AJ884">
        <v>2</v>
      </c>
      <c r="AK884">
        <v>112.63</v>
      </c>
      <c r="AN884" t="s">
        <v>7139</v>
      </c>
      <c r="AO884">
        <v>23000</v>
      </c>
      <c r="AU884">
        <v>5.4</v>
      </c>
      <c r="AV884" t="s">
        <v>7321</v>
      </c>
      <c r="AW884" t="s">
        <v>7342</v>
      </c>
    </row>
    <row r="885" spans="1:50">
      <c r="A885" s="1">
        <f>HYPERLINK("https://lsnyc.legalserver.org/matter/dynamic-profile/view/1873845","18-1873845")</f>
        <v>0</v>
      </c>
      <c r="B885" t="s">
        <v>62</v>
      </c>
      <c r="C885" t="s">
        <v>105</v>
      </c>
      <c r="D885" t="s">
        <v>287</v>
      </c>
      <c r="F885" t="s">
        <v>1183</v>
      </c>
      <c r="G885" t="s">
        <v>1600</v>
      </c>
      <c r="H885" t="s">
        <v>2488</v>
      </c>
      <c r="I885" t="s">
        <v>3276</v>
      </c>
      <c r="J885" t="s">
        <v>3604</v>
      </c>
      <c r="K885">
        <v>10033</v>
      </c>
      <c r="L885" t="s">
        <v>3610</v>
      </c>
      <c r="M885" t="s">
        <v>3610</v>
      </c>
      <c r="O885" t="s">
        <v>4213</v>
      </c>
      <c r="P885" t="s">
        <v>4245</v>
      </c>
      <c r="R885" t="s">
        <v>4258</v>
      </c>
      <c r="S885" t="s">
        <v>3610</v>
      </c>
      <c r="U885" t="s">
        <v>4268</v>
      </c>
      <c r="W885" t="s">
        <v>287</v>
      </c>
      <c r="X885">
        <v>1096.72</v>
      </c>
      <c r="Y885" t="s">
        <v>4351</v>
      </c>
      <c r="Z885" t="s">
        <v>4352</v>
      </c>
      <c r="AB885" t="s">
        <v>5092</v>
      </c>
      <c r="AD885" t="s">
        <v>6466</v>
      </c>
      <c r="AE885">
        <v>232</v>
      </c>
      <c r="AF885" t="s">
        <v>7101</v>
      </c>
      <c r="AG885" t="s">
        <v>3745</v>
      </c>
      <c r="AH885">
        <v>27</v>
      </c>
      <c r="AI885">
        <v>2</v>
      </c>
      <c r="AJ885">
        <v>0</v>
      </c>
      <c r="AK885">
        <v>112.73</v>
      </c>
      <c r="AN885" t="s">
        <v>7139</v>
      </c>
      <c r="AO885">
        <v>18556</v>
      </c>
      <c r="AU885">
        <v>0.3</v>
      </c>
      <c r="AV885" t="s">
        <v>285</v>
      </c>
      <c r="AW885" t="s">
        <v>7342</v>
      </c>
    </row>
    <row r="886" spans="1:50">
      <c r="A886" s="1">
        <f>HYPERLINK("https://lsnyc.legalserver.org/matter/dynamic-profile/view/0793829","15-0793829")</f>
        <v>0</v>
      </c>
      <c r="B886" t="s">
        <v>51</v>
      </c>
      <c r="C886" t="s">
        <v>104</v>
      </c>
      <c r="D886" t="s">
        <v>429</v>
      </c>
      <c r="E886" t="s">
        <v>293</v>
      </c>
      <c r="F886" t="s">
        <v>1184</v>
      </c>
      <c r="G886" t="s">
        <v>2047</v>
      </c>
      <c r="H886" t="s">
        <v>2929</v>
      </c>
      <c r="I886" t="s">
        <v>3344</v>
      </c>
      <c r="J886" t="s">
        <v>3604</v>
      </c>
      <c r="K886">
        <v>10029</v>
      </c>
      <c r="L886" t="s">
        <v>3611</v>
      </c>
      <c r="M886" t="s">
        <v>3610</v>
      </c>
      <c r="N886" t="s">
        <v>3920</v>
      </c>
      <c r="O886" t="s">
        <v>4209</v>
      </c>
      <c r="P886" t="s">
        <v>4241</v>
      </c>
      <c r="Q886" t="s">
        <v>4248</v>
      </c>
      <c r="R886" t="s">
        <v>4258</v>
      </c>
      <c r="S886" t="s">
        <v>3611</v>
      </c>
      <c r="U886" t="s">
        <v>4268</v>
      </c>
      <c r="V886" t="s">
        <v>4274</v>
      </c>
      <c r="W886" t="s">
        <v>429</v>
      </c>
      <c r="X886">
        <v>0</v>
      </c>
      <c r="Y886" t="s">
        <v>4351</v>
      </c>
      <c r="AA886" t="s">
        <v>4374</v>
      </c>
      <c r="AB886" t="s">
        <v>5093</v>
      </c>
      <c r="AC886" t="s">
        <v>5830</v>
      </c>
      <c r="AD886" t="s">
        <v>6467</v>
      </c>
      <c r="AE886">
        <v>0</v>
      </c>
      <c r="AF886" t="s">
        <v>7101</v>
      </c>
      <c r="AH886">
        <v>0</v>
      </c>
      <c r="AI886">
        <v>1</v>
      </c>
      <c r="AJ886">
        <v>2</v>
      </c>
      <c r="AK886">
        <v>112.84</v>
      </c>
      <c r="AN886" t="s">
        <v>7138</v>
      </c>
      <c r="AO886">
        <v>22669.92</v>
      </c>
      <c r="AU886">
        <v>14.7</v>
      </c>
      <c r="AV886" t="s">
        <v>342</v>
      </c>
      <c r="AW886" t="s">
        <v>51</v>
      </c>
    </row>
    <row r="887" spans="1:50">
      <c r="A887" s="1">
        <f>HYPERLINK("https://lsnyc.legalserver.org/matter/dynamic-profile/view/1836136","17-1836136")</f>
        <v>0</v>
      </c>
      <c r="B887" t="s">
        <v>56</v>
      </c>
      <c r="C887" t="s">
        <v>105</v>
      </c>
      <c r="D887" t="s">
        <v>496</v>
      </c>
      <c r="F887" t="s">
        <v>1022</v>
      </c>
      <c r="G887" t="s">
        <v>1768</v>
      </c>
      <c r="H887" t="s">
        <v>2534</v>
      </c>
      <c r="I887" t="s">
        <v>3395</v>
      </c>
      <c r="J887" t="s">
        <v>3604</v>
      </c>
      <c r="K887">
        <v>10040</v>
      </c>
      <c r="L887" t="s">
        <v>3609</v>
      </c>
      <c r="M887" t="s">
        <v>3609</v>
      </c>
      <c r="O887" t="s">
        <v>4213</v>
      </c>
      <c r="P887" t="s">
        <v>4243</v>
      </c>
      <c r="R887" t="s">
        <v>4258</v>
      </c>
      <c r="S887" t="s">
        <v>3610</v>
      </c>
      <c r="U887" t="s">
        <v>4268</v>
      </c>
      <c r="W887" t="s">
        <v>4282</v>
      </c>
      <c r="X887">
        <v>1230.2</v>
      </c>
      <c r="Y887" t="s">
        <v>4351</v>
      </c>
      <c r="Z887" t="s">
        <v>4352</v>
      </c>
      <c r="AB887" t="s">
        <v>5068</v>
      </c>
      <c r="AD887" t="s">
        <v>6443</v>
      </c>
      <c r="AE887">
        <v>45</v>
      </c>
      <c r="AF887" t="s">
        <v>7101</v>
      </c>
      <c r="AG887" t="s">
        <v>4228</v>
      </c>
      <c r="AH887">
        <v>21</v>
      </c>
      <c r="AI887">
        <v>1</v>
      </c>
      <c r="AJ887">
        <v>0</v>
      </c>
      <c r="AK887">
        <v>113.03</v>
      </c>
      <c r="AN887" t="s">
        <v>7139</v>
      </c>
      <c r="AO887">
        <v>13632</v>
      </c>
      <c r="AU887">
        <v>2.2</v>
      </c>
      <c r="AV887" t="s">
        <v>591</v>
      </c>
      <c r="AW887" t="s">
        <v>7341</v>
      </c>
    </row>
    <row r="888" spans="1:50">
      <c r="A888" s="1">
        <f>HYPERLINK("https://lsnyc.legalserver.org/matter/dynamic-profile/view/0829791","17-0829791")</f>
        <v>0</v>
      </c>
      <c r="B888" t="s">
        <v>100</v>
      </c>
      <c r="C888" t="s">
        <v>104</v>
      </c>
      <c r="D888" t="s">
        <v>259</v>
      </c>
      <c r="E888" t="s">
        <v>678</v>
      </c>
      <c r="F888" t="s">
        <v>881</v>
      </c>
      <c r="G888" t="s">
        <v>1656</v>
      </c>
      <c r="H888" t="s">
        <v>2508</v>
      </c>
      <c r="I888">
        <v>314</v>
      </c>
      <c r="J888" t="s">
        <v>3604</v>
      </c>
      <c r="K888">
        <v>10029</v>
      </c>
      <c r="L888" t="s">
        <v>3609</v>
      </c>
      <c r="M888" t="s">
        <v>3609</v>
      </c>
      <c r="O888" t="s">
        <v>4211</v>
      </c>
      <c r="P888" t="s">
        <v>4247</v>
      </c>
      <c r="Q888" t="s">
        <v>4253</v>
      </c>
      <c r="R888" t="s">
        <v>4258</v>
      </c>
      <c r="S888" t="s">
        <v>3611</v>
      </c>
      <c r="U888" t="s">
        <v>4268</v>
      </c>
      <c r="W888" t="s">
        <v>259</v>
      </c>
      <c r="X888">
        <v>356</v>
      </c>
      <c r="Y888" t="s">
        <v>4351</v>
      </c>
      <c r="Z888" t="s">
        <v>4357</v>
      </c>
      <c r="AA888" t="s">
        <v>4386</v>
      </c>
      <c r="AB888" t="s">
        <v>5094</v>
      </c>
      <c r="AD888" t="s">
        <v>6468</v>
      </c>
      <c r="AE888">
        <v>0</v>
      </c>
      <c r="AF888" t="s">
        <v>7101</v>
      </c>
      <c r="AG888" t="s">
        <v>3745</v>
      </c>
      <c r="AH888">
        <v>6</v>
      </c>
      <c r="AI888">
        <v>2</v>
      </c>
      <c r="AJ888">
        <v>0</v>
      </c>
      <c r="AK888">
        <v>113.2</v>
      </c>
      <c r="AN888" t="s">
        <v>7139</v>
      </c>
      <c r="AO888">
        <v>18384</v>
      </c>
      <c r="AU888">
        <v>537.35</v>
      </c>
      <c r="AV888" t="s">
        <v>521</v>
      </c>
      <c r="AW888" t="s">
        <v>7341</v>
      </c>
    </row>
    <row r="889" spans="1:50">
      <c r="A889" s="1">
        <f>HYPERLINK("https://lsnyc.legalserver.org/matter/dynamic-profile/view/1849870","17-1849870")</f>
        <v>0</v>
      </c>
      <c r="B889" t="s">
        <v>82</v>
      </c>
      <c r="C889" t="s">
        <v>104</v>
      </c>
      <c r="D889" t="s">
        <v>281</v>
      </c>
      <c r="E889" t="s">
        <v>227</v>
      </c>
      <c r="F889" t="s">
        <v>881</v>
      </c>
      <c r="G889" t="s">
        <v>1656</v>
      </c>
      <c r="H889" t="s">
        <v>2508</v>
      </c>
      <c r="I889">
        <v>314</v>
      </c>
      <c r="J889" t="s">
        <v>3604</v>
      </c>
      <c r="K889">
        <v>10029</v>
      </c>
      <c r="L889" t="s">
        <v>3610</v>
      </c>
      <c r="M889" t="s">
        <v>3609</v>
      </c>
      <c r="P889" t="s">
        <v>4244</v>
      </c>
      <c r="Q889" t="s">
        <v>4249</v>
      </c>
      <c r="R889" t="s">
        <v>4258</v>
      </c>
      <c r="S889" t="s">
        <v>3611</v>
      </c>
      <c r="U889" t="s">
        <v>4268</v>
      </c>
      <c r="W889" t="s">
        <v>281</v>
      </c>
      <c r="X889">
        <v>356</v>
      </c>
      <c r="Y889" t="s">
        <v>4351</v>
      </c>
      <c r="Z889" t="s">
        <v>4357</v>
      </c>
      <c r="AA889" t="s">
        <v>4377</v>
      </c>
      <c r="AB889" t="s">
        <v>5094</v>
      </c>
      <c r="AD889" t="s">
        <v>6468</v>
      </c>
      <c r="AE889">
        <v>108</v>
      </c>
      <c r="AF889" t="s">
        <v>7101</v>
      </c>
      <c r="AG889" t="s">
        <v>3745</v>
      </c>
      <c r="AH889">
        <v>6</v>
      </c>
      <c r="AI889">
        <v>2</v>
      </c>
      <c r="AJ889">
        <v>0</v>
      </c>
      <c r="AK889">
        <v>113.2</v>
      </c>
      <c r="AN889" t="s">
        <v>7139</v>
      </c>
      <c r="AO889">
        <v>18384</v>
      </c>
      <c r="AU889">
        <v>160.5</v>
      </c>
      <c r="AV889" t="s">
        <v>276</v>
      </c>
      <c r="AW889" t="s">
        <v>7342</v>
      </c>
    </row>
    <row r="890" spans="1:50">
      <c r="A890" s="1">
        <f>HYPERLINK("https://lsnyc.legalserver.org/matter/dynamic-profile/view/1846954","17-1846954")</f>
        <v>0</v>
      </c>
      <c r="B890" t="s">
        <v>57</v>
      </c>
      <c r="C890" t="s">
        <v>104</v>
      </c>
      <c r="D890" t="s">
        <v>525</v>
      </c>
      <c r="E890" t="s">
        <v>655</v>
      </c>
      <c r="F890" t="s">
        <v>1185</v>
      </c>
      <c r="G890" t="s">
        <v>2051</v>
      </c>
      <c r="H890" t="s">
        <v>2611</v>
      </c>
      <c r="I890" t="s">
        <v>3316</v>
      </c>
      <c r="J890" t="s">
        <v>3604</v>
      </c>
      <c r="K890">
        <v>10035</v>
      </c>
      <c r="L890" t="s">
        <v>3610</v>
      </c>
      <c r="M890" t="s">
        <v>3609</v>
      </c>
      <c r="O890" t="s">
        <v>4233</v>
      </c>
      <c r="P890" t="s">
        <v>4243</v>
      </c>
      <c r="Q890" t="s">
        <v>4252</v>
      </c>
      <c r="R890" t="s">
        <v>4258</v>
      </c>
      <c r="S890" t="s">
        <v>3611</v>
      </c>
      <c r="U890" t="s">
        <v>4270</v>
      </c>
      <c r="W890" t="s">
        <v>525</v>
      </c>
      <c r="X890">
        <v>1142</v>
      </c>
      <c r="Y890" t="s">
        <v>4351</v>
      </c>
      <c r="Z890" t="s">
        <v>4356</v>
      </c>
      <c r="AA890" t="s">
        <v>4376</v>
      </c>
      <c r="AB890" t="s">
        <v>5095</v>
      </c>
      <c r="AD890" t="s">
        <v>6469</v>
      </c>
      <c r="AE890">
        <v>9</v>
      </c>
      <c r="AF890" t="s">
        <v>7101</v>
      </c>
      <c r="AG890" t="s">
        <v>3745</v>
      </c>
      <c r="AH890">
        <v>22</v>
      </c>
      <c r="AI890">
        <v>2</v>
      </c>
      <c r="AJ890">
        <v>3</v>
      </c>
      <c r="AK890">
        <v>113.27</v>
      </c>
      <c r="AN890" t="s">
        <v>7138</v>
      </c>
      <c r="AO890">
        <v>32598</v>
      </c>
      <c r="AU890">
        <v>53.75</v>
      </c>
      <c r="AV890" t="s">
        <v>302</v>
      </c>
      <c r="AW890" t="s">
        <v>7341</v>
      </c>
    </row>
    <row r="891" spans="1:50">
      <c r="A891" s="1">
        <f>HYPERLINK("https://lsnyc.legalserver.org/matter/dynamic-profile/view/1838229","17-1838229")</f>
        <v>0</v>
      </c>
      <c r="B891" t="s">
        <v>67</v>
      </c>
      <c r="C891" t="s">
        <v>104</v>
      </c>
      <c r="D891" t="s">
        <v>526</v>
      </c>
      <c r="E891" t="s">
        <v>209</v>
      </c>
      <c r="F891" t="s">
        <v>1185</v>
      </c>
      <c r="G891" t="s">
        <v>2051</v>
      </c>
      <c r="H891" t="s">
        <v>2611</v>
      </c>
      <c r="I891" t="s">
        <v>3316</v>
      </c>
      <c r="J891" t="s">
        <v>3604</v>
      </c>
      <c r="K891">
        <v>10035</v>
      </c>
      <c r="L891" t="s">
        <v>3610</v>
      </c>
      <c r="M891" t="s">
        <v>3610</v>
      </c>
      <c r="N891" t="s">
        <v>3921</v>
      </c>
      <c r="O891" t="s">
        <v>4209</v>
      </c>
      <c r="P891" t="s">
        <v>4241</v>
      </c>
      <c r="Q891" t="s">
        <v>4248</v>
      </c>
      <c r="R891" t="s">
        <v>4258</v>
      </c>
      <c r="S891" t="s">
        <v>3611</v>
      </c>
      <c r="U891" t="s">
        <v>4268</v>
      </c>
      <c r="V891" t="s">
        <v>4274</v>
      </c>
      <c r="W891" t="s">
        <v>526</v>
      </c>
      <c r="X891">
        <v>1142</v>
      </c>
      <c r="Y891" t="s">
        <v>4351</v>
      </c>
      <c r="Z891" t="s">
        <v>4354</v>
      </c>
      <c r="AA891" t="s">
        <v>4374</v>
      </c>
      <c r="AB891" t="s">
        <v>5095</v>
      </c>
      <c r="AD891" t="s">
        <v>6469</v>
      </c>
      <c r="AE891">
        <v>9</v>
      </c>
      <c r="AF891" t="s">
        <v>7101</v>
      </c>
      <c r="AG891" t="s">
        <v>3745</v>
      </c>
      <c r="AH891">
        <v>22</v>
      </c>
      <c r="AI891">
        <v>2</v>
      </c>
      <c r="AJ891">
        <v>3</v>
      </c>
      <c r="AK891">
        <v>113.27</v>
      </c>
      <c r="AN891" t="s">
        <v>7138</v>
      </c>
      <c r="AO891">
        <v>32598</v>
      </c>
      <c r="AU891">
        <v>50.5</v>
      </c>
      <c r="AV891" t="s">
        <v>334</v>
      </c>
      <c r="AW891" t="s">
        <v>7341</v>
      </c>
    </row>
    <row r="892" spans="1:50">
      <c r="A892" s="1">
        <f>HYPERLINK("https://lsnyc.legalserver.org/matter/dynamic-profile/view/1864036","18-1864036")</f>
        <v>0</v>
      </c>
      <c r="B892" t="s">
        <v>53</v>
      </c>
      <c r="C892" t="s">
        <v>105</v>
      </c>
      <c r="D892" t="s">
        <v>161</v>
      </c>
      <c r="F892" t="s">
        <v>1186</v>
      </c>
      <c r="G892" t="s">
        <v>1810</v>
      </c>
      <c r="H892" t="s">
        <v>2508</v>
      </c>
      <c r="I892">
        <v>306</v>
      </c>
      <c r="J892" t="s">
        <v>3604</v>
      </c>
      <c r="K892">
        <v>10029</v>
      </c>
      <c r="L892" t="s">
        <v>3610</v>
      </c>
      <c r="M892" t="s">
        <v>3609</v>
      </c>
      <c r="N892" t="s">
        <v>3642</v>
      </c>
      <c r="O892" t="s">
        <v>4213</v>
      </c>
      <c r="P892" t="s">
        <v>4241</v>
      </c>
      <c r="R892" t="s">
        <v>4258</v>
      </c>
      <c r="S892" t="s">
        <v>3610</v>
      </c>
      <c r="U892" t="s">
        <v>4268</v>
      </c>
      <c r="W892" t="s">
        <v>161</v>
      </c>
      <c r="X892">
        <v>0</v>
      </c>
      <c r="Y892" t="s">
        <v>4351</v>
      </c>
      <c r="Z892" t="s">
        <v>4352</v>
      </c>
      <c r="AB892" t="s">
        <v>5096</v>
      </c>
      <c r="AD892" t="s">
        <v>6470</v>
      </c>
      <c r="AE892">
        <v>108</v>
      </c>
      <c r="AF892" t="s">
        <v>7106</v>
      </c>
      <c r="AG892" t="s">
        <v>7116</v>
      </c>
      <c r="AH892">
        <v>22</v>
      </c>
      <c r="AI892">
        <v>1</v>
      </c>
      <c r="AJ892">
        <v>0</v>
      </c>
      <c r="AK892">
        <v>113.38</v>
      </c>
      <c r="AN892" t="s">
        <v>7138</v>
      </c>
      <c r="AO892">
        <v>13764</v>
      </c>
      <c r="AU892">
        <v>0.3</v>
      </c>
      <c r="AV892" t="s">
        <v>224</v>
      </c>
      <c r="AW892" t="s">
        <v>7341</v>
      </c>
      <c r="AX892" t="s">
        <v>7377</v>
      </c>
    </row>
    <row r="893" spans="1:50">
      <c r="A893" s="1">
        <f>HYPERLINK("https://lsnyc.legalserver.org/matter/dynamic-profile/view/1862772","18-1862772")</f>
        <v>0</v>
      </c>
      <c r="B893" t="s">
        <v>63</v>
      </c>
      <c r="C893" t="s">
        <v>104</v>
      </c>
      <c r="D893" t="s">
        <v>481</v>
      </c>
      <c r="E893" t="s">
        <v>293</v>
      </c>
      <c r="F893" t="s">
        <v>983</v>
      </c>
      <c r="G893" t="s">
        <v>1792</v>
      </c>
      <c r="H893" t="s">
        <v>2930</v>
      </c>
      <c r="I893">
        <v>10</v>
      </c>
      <c r="J893" t="s">
        <v>3604</v>
      </c>
      <c r="K893">
        <v>10033</v>
      </c>
      <c r="L893" t="s">
        <v>3610</v>
      </c>
      <c r="M893" t="s">
        <v>3610</v>
      </c>
      <c r="P893" t="s">
        <v>4245</v>
      </c>
      <c r="Q893" t="s">
        <v>4249</v>
      </c>
      <c r="R893" t="s">
        <v>4258</v>
      </c>
      <c r="S893" t="s">
        <v>3611</v>
      </c>
      <c r="U893" t="s">
        <v>4268</v>
      </c>
      <c r="W893" t="s">
        <v>481</v>
      </c>
      <c r="X893">
        <v>1012.55</v>
      </c>
      <c r="Y893" t="s">
        <v>4351</v>
      </c>
      <c r="Z893" t="s">
        <v>4357</v>
      </c>
      <c r="AA893" t="s">
        <v>4377</v>
      </c>
      <c r="AB893" t="s">
        <v>5097</v>
      </c>
      <c r="AD893" t="s">
        <v>6471</v>
      </c>
      <c r="AE893">
        <v>20</v>
      </c>
      <c r="AF893" t="s">
        <v>7101</v>
      </c>
      <c r="AG893" t="s">
        <v>7118</v>
      </c>
      <c r="AH893">
        <v>25</v>
      </c>
      <c r="AI893">
        <v>2</v>
      </c>
      <c r="AJ893">
        <v>0</v>
      </c>
      <c r="AK893">
        <v>113.44</v>
      </c>
      <c r="AN893" t="s">
        <v>7139</v>
      </c>
      <c r="AO893">
        <v>18672</v>
      </c>
      <c r="AU893">
        <v>4.3</v>
      </c>
      <c r="AV893" t="s">
        <v>293</v>
      </c>
      <c r="AW893" t="s">
        <v>7342</v>
      </c>
    </row>
    <row r="894" spans="1:50">
      <c r="A894" s="1">
        <f>HYPERLINK("https://lsnyc.legalserver.org/matter/dynamic-profile/view/1875192","18-1875192")</f>
        <v>0</v>
      </c>
      <c r="B894" t="s">
        <v>84</v>
      </c>
      <c r="C894" t="s">
        <v>104</v>
      </c>
      <c r="D894" t="s">
        <v>229</v>
      </c>
      <c r="E894" t="s">
        <v>329</v>
      </c>
      <c r="F894" t="s">
        <v>1016</v>
      </c>
      <c r="G894" t="s">
        <v>2052</v>
      </c>
      <c r="H894" t="s">
        <v>2931</v>
      </c>
      <c r="I894" t="s">
        <v>3471</v>
      </c>
      <c r="J894" t="s">
        <v>3604</v>
      </c>
      <c r="K894">
        <v>10011</v>
      </c>
      <c r="L894" t="s">
        <v>3610</v>
      </c>
      <c r="M894" t="s">
        <v>3610</v>
      </c>
      <c r="N894" t="s">
        <v>3922</v>
      </c>
      <c r="O894" t="s">
        <v>4210</v>
      </c>
      <c r="P894" t="s">
        <v>4242</v>
      </c>
      <c r="Q894" t="s">
        <v>4250</v>
      </c>
      <c r="R894" t="s">
        <v>4258</v>
      </c>
      <c r="S894" t="s">
        <v>3611</v>
      </c>
      <c r="U894" t="s">
        <v>4268</v>
      </c>
      <c r="W894" t="s">
        <v>229</v>
      </c>
      <c r="X894">
        <v>329</v>
      </c>
      <c r="Y894" t="s">
        <v>4351</v>
      </c>
      <c r="Z894" t="s">
        <v>4353</v>
      </c>
      <c r="AA894" t="s">
        <v>4373</v>
      </c>
      <c r="AB894" t="s">
        <v>5098</v>
      </c>
      <c r="AD894" t="s">
        <v>6472</v>
      </c>
      <c r="AE894">
        <v>11</v>
      </c>
      <c r="AF894" t="s">
        <v>7112</v>
      </c>
      <c r="AG894" t="s">
        <v>3745</v>
      </c>
      <c r="AH894">
        <v>25</v>
      </c>
      <c r="AI894">
        <v>1</v>
      </c>
      <c r="AJ894">
        <v>0</v>
      </c>
      <c r="AK894">
        <v>113.67</v>
      </c>
      <c r="AN894" t="s">
        <v>7138</v>
      </c>
      <c r="AO894">
        <v>13800</v>
      </c>
      <c r="AU894">
        <v>3.65</v>
      </c>
      <c r="AV894" t="s">
        <v>664</v>
      </c>
      <c r="AW894" t="s">
        <v>7342</v>
      </c>
    </row>
    <row r="895" spans="1:50">
      <c r="A895" s="1">
        <f>HYPERLINK("https://lsnyc.legalserver.org/matter/dynamic-profile/view/1867094","18-1867094")</f>
        <v>0</v>
      </c>
      <c r="B895" t="s">
        <v>75</v>
      </c>
      <c r="C895" t="s">
        <v>105</v>
      </c>
      <c r="D895" t="s">
        <v>240</v>
      </c>
      <c r="F895" t="s">
        <v>1187</v>
      </c>
      <c r="G895" t="s">
        <v>2053</v>
      </c>
      <c r="H895" t="s">
        <v>2932</v>
      </c>
      <c r="I895" t="s">
        <v>3287</v>
      </c>
      <c r="J895" t="s">
        <v>3604</v>
      </c>
      <c r="K895">
        <v>10002</v>
      </c>
      <c r="L895" t="s">
        <v>3610</v>
      </c>
      <c r="M895" t="s">
        <v>3609</v>
      </c>
      <c r="N895" t="s">
        <v>3923</v>
      </c>
      <c r="O895" t="s">
        <v>4234</v>
      </c>
      <c r="P895" t="s">
        <v>4245</v>
      </c>
      <c r="R895" t="s">
        <v>4257</v>
      </c>
      <c r="S895" t="s">
        <v>3611</v>
      </c>
      <c r="U895" t="s">
        <v>4273</v>
      </c>
      <c r="W895" t="s">
        <v>432</v>
      </c>
      <c r="X895">
        <v>230</v>
      </c>
      <c r="Y895" t="s">
        <v>4351</v>
      </c>
      <c r="Z895" t="s">
        <v>4355</v>
      </c>
      <c r="AB895" t="s">
        <v>5099</v>
      </c>
      <c r="AD895" t="s">
        <v>6473</v>
      </c>
      <c r="AE895">
        <v>1861</v>
      </c>
      <c r="AF895" t="s">
        <v>7106</v>
      </c>
      <c r="AH895">
        <v>3</v>
      </c>
      <c r="AI895">
        <v>2</v>
      </c>
      <c r="AJ895">
        <v>1</v>
      </c>
      <c r="AK895">
        <v>113.86</v>
      </c>
      <c r="AL895" t="s">
        <v>369</v>
      </c>
      <c r="AM895" t="s">
        <v>7133</v>
      </c>
      <c r="AN895" t="s">
        <v>7138</v>
      </c>
      <c r="AO895">
        <v>23660</v>
      </c>
      <c r="AU895">
        <v>14.8</v>
      </c>
      <c r="AV895" t="s">
        <v>676</v>
      </c>
      <c r="AW895" t="s">
        <v>7349</v>
      </c>
    </row>
    <row r="896" spans="1:50">
      <c r="A896" s="1">
        <f>HYPERLINK("https://lsnyc.legalserver.org/matter/dynamic-profile/view/1867856","18-1867856")</f>
        <v>0</v>
      </c>
      <c r="B896" t="s">
        <v>53</v>
      </c>
      <c r="C896" t="s">
        <v>105</v>
      </c>
      <c r="D896" t="s">
        <v>411</v>
      </c>
      <c r="F896" t="s">
        <v>1188</v>
      </c>
      <c r="G896" t="s">
        <v>1867</v>
      </c>
      <c r="H896" t="s">
        <v>2508</v>
      </c>
      <c r="I896">
        <v>515</v>
      </c>
      <c r="J896" t="s">
        <v>3604</v>
      </c>
      <c r="K896">
        <v>10029</v>
      </c>
      <c r="L896" t="s">
        <v>3610</v>
      </c>
      <c r="M896" t="s">
        <v>3610</v>
      </c>
      <c r="N896" t="s">
        <v>3642</v>
      </c>
      <c r="O896" t="s">
        <v>4213</v>
      </c>
      <c r="P896" t="s">
        <v>4241</v>
      </c>
      <c r="R896" t="s">
        <v>4258</v>
      </c>
      <c r="S896" t="s">
        <v>3610</v>
      </c>
      <c r="U896" t="s">
        <v>4268</v>
      </c>
      <c r="V896" t="s">
        <v>4274</v>
      </c>
      <c r="W896" t="s">
        <v>411</v>
      </c>
      <c r="X896">
        <v>2240</v>
      </c>
      <c r="Y896" t="s">
        <v>4351</v>
      </c>
      <c r="Z896" t="s">
        <v>4352</v>
      </c>
      <c r="AB896" t="s">
        <v>5100</v>
      </c>
      <c r="AD896" t="s">
        <v>6474</v>
      </c>
      <c r="AE896">
        <v>108</v>
      </c>
      <c r="AF896" t="s">
        <v>7106</v>
      </c>
      <c r="AG896" t="s">
        <v>7116</v>
      </c>
      <c r="AH896">
        <v>18</v>
      </c>
      <c r="AI896">
        <v>3</v>
      </c>
      <c r="AJ896">
        <v>3</v>
      </c>
      <c r="AK896">
        <v>113.89</v>
      </c>
      <c r="AN896" t="s">
        <v>7138</v>
      </c>
      <c r="AO896">
        <v>38428</v>
      </c>
      <c r="AU896">
        <v>0.75</v>
      </c>
      <c r="AV896" t="s">
        <v>502</v>
      </c>
      <c r="AW896" t="s">
        <v>7341</v>
      </c>
    </row>
    <row r="897" spans="1:50">
      <c r="A897" s="1">
        <f>HYPERLINK("https://lsnyc.legalserver.org/matter/dynamic-profile/view/1882553","18-1882553")</f>
        <v>0</v>
      </c>
      <c r="B897" t="s">
        <v>83</v>
      </c>
      <c r="C897" t="s">
        <v>104</v>
      </c>
      <c r="D897" t="s">
        <v>262</v>
      </c>
      <c r="E897" t="s">
        <v>129</v>
      </c>
      <c r="F897" t="s">
        <v>881</v>
      </c>
      <c r="G897" t="s">
        <v>1656</v>
      </c>
      <c r="H897" t="s">
        <v>2508</v>
      </c>
      <c r="I897">
        <v>314</v>
      </c>
      <c r="J897" t="s">
        <v>3604</v>
      </c>
      <c r="K897">
        <v>10029</v>
      </c>
      <c r="L897" t="s">
        <v>3610</v>
      </c>
      <c r="M897" t="s">
        <v>3610</v>
      </c>
      <c r="O897" t="s">
        <v>4211</v>
      </c>
      <c r="P897" t="s">
        <v>4245</v>
      </c>
      <c r="Q897" t="s">
        <v>4249</v>
      </c>
      <c r="R897" t="s">
        <v>4258</v>
      </c>
      <c r="S897" t="s">
        <v>3611</v>
      </c>
      <c r="U897" t="s">
        <v>4268</v>
      </c>
      <c r="V897" t="s">
        <v>4274</v>
      </c>
      <c r="W897" t="s">
        <v>262</v>
      </c>
      <c r="X897">
        <v>356</v>
      </c>
      <c r="Y897" t="s">
        <v>4351</v>
      </c>
      <c r="Z897" t="s">
        <v>4357</v>
      </c>
      <c r="AA897" t="s">
        <v>4377</v>
      </c>
      <c r="AB897" t="s">
        <v>5094</v>
      </c>
      <c r="AD897" t="s">
        <v>6468</v>
      </c>
      <c r="AE897">
        <v>108</v>
      </c>
      <c r="AF897" t="s">
        <v>7101</v>
      </c>
      <c r="AG897" t="s">
        <v>3745</v>
      </c>
      <c r="AH897">
        <v>3</v>
      </c>
      <c r="AI897">
        <v>2</v>
      </c>
      <c r="AJ897">
        <v>0</v>
      </c>
      <c r="AK897">
        <v>114.17</v>
      </c>
      <c r="AN897" t="s">
        <v>7139</v>
      </c>
      <c r="AO897">
        <v>18792</v>
      </c>
      <c r="AU897">
        <v>5.4</v>
      </c>
      <c r="AV897" t="s">
        <v>672</v>
      </c>
      <c r="AW897" t="s">
        <v>7341</v>
      </c>
    </row>
    <row r="898" spans="1:50">
      <c r="A898" s="1">
        <f>HYPERLINK("https://lsnyc.legalserver.org/matter/dynamic-profile/view/1873505","18-1873505")</f>
        <v>0</v>
      </c>
      <c r="B898" t="s">
        <v>79</v>
      </c>
      <c r="C898" t="s">
        <v>104</v>
      </c>
      <c r="D898" t="s">
        <v>490</v>
      </c>
      <c r="E898" t="s">
        <v>248</v>
      </c>
      <c r="F898" t="s">
        <v>1189</v>
      </c>
      <c r="G898" t="s">
        <v>1200</v>
      </c>
      <c r="H898" t="s">
        <v>2933</v>
      </c>
      <c r="I898" t="s">
        <v>3472</v>
      </c>
      <c r="J898" t="s">
        <v>3604</v>
      </c>
      <c r="K898">
        <v>10030</v>
      </c>
      <c r="L898" t="s">
        <v>3611</v>
      </c>
      <c r="M898" t="s">
        <v>3609</v>
      </c>
      <c r="N898" t="s">
        <v>3924</v>
      </c>
      <c r="O898" t="s">
        <v>4209</v>
      </c>
      <c r="P898" t="s">
        <v>4242</v>
      </c>
      <c r="Q898" t="s">
        <v>4250</v>
      </c>
      <c r="R898" t="s">
        <v>4258</v>
      </c>
      <c r="S898" t="s">
        <v>3611</v>
      </c>
      <c r="U898" t="s">
        <v>4268</v>
      </c>
      <c r="X898">
        <v>0</v>
      </c>
      <c r="Y898" t="s">
        <v>4351</v>
      </c>
      <c r="Z898" t="s">
        <v>4354</v>
      </c>
      <c r="AA898" t="s">
        <v>4373</v>
      </c>
      <c r="AB898" t="s">
        <v>5101</v>
      </c>
      <c r="AD898" t="s">
        <v>6475</v>
      </c>
      <c r="AE898">
        <v>0</v>
      </c>
      <c r="AF898" t="s">
        <v>7113</v>
      </c>
      <c r="AG898" t="s">
        <v>4228</v>
      </c>
      <c r="AH898">
        <v>7</v>
      </c>
      <c r="AI898">
        <v>1</v>
      </c>
      <c r="AJ898">
        <v>0</v>
      </c>
      <c r="AK898">
        <v>114.27</v>
      </c>
      <c r="AN898" t="s">
        <v>7138</v>
      </c>
      <c r="AO898">
        <v>13872</v>
      </c>
      <c r="AU898">
        <v>1.45</v>
      </c>
      <c r="AV898" t="s">
        <v>248</v>
      </c>
      <c r="AW898" t="s">
        <v>7340</v>
      </c>
    </row>
    <row r="899" spans="1:50">
      <c r="A899" s="1">
        <f>HYPERLINK("https://lsnyc.legalserver.org/matter/dynamic-profile/view/1840349","17-1840349")</f>
        <v>0</v>
      </c>
      <c r="B899" t="s">
        <v>53</v>
      </c>
      <c r="C899" t="s">
        <v>104</v>
      </c>
      <c r="D899" t="s">
        <v>297</v>
      </c>
      <c r="E899" t="s">
        <v>488</v>
      </c>
      <c r="F899" t="s">
        <v>733</v>
      </c>
      <c r="G899" t="s">
        <v>1997</v>
      </c>
      <c r="H899" t="s">
        <v>2833</v>
      </c>
      <c r="I899">
        <v>43</v>
      </c>
      <c r="J899" t="s">
        <v>3604</v>
      </c>
      <c r="K899">
        <v>10040</v>
      </c>
      <c r="L899" t="s">
        <v>3610</v>
      </c>
      <c r="M899" t="s">
        <v>3610</v>
      </c>
      <c r="N899" t="s">
        <v>3883</v>
      </c>
      <c r="O899" t="s">
        <v>4213</v>
      </c>
      <c r="P899" t="s">
        <v>4241</v>
      </c>
      <c r="Q899" t="s">
        <v>4248</v>
      </c>
      <c r="R899" t="s">
        <v>4258</v>
      </c>
      <c r="S899" t="s">
        <v>3610</v>
      </c>
      <c r="U899" t="s">
        <v>4268</v>
      </c>
      <c r="W899" t="s">
        <v>354</v>
      </c>
      <c r="X899">
        <v>1235.75</v>
      </c>
      <c r="Y899" t="s">
        <v>4351</v>
      </c>
      <c r="Z899" t="s">
        <v>4352</v>
      </c>
      <c r="AA899" t="s">
        <v>4379</v>
      </c>
      <c r="AB899" t="s">
        <v>5102</v>
      </c>
      <c r="AD899" t="s">
        <v>6476</v>
      </c>
      <c r="AE899">
        <v>45</v>
      </c>
      <c r="AF899" t="s">
        <v>7101</v>
      </c>
      <c r="AG899" t="s">
        <v>3745</v>
      </c>
      <c r="AH899">
        <v>40</v>
      </c>
      <c r="AI899">
        <v>3</v>
      </c>
      <c r="AJ899">
        <v>1</v>
      </c>
      <c r="AK899">
        <v>114.59</v>
      </c>
      <c r="AL899" t="s">
        <v>183</v>
      </c>
      <c r="AN899" t="s">
        <v>7139</v>
      </c>
      <c r="AO899">
        <v>28188</v>
      </c>
      <c r="AQ899" t="s">
        <v>7197</v>
      </c>
      <c r="AR899" t="s">
        <v>7220</v>
      </c>
      <c r="AS899" t="s">
        <v>7231</v>
      </c>
      <c r="AT899" t="s">
        <v>7260</v>
      </c>
      <c r="AU899">
        <v>4.1</v>
      </c>
      <c r="AV899" t="s">
        <v>488</v>
      </c>
      <c r="AW899" t="s">
        <v>7342</v>
      </c>
    </row>
    <row r="900" spans="1:50">
      <c r="A900" s="1">
        <f>HYPERLINK("https://lsnyc.legalserver.org/matter/dynamic-profile/view/1840469","17-1840469")</f>
        <v>0</v>
      </c>
      <c r="B900" t="s">
        <v>53</v>
      </c>
      <c r="C900" t="s">
        <v>105</v>
      </c>
      <c r="D900" t="s">
        <v>290</v>
      </c>
      <c r="F900" t="s">
        <v>1190</v>
      </c>
      <c r="G900" t="s">
        <v>2054</v>
      </c>
      <c r="H900" t="s">
        <v>2803</v>
      </c>
      <c r="I900" t="s">
        <v>3473</v>
      </c>
      <c r="J900" t="s">
        <v>3604</v>
      </c>
      <c r="K900">
        <v>10034</v>
      </c>
      <c r="L900" t="s">
        <v>3610</v>
      </c>
      <c r="M900" t="s">
        <v>3609</v>
      </c>
      <c r="O900" t="s">
        <v>4219</v>
      </c>
      <c r="P900" t="s">
        <v>4244</v>
      </c>
      <c r="R900" t="s">
        <v>4258</v>
      </c>
      <c r="S900" t="s">
        <v>3611</v>
      </c>
      <c r="U900" t="s">
        <v>4268</v>
      </c>
      <c r="W900" t="s">
        <v>379</v>
      </c>
      <c r="X900">
        <v>1066.11</v>
      </c>
      <c r="Y900" t="s">
        <v>4351</v>
      </c>
      <c r="Z900" t="s">
        <v>4354</v>
      </c>
      <c r="AB900" t="s">
        <v>5103</v>
      </c>
      <c r="AD900" t="s">
        <v>6477</v>
      </c>
      <c r="AE900">
        <v>46</v>
      </c>
      <c r="AF900" t="s">
        <v>7101</v>
      </c>
      <c r="AG900" t="s">
        <v>3745</v>
      </c>
      <c r="AH900">
        <v>5</v>
      </c>
      <c r="AI900">
        <v>2</v>
      </c>
      <c r="AJ900">
        <v>1</v>
      </c>
      <c r="AK900">
        <v>114.59</v>
      </c>
      <c r="AN900" t="s">
        <v>7139</v>
      </c>
      <c r="AO900">
        <v>23400</v>
      </c>
      <c r="AU900">
        <v>8.300000000000001</v>
      </c>
      <c r="AV900" t="s">
        <v>663</v>
      </c>
      <c r="AW900" t="s">
        <v>7342</v>
      </c>
    </row>
    <row r="901" spans="1:50">
      <c r="A901" s="1">
        <f>HYPERLINK("https://lsnyc.legalserver.org/matter/dynamic-profile/view/1846029","17-1846029")</f>
        <v>0</v>
      </c>
      <c r="B901" t="s">
        <v>64</v>
      </c>
      <c r="C901" t="s">
        <v>105</v>
      </c>
      <c r="D901" t="s">
        <v>180</v>
      </c>
      <c r="F901" t="s">
        <v>1191</v>
      </c>
      <c r="G901" t="s">
        <v>2055</v>
      </c>
      <c r="H901" t="s">
        <v>2836</v>
      </c>
      <c r="I901">
        <v>5</v>
      </c>
      <c r="J901" t="s">
        <v>3604</v>
      </c>
      <c r="K901">
        <v>10034</v>
      </c>
      <c r="L901" t="s">
        <v>3610</v>
      </c>
      <c r="M901" t="s">
        <v>3609</v>
      </c>
      <c r="O901" t="s">
        <v>4210</v>
      </c>
      <c r="P901" t="s">
        <v>4244</v>
      </c>
      <c r="R901" t="s">
        <v>4258</v>
      </c>
      <c r="S901" t="s">
        <v>3611</v>
      </c>
      <c r="U901" t="s">
        <v>4268</v>
      </c>
      <c r="W901" t="s">
        <v>4323</v>
      </c>
      <c r="X901">
        <v>1250</v>
      </c>
      <c r="Y901" t="s">
        <v>4351</v>
      </c>
      <c r="Z901" t="s">
        <v>4354</v>
      </c>
      <c r="AB901" t="s">
        <v>5104</v>
      </c>
      <c r="AD901" t="s">
        <v>6478</v>
      </c>
      <c r="AE901">
        <v>41</v>
      </c>
      <c r="AF901" t="s">
        <v>7101</v>
      </c>
      <c r="AG901" t="s">
        <v>3745</v>
      </c>
      <c r="AH901">
        <v>5</v>
      </c>
      <c r="AI901">
        <v>2</v>
      </c>
      <c r="AJ901">
        <v>3</v>
      </c>
      <c r="AK901">
        <v>114.66</v>
      </c>
      <c r="AN901" t="s">
        <v>7139</v>
      </c>
      <c r="AO901">
        <v>33000</v>
      </c>
      <c r="AU901">
        <v>35.9</v>
      </c>
      <c r="AV901" t="s">
        <v>529</v>
      </c>
      <c r="AW901" t="s">
        <v>7342</v>
      </c>
    </row>
    <row r="902" spans="1:50">
      <c r="A902" s="1">
        <f>HYPERLINK("https://lsnyc.legalserver.org/matter/dynamic-profile/view/1885141","18-1885141")</f>
        <v>0</v>
      </c>
      <c r="B902" t="s">
        <v>52</v>
      </c>
      <c r="C902" t="s">
        <v>105</v>
      </c>
      <c r="D902" t="s">
        <v>425</v>
      </c>
      <c r="F902" t="s">
        <v>771</v>
      </c>
      <c r="G902" t="s">
        <v>2045</v>
      </c>
      <c r="H902" t="s">
        <v>2934</v>
      </c>
      <c r="I902" t="s">
        <v>3306</v>
      </c>
      <c r="J902" t="s">
        <v>3604</v>
      </c>
      <c r="K902">
        <v>10034</v>
      </c>
      <c r="L902" t="s">
        <v>3610</v>
      </c>
      <c r="M902" t="s">
        <v>3610</v>
      </c>
      <c r="P902" t="s">
        <v>4244</v>
      </c>
      <c r="R902" t="s">
        <v>4258</v>
      </c>
      <c r="S902" t="s">
        <v>3611</v>
      </c>
      <c r="U902" t="s">
        <v>4268</v>
      </c>
      <c r="W902" t="s">
        <v>425</v>
      </c>
      <c r="X902">
        <v>1231.91</v>
      </c>
      <c r="Y902" t="s">
        <v>4351</v>
      </c>
      <c r="Z902" t="s">
        <v>4354</v>
      </c>
      <c r="AB902" t="s">
        <v>5084</v>
      </c>
      <c r="AD902" t="s">
        <v>6458</v>
      </c>
      <c r="AE902">
        <v>0</v>
      </c>
      <c r="AF902" t="s">
        <v>7101</v>
      </c>
      <c r="AG902" t="s">
        <v>3745</v>
      </c>
      <c r="AH902">
        <v>14</v>
      </c>
      <c r="AI902">
        <v>1</v>
      </c>
      <c r="AJ902">
        <v>0</v>
      </c>
      <c r="AK902">
        <v>114.66</v>
      </c>
      <c r="AN902" t="s">
        <v>7139</v>
      </c>
      <c r="AO902">
        <v>13920</v>
      </c>
      <c r="AU902">
        <v>19.9</v>
      </c>
      <c r="AV902" t="s">
        <v>613</v>
      </c>
      <c r="AW902" t="s">
        <v>7342</v>
      </c>
    </row>
    <row r="903" spans="1:50">
      <c r="A903" s="1">
        <f>HYPERLINK("https://lsnyc.legalserver.org/matter/dynamic-profile/view/1860590","18-1860590")</f>
        <v>0</v>
      </c>
      <c r="B903" t="s">
        <v>62</v>
      </c>
      <c r="C903" t="s">
        <v>105</v>
      </c>
      <c r="D903" t="s">
        <v>257</v>
      </c>
      <c r="F903" t="s">
        <v>727</v>
      </c>
      <c r="G903" t="s">
        <v>2056</v>
      </c>
      <c r="H903" t="s">
        <v>2712</v>
      </c>
      <c r="I903" t="s">
        <v>3333</v>
      </c>
      <c r="J903" t="s">
        <v>3604</v>
      </c>
      <c r="K903">
        <v>10040</v>
      </c>
      <c r="L903" t="s">
        <v>3610</v>
      </c>
      <c r="M903" t="s">
        <v>3609</v>
      </c>
      <c r="O903" t="s">
        <v>4211</v>
      </c>
      <c r="P903" t="s">
        <v>4242</v>
      </c>
      <c r="R903" t="s">
        <v>4258</v>
      </c>
      <c r="S903" t="s">
        <v>3611</v>
      </c>
      <c r="U903" t="s">
        <v>4268</v>
      </c>
      <c r="W903" t="s">
        <v>4297</v>
      </c>
      <c r="X903">
        <v>862</v>
      </c>
      <c r="Y903" t="s">
        <v>4351</v>
      </c>
      <c r="Z903" t="s">
        <v>4354</v>
      </c>
      <c r="AB903" t="s">
        <v>5105</v>
      </c>
      <c r="AD903" t="s">
        <v>6479</v>
      </c>
      <c r="AE903">
        <v>60</v>
      </c>
      <c r="AF903" t="s">
        <v>7101</v>
      </c>
      <c r="AG903" t="s">
        <v>7116</v>
      </c>
      <c r="AH903">
        <v>40</v>
      </c>
      <c r="AI903">
        <v>2</v>
      </c>
      <c r="AJ903">
        <v>0</v>
      </c>
      <c r="AK903">
        <v>114.68</v>
      </c>
      <c r="AN903" t="s">
        <v>7139</v>
      </c>
      <c r="AO903">
        <v>18876</v>
      </c>
      <c r="AU903">
        <v>9.199999999999999</v>
      </c>
      <c r="AV903" t="s">
        <v>676</v>
      </c>
      <c r="AW903" t="s">
        <v>7349</v>
      </c>
    </row>
    <row r="904" spans="1:50">
      <c r="A904" s="1">
        <f>HYPERLINK("https://lsnyc.legalserver.org/matter/dynamic-profile/view/1881390","18-1881390")</f>
        <v>0</v>
      </c>
      <c r="B904" t="s">
        <v>53</v>
      </c>
      <c r="C904" t="s">
        <v>105</v>
      </c>
      <c r="D904" t="s">
        <v>220</v>
      </c>
      <c r="F904" t="s">
        <v>733</v>
      </c>
      <c r="G904" t="s">
        <v>1596</v>
      </c>
      <c r="H904" t="s">
        <v>2636</v>
      </c>
      <c r="I904" t="s">
        <v>3274</v>
      </c>
      <c r="J904" t="s">
        <v>3604</v>
      </c>
      <c r="K904">
        <v>10031</v>
      </c>
      <c r="L904" t="s">
        <v>3610</v>
      </c>
      <c r="M904" t="s">
        <v>3610</v>
      </c>
      <c r="N904" t="s">
        <v>3925</v>
      </c>
      <c r="O904" t="s">
        <v>4213</v>
      </c>
      <c r="P904" t="s">
        <v>4241</v>
      </c>
      <c r="R904" t="s">
        <v>4258</v>
      </c>
      <c r="S904" t="s">
        <v>3610</v>
      </c>
      <c r="U904" t="s">
        <v>4268</v>
      </c>
      <c r="V904" t="s">
        <v>4274</v>
      </c>
      <c r="W904" t="s">
        <v>293</v>
      </c>
      <c r="X904">
        <v>2126</v>
      </c>
      <c r="Y904" t="s">
        <v>4351</v>
      </c>
      <c r="Z904" t="s">
        <v>4352</v>
      </c>
      <c r="AB904" t="s">
        <v>5106</v>
      </c>
      <c r="AD904" t="s">
        <v>6480</v>
      </c>
      <c r="AE904">
        <v>42</v>
      </c>
      <c r="AF904" t="s">
        <v>7101</v>
      </c>
      <c r="AG904" t="s">
        <v>7116</v>
      </c>
      <c r="AH904">
        <v>20</v>
      </c>
      <c r="AI904">
        <v>2</v>
      </c>
      <c r="AJ904">
        <v>0</v>
      </c>
      <c r="AK904">
        <v>114.68</v>
      </c>
      <c r="AN904" t="s">
        <v>7139</v>
      </c>
      <c r="AO904">
        <v>18876</v>
      </c>
      <c r="AU904">
        <v>2.2</v>
      </c>
      <c r="AV904" t="s">
        <v>122</v>
      </c>
      <c r="AW904" t="s">
        <v>7341</v>
      </c>
    </row>
    <row r="905" spans="1:50">
      <c r="A905" s="1">
        <f>HYPERLINK("https://lsnyc.legalserver.org/matter/dynamic-profile/view/0805266","16-0805266")</f>
        <v>0</v>
      </c>
      <c r="B905" t="s">
        <v>100</v>
      </c>
      <c r="C905" t="s">
        <v>104</v>
      </c>
      <c r="D905" t="s">
        <v>527</v>
      </c>
      <c r="E905" t="s">
        <v>118</v>
      </c>
      <c r="F905" t="s">
        <v>881</v>
      </c>
      <c r="G905" t="s">
        <v>1656</v>
      </c>
      <c r="H905" t="s">
        <v>2508</v>
      </c>
      <c r="I905">
        <v>314</v>
      </c>
      <c r="J905" t="s">
        <v>3604</v>
      </c>
      <c r="K905">
        <v>10029</v>
      </c>
      <c r="L905" t="s">
        <v>3609</v>
      </c>
      <c r="M905" t="s">
        <v>3609</v>
      </c>
      <c r="O905" t="s">
        <v>4211</v>
      </c>
      <c r="P905" t="s">
        <v>4241</v>
      </c>
      <c r="Q905" t="s">
        <v>4248</v>
      </c>
      <c r="R905" t="s">
        <v>4258</v>
      </c>
      <c r="S905" t="s">
        <v>3611</v>
      </c>
      <c r="U905" t="s">
        <v>4268</v>
      </c>
      <c r="W905" t="s">
        <v>527</v>
      </c>
      <c r="X905">
        <v>356</v>
      </c>
      <c r="Y905" t="s">
        <v>4351</v>
      </c>
      <c r="Z905" t="s">
        <v>4357</v>
      </c>
      <c r="AA905" t="s">
        <v>4374</v>
      </c>
      <c r="AB905" t="s">
        <v>5094</v>
      </c>
      <c r="AD905" t="s">
        <v>6468</v>
      </c>
      <c r="AE905">
        <v>0</v>
      </c>
      <c r="AG905" t="s">
        <v>3745</v>
      </c>
      <c r="AH905">
        <v>6</v>
      </c>
      <c r="AI905">
        <v>2</v>
      </c>
      <c r="AJ905">
        <v>0</v>
      </c>
      <c r="AK905">
        <v>114.76</v>
      </c>
      <c r="AN905" t="s">
        <v>7139</v>
      </c>
      <c r="AO905">
        <v>18384</v>
      </c>
      <c r="AU905">
        <v>159.3</v>
      </c>
      <c r="AV905" t="s">
        <v>656</v>
      </c>
      <c r="AW905" t="s">
        <v>7341</v>
      </c>
    </row>
    <row r="906" spans="1:50">
      <c r="A906" s="1">
        <f>HYPERLINK("https://lsnyc.legalserver.org/matter/dynamic-profile/view/1872389","18-1872389")</f>
        <v>0</v>
      </c>
      <c r="B906" t="s">
        <v>61</v>
      </c>
      <c r="C906" t="s">
        <v>105</v>
      </c>
      <c r="D906" t="s">
        <v>310</v>
      </c>
      <c r="F906" t="s">
        <v>733</v>
      </c>
      <c r="G906" t="s">
        <v>2057</v>
      </c>
      <c r="H906" t="s">
        <v>2935</v>
      </c>
      <c r="I906">
        <v>5</v>
      </c>
      <c r="J906" t="s">
        <v>3604</v>
      </c>
      <c r="K906">
        <v>10034</v>
      </c>
      <c r="L906" t="s">
        <v>3610</v>
      </c>
      <c r="M906" t="s">
        <v>3610</v>
      </c>
      <c r="N906" t="s">
        <v>3926</v>
      </c>
      <c r="O906" t="s">
        <v>4209</v>
      </c>
      <c r="P906" t="s">
        <v>4241</v>
      </c>
      <c r="R906" t="s">
        <v>4258</v>
      </c>
      <c r="S906" t="s">
        <v>3611</v>
      </c>
      <c r="U906" t="s">
        <v>4268</v>
      </c>
      <c r="W906" t="s">
        <v>310</v>
      </c>
      <c r="X906">
        <v>1250</v>
      </c>
      <c r="Y906" t="s">
        <v>4351</v>
      </c>
      <c r="Z906" t="s">
        <v>4354</v>
      </c>
      <c r="AB906" t="s">
        <v>5107</v>
      </c>
      <c r="AE906">
        <v>63</v>
      </c>
      <c r="AF906" t="s">
        <v>7101</v>
      </c>
      <c r="AG906" t="s">
        <v>3745</v>
      </c>
      <c r="AH906">
        <v>3</v>
      </c>
      <c r="AI906">
        <v>2</v>
      </c>
      <c r="AJ906">
        <v>3</v>
      </c>
      <c r="AK906">
        <v>114.89</v>
      </c>
      <c r="AN906" t="s">
        <v>7139</v>
      </c>
      <c r="AO906">
        <v>33800</v>
      </c>
      <c r="AU906">
        <v>45.1</v>
      </c>
      <c r="AV906" t="s">
        <v>676</v>
      </c>
      <c r="AW906" t="s">
        <v>7342</v>
      </c>
      <c r="AX906" t="s">
        <v>7377</v>
      </c>
    </row>
    <row r="907" spans="1:50">
      <c r="A907" s="1">
        <f>HYPERLINK("https://lsnyc.legalserver.org/matter/dynamic-profile/view/1867544","18-1867544")</f>
        <v>0</v>
      </c>
      <c r="B907" t="s">
        <v>58</v>
      </c>
      <c r="C907" t="s">
        <v>105</v>
      </c>
      <c r="D907" t="s">
        <v>205</v>
      </c>
      <c r="F907" t="s">
        <v>1192</v>
      </c>
      <c r="G907" t="s">
        <v>1773</v>
      </c>
      <c r="H907" t="s">
        <v>2860</v>
      </c>
      <c r="I907" t="s">
        <v>3293</v>
      </c>
      <c r="J907" t="s">
        <v>3604</v>
      </c>
      <c r="K907">
        <v>10034</v>
      </c>
      <c r="L907" t="s">
        <v>3610</v>
      </c>
      <c r="M907" t="s">
        <v>3609</v>
      </c>
      <c r="N907" t="s">
        <v>3927</v>
      </c>
      <c r="O907" t="s">
        <v>4209</v>
      </c>
      <c r="P907" t="s">
        <v>4246</v>
      </c>
      <c r="R907" t="s">
        <v>4258</v>
      </c>
      <c r="U907" t="s">
        <v>4268</v>
      </c>
      <c r="W907" t="s">
        <v>279</v>
      </c>
      <c r="X907">
        <v>1320</v>
      </c>
      <c r="Y907" t="s">
        <v>4351</v>
      </c>
      <c r="Z907" t="s">
        <v>4361</v>
      </c>
      <c r="AB907" t="s">
        <v>5108</v>
      </c>
      <c r="AD907" t="s">
        <v>6481</v>
      </c>
      <c r="AE907">
        <v>60</v>
      </c>
      <c r="AF907" t="s">
        <v>7101</v>
      </c>
      <c r="AG907" t="s">
        <v>3745</v>
      </c>
      <c r="AH907">
        <v>1</v>
      </c>
      <c r="AI907">
        <v>1</v>
      </c>
      <c r="AJ907">
        <v>0</v>
      </c>
      <c r="AK907">
        <v>115.32</v>
      </c>
      <c r="AN907" t="s">
        <v>7139</v>
      </c>
      <c r="AO907">
        <v>14000</v>
      </c>
      <c r="AU907">
        <v>1</v>
      </c>
      <c r="AV907" t="s">
        <v>205</v>
      </c>
      <c r="AW907" t="s">
        <v>7357</v>
      </c>
    </row>
    <row r="908" spans="1:50">
      <c r="A908" s="1">
        <f>HYPERLINK("https://lsnyc.legalserver.org/matter/dynamic-profile/view/1850921","17-1850921")</f>
        <v>0</v>
      </c>
      <c r="B908" t="s">
        <v>53</v>
      </c>
      <c r="C908" t="s">
        <v>104</v>
      </c>
      <c r="D908" t="s">
        <v>222</v>
      </c>
      <c r="E908" t="s">
        <v>260</v>
      </c>
      <c r="F908" t="s">
        <v>733</v>
      </c>
      <c r="G908" t="s">
        <v>1594</v>
      </c>
      <c r="H908" t="s">
        <v>2936</v>
      </c>
      <c r="I908">
        <v>52</v>
      </c>
      <c r="J908" t="s">
        <v>3604</v>
      </c>
      <c r="K908">
        <v>10034</v>
      </c>
      <c r="L908" t="s">
        <v>3610</v>
      </c>
      <c r="M908" t="s">
        <v>3609</v>
      </c>
      <c r="N908" t="s">
        <v>3928</v>
      </c>
      <c r="O908" t="s">
        <v>4210</v>
      </c>
      <c r="P908" t="s">
        <v>4241</v>
      </c>
      <c r="Q908" t="s">
        <v>4248</v>
      </c>
      <c r="R908" t="s">
        <v>4258</v>
      </c>
      <c r="S908" t="s">
        <v>3611</v>
      </c>
      <c r="U908" t="s">
        <v>4268</v>
      </c>
      <c r="W908" t="s">
        <v>222</v>
      </c>
      <c r="X908">
        <v>871.46</v>
      </c>
      <c r="Y908" t="s">
        <v>4351</v>
      </c>
      <c r="Z908" t="s">
        <v>4354</v>
      </c>
      <c r="AA908" t="s">
        <v>4374</v>
      </c>
      <c r="AB908" t="s">
        <v>4805</v>
      </c>
      <c r="AD908" t="s">
        <v>6482</v>
      </c>
      <c r="AE908">
        <v>25</v>
      </c>
      <c r="AF908" t="s">
        <v>7101</v>
      </c>
      <c r="AG908" t="s">
        <v>3745</v>
      </c>
      <c r="AH908">
        <v>37</v>
      </c>
      <c r="AI908">
        <v>3</v>
      </c>
      <c r="AJ908">
        <v>0</v>
      </c>
      <c r="AK908">
        <v>115.38</v>
      </c>
      <c r="AN908" t="s">
        <v>7139</v>
      </c>
      <c r="AO908">
        <v>23560</v>
      </c>
      <c r="AU908">
        <v>9.75</v>
      </c>
      <c r="AV908" t="s">
        <v>130</v>
      </c>
      <c r="AW908" t="s">
        <v>7342</v>
      </c>
    </row>
    <row r="909" spans="1:50">
      <c r="A909" s="1">
        <f>HYPERLINK("https://lsnyc.legalserver.org/matter/dynamic-profile/view/1886664","18-1886664")</f>
        <v>0</v>
      </c>
      <c r="B909" t="s">
        <v>56</v>
      </c>
      <c r="C909" t="s">
        <v>104</v>
      </c>
      <c r="D909" t="s">
        <v>488</v>
      </c>
      <c r="E909" t="s">
        <v>320</v>
      </c>
      <c r="F909" t="s">
        <v>1193</v>
      </c>
      <c r="G909" t="s">
        <v>2058</v>
      </c>
      <c r="H909" t="s">
        <v>2937</v>
      </c>
      <c r="I909" t="s">
        <v>3311</v>
      </c>
      <c r="J909" t="s">
        <v>3604</v>
      </c>
      <c r="K909">
        <v>10035</v>
      </c>
      <c r="L909" t="s">
        <v>3610</v>
      </c>
      <c r="M909" t="s">
        <v>3610</v>
      </c>
      <c r="O909" t="s">
        <v>4209</v>
      </c>
      <c r="P909" t="s">
        <v>4241</v>
      </c>
      <c r="Q909" t="s">
        <v>4248</v>
      </c>
      <c r="R909" t="s">
        <v>4258</v>
      </c>
      <c r="S909" t="s">
        <v>3611</v>
      </c>
      <c r="U909" t="s">
        <v>4268</v>
      </c>
      <c r="W909" t="s">
        <v>488</v>
      </c>
      <c r="X909">
        <v>1657</v>
      </c>
      <c r="Y909" t="s">
        <v>4351</v>
      </c>
      <c r="Z909" t="s">
        <v>4357</v>
      </c>
      <c r="AA909" t="s">
        <v>4374</v>
      </c>
      <c r="AB909" t="s">
        <v>5109</v>
      </c>
      <c r="AD909" t="s">
        <v>6483</v>
      </c>
      <c r="AE909">
        <v>0</v>
      </c>
      <c r="AG909" t="s">
        <v>3745</v>
      </c>
      <c r="AH909">
        <v>2</v>
      </c>
      <c r="AI909">
        <v>3</v>
      </c>
      <c r="AJ909">
        <v>0</v>
      </c>
      <c r="AK909">
        <v>115.5</v>
      </c>
      <c r="AN909" t="s">
        <v>7138</v>
      </c>
      <c r="AO909">
        <v>24000</v>
      </c>
      <c r="AU909">
        <v>1.8</v>
      </c>
      <c r="AV909" t="s">
        <v>387</v>
      </c>
      <c r="AW909" t="s">
        <v>7342</v>
      </c>
    </row>
    <row r="910" spans="1:50">
      <c r="A910" s="1">
        <f>HYPERLINK("https://lsnyc.legalserver.org/matter/dynamic-profile/view/1863845","18-1863845")</f>
        <v>0</v>
      </c>
      <c r="B910" t="s">
        <v>53</v>
      </c>
      <c r="C910" t="s">
        <v>105</v>
      </c>
      <c r="D910" t="s">
        <v>160</v>
      </c>
      <c r="F910" t="s">
        <v>733</v>
      </c>
      <c r="G910" t="s">
        <v>2059</v>
      </c>
      <c r="H910" t="s">
        <v>2508</v>
      </c>
      <c r="I910">
        <v>814</v>
      </c>
      <c r="J910" t="s">
        <v>3604</v>
      </c>
      <c r="K910">
        <v>10029</v>
      </c>
      <c r="L910" t="s">
        <v>3610</v>
      </c>
      <c r="M910" t="s">
        <v>3609</v>
      </c>
      <c r="O910" t="s">
        <v>4213</v>
      </c>
      <c r="P910" t="s">
        <v>4241</v>
      </c>
      <c r="R910" t="s">
        <v>4258</v>
      </c>
      <c r="S910" t="s">
        <v>3610</v>
      </c>
      <c r="U910" t="s">
        <v>4268</v>
      </c>
      <c r="V910" t="s">
        <v>4274</v>
      </c>
      <c r="W910" t="s">
        <v>242</v>
      </c>
      <c r="X910">
        <v>0</v>
      </c>
      <c r="Y910" t="s">
        <v>4351</v>
      </c>
      <c r="Z910" t="s">
        <v>4352</v>
      </c>
      <c r="AB910" t="s">
        <v>5110</v>
      </c>
      <c r="AE910">
        <v>108</v>
      </c>
      <c r="AF910" t="s">
        <v>7106</v>
      </c>
      <c r="AG910" t="s">
        <v>7116</v>
      </c>
      <c r="AH910">
        <v>2</v>
      </c>
      <c r="AI910">
        <v>1</v>
      </c>
      <c r="AJ910">
        <v>2</v>
      </c>
      <c r="AK910">
        <v>115.5</v>
      </c>
      <c r="AN910" t="s">
        <v>7138</v>
      </c>
      <c r="AO910">
        <v>24000</v>
      </c>
      <c r="AU910">
        <v>0.25</v>
      </c>
      <c r="AV910" t="s">
        <v>306</v>
      </c>
      <c r="AW910" t="s">
        <v>7341</v>
      </c>
      <c r="AX910" t="s">
        <v>7377</v>
      </c>
    </row>
    <row r="911" spans="1:50">
      <c r="A911" s="1">
        <f>HYPERLINK("https://lsnyc.legalserver.org/matter/dynamic-profile/view/1868131","18-1868131")</f>
        <v>0</v>
      </c>
      <c r="B911" t="s">
        <v>73</v>
      </c>
      <c r="C911" t="s">
        <v>104</v>
      </c>
      <c r="D911" t="s">
        <v>528</v>
      </c>
      <c r="E911" t="s">
        <v>137</v>
      </c>
      <c r="F911" t="s">
        <v>1194</v>
      </c>
      <c r="G911" t="s">
        <v>2060</v>
      </c>
      <c r="H911" t="s">
        <v>2938</v>
      </c>
      <c r="I911" t="s">
        <v>3318</v>
      </c>
      <c r="J911" t="s">
        <v>3604</v>
      </c>
      <c r="K911">
        <v>10033</v>
      </c>
      <c r="L911" t="s">
        <v>3610</v>
      </c>
      <c r="M911" t="s">
        <v>3610</v>
      </c>
      <c r="N911" t="s">
        <v>3929</v>
      </c>
      <c r="O911" t="s">
        <v>4210</v>
      </c>
      <c r="P911" t="s">
        <v>4242</v>
      </c>
      <c r="Q911" t="s">
        <v>4250</v>
      </c>
      <c r="R911" t="s">
        <v>4258</v>
      </c>
      <c r="S911" t="s">
        <v>3611</v>
      </c>
      <c r="U911" t="s">
        <v>4268</v>
      </c>
      <c r="W911" t="s">
        <v>528</v>
      </c>
      <c r="X911">
        <v>859</v>
      </c>
      <c r="Y911" t="s">
        <v>4351</v>
      </c>
      <c r="Z911" t="s">
        <v>4353</v>
      </c>
      <c r="AA911" t="s">
        <v>4373</v>
      </c>
      <c r="AB911" t="s">
        <v>5111</v>
      </c>
      <c r="AD911" t="s">
        <v>6484</v>
      </c>
      <c r="AE911">
        <v>184</v>
      </c>
      <c r="AF911" t="s">
        <v>7101</v>
      </c>
      <c r="AG911" t="s">
        <v>3745</v>
      </c>
      <c r="AH911">
        <v>41</v>
      </c>
      <c r="AI911">
        <v>1</v>
      </c>
      <c r="AJ911">
        <v>0</v>
      </c>
      <c r="AK911">
        <v>115.65</v>
      </c>
      <c r="AN911" t="s">
        <v>7138</v>
      </c>
      <c r="AO911">
        <v>14040</v>
      </c>
      <c r="AU911">
        <v>1.2</v>
      </c>
      <c r="AV911" t="s">
        <v>137</v>
      </c>
      <c r="AW911" t="s">
        <v>7350</v>
      </c>
    </row>
    <row r="912" spans="1:50">
      <c r="A912" s="1">
        <f>HYPERLINK("https://lsnyc.legalserver.org/matter/dynamic-profile/view/1841447","17-1841447")</f>
        <v>0</v>
      </c>
      <c r="B912" t="s">
        <v>61</v>
      </c>
      <c r="C912" t="s">
        <v>104</v>
      </c>
      <c r="D912" t="s">
        <v>380</v>
      </c>
      <c r="E912" t="s">
        <v>662</v>
      </c>
      <c r="F912" t="s">
        <v>933</v>
      </c>
      <c r="G912" t="s">
        <v>1589</v>
      </c>
      <c r="H912" t="s">
        <v>2741</v>
      </c>
      <c r="I912">
        <v>4</v>
      </c>
      <c r="J912" t="s">
        <v>3604</v>
      </c>
      <c r="K912">
        <v>10034</v>
      </c>
      <c r="L912" t="s">
        <v>3610</v>
      </c>
      <c r="M912" t="s">
        <v>3609</v>
      </c>
      <c r="N912" t="s">
        <v>3930</v>
      </c>
      <c r="O912" t="s">
        <v>4210</v>
      </c>
      <c r="P912" t="s">
        <v>4241</v>
      </c>
      <c r="Q912" t="s">
        <v>4248</v>
      </c>
      <c r="R912" t="s">
        <v>4258</v>
      </c>
      <c r="S912" t="s">
        <v>3611</v>
      </c>
      <c r="U912" t="s">
        <v>4268</v>
      </c>
      <c r="W912" t="s">
        <v>133</v>
      </c>
      <c r="X912">
        <v>942</v>
      </c>
      <c r="Y912" t="s">
        <v>4351</v>
      </c>
      <c r="Z912" t="s">
        <v>4354</v>
      </c>
      <c r="AA912" t="s">
        <v>4375</v>
      </c>
      <c r="AB912" t="s">
        <v>5112</v>
      </c>
      <c r="AD912" t="s">
        <v>6485</v>
      </c>
      <c r="AE912">
        <v>25</v>
      </c>
      <c r="AF912" t="s">
        <v>7101</v>
      </c>
      <c r="AG912" t="s">
        <v>3745</v>
      </c>
      <c r="AH912">
        <v>12</v>
      </c>
      <c r="AI912">
        <v>2</v>
      </c>
      <c r="AJ912">
        <v>1</v>
      </c>
      <c r="AK912">
        <v>116.12</v>
      </c>
      <c r="AN912" t="s">
        <v>7139</v>
      </c>
      <c r="AO912">
        <v>23712</v>
      </c>
      <c r="AU912">
        <v>39.7</v>
      </c>
      <c r="AV912" t="s">
        <v>377</v>
      </c>
      <c r="AW912" t="s">
        <v>7342</v>
      </c>
    </row>
    <row r="913" spans="1:50">
      <c r="A913" s="1">
        <f>HYPERLINK("https://lsnyc.legalserver.org/matter/dynamic-profile/view/1876981","18-1876981")</f>
        <v>0</v>
      </c>
      <c r="B913" t="s">
        <v>56</v>
      </c>
      <c r="C913" t="s">
        <v>104</v>
      </c>
      <c r="D913" t="s">
        <v>204</v>
      </c>
      <c r="E913" t="s">
        <v>669</v>
      </c>
      <c r="F913" t="s">
        <v>1195</v>
      </c>
      <c r="G913" t="s">
        <v>2061</v>
      </c>
      <c r="H913" t="s">
        <v>2939</v>
      </c>
      <c r="I913" t="s">
        <v>3474</v>
      </c>
      <c r="J913" t="s">
        <v>3604</v>
      </c>
      <c r="K913">
        <v>10034</v>
      </c>
      <c r="L913" t="s">
        <v>3610</v>
      </c>
      <c r="M913" t="s">
        <v>3610</v>
      </c>
      <c r="P913" t="s">
        <v>4245</v>
      </c>
      <c r="Q913" t="s">
        <v>4249</v>
      </c>
      <c r="R913" t="s">
        <v>4258</v>
      </c>
      <c r="S913" t="s">
        <v>3611</v>
      </c>
      <c r="U913" t="s">
        <v>4268</v>
      </c>
      <c r="W913" t="s">
        <v>204</v>
      </c>
      <c r="X913">
        <v>1140.53</v>
      </c>
      <c r="Y913" t="s">
        <v>4351</v>
      </c>
      <c r="Z913" t="s">
        <v>4354</v>
      </c>
      <c r="AA913" t="s">
        <v>4394</v>
      </c>
      <c r="AB913" t="s">
        <v>5113</v>
      </c>
      <c r="AE913">
        <v>101</v>
      </c>
      <c r="AF913" t="s">
        <v>7101</v>
      </c>
      <c r="AG913" t="s">
        <v>3745</v>
      </c>
      <c r="AH913">
        <v>9</v>
      </c>
      <c r="AI913">
        <v>2</v>
      </c>
      <c r="AJ913">
        <v>3</v>
      </c>
      <c r="AK913">
        <v>116.48</v>
      </c>
      <c r="AN913" t="s">
        <v>7139</v>
      </c>
      <c r="AO913">
        <v>34268</v>
      </c>
      <c r="AU913">
        <v>0.6</v>
      </c>
      <c r="AV913" t="s">
        <v>654</v>
      </c>
      <c r="AW913" t="s">
        <v>7342</v>
      </c>
    </row>
    <row r="914" spans="1:50">
      <c r="A914" s="1">
        <f>HYPERLINK("https://lsnyc.legalserver.org/matter/dynamic-profile/view/1903566","19-1903566")</f>
        <v>0</v>
      </c>
      <c r="B914" t="s">
        <v>60</v>
      </c>
      <c r="C914" t="s">
        <v>105</v>
      </c>
      <c r="D914" t="s">
        <v>529</v>
      </c>
      <c r="F914" t="s">
        <v>820</v>
      </c>
      <c r="G914" t="s">
        <v>1769</v>
      </c>
      <c r="H914" t="s">
        <v>2940</v>
      </c>
      <c r="I914">
        <v>21</v>
      </c>
      <c r="J914" t="s">
        <v>3604</v>
      </c>
      <c r="K914">
        <v>10034</v>
      </c>
      <c r="L914" t="s">
        <v>3610</v>
      </c>
      <c r="M914" t="s">
        <v>3609</v>
      </c>
      <c r="P914" t="s">
        <v>4246</v>
      </c>
      <c r="R914" t="s">
        <v>4258</v>
      </c>
      <c r="S914" t="s">
        <v>3610</v>
      </c>
      <c r="U914" t="s">
        <v>4268</v>
      </c>
      <c r="W914" t="s">
        <v>529</v>
      </c>
      <c r="X914">
        <v>1540</v>
      </c>
      <c r="Y914" t="s">
        <v>4351</v>
      </c>
      <c r="Z914" t="s">
        <v>4357</v>
      </c>
      <c r="AB914" t="s">
        <v>5114</v>
      </c>
      <c r="AD914" t="s">
        <v>6486</v>
      </c>
      <c r="AE914">
        <v>20</v>
      </c>
      <c r="AF914" t="s">
        <v>7101</v>
      </c>
      <c r="AG914" t="s">
        <v>3745</v>
      </c>
      <c r="AH914">
        <v>23</v>
      </c>
      <c r="AI914">
        <v>2</v>
      </c>
      <c r="AJ914">
        <v>2</v>
      </c>
      <c r="AK914">
        <v>116.5</v>
      </c>
      <c r="AN914" t="s">
        <v>7139</v>
      </c>
      <c r="AO914">
        <v>30000</v>
      </c>
      <c r="AU914">
        <v>0</v>
      </c>
      <c r="AW914" t="s">
        <v>7342</v>
      </c>
      <c r="AX914" t="s">
        <v>7377</v>
      </c>
    </row>
    <row r="915" spans="1:50">
      <c r="A915" s="1">
        <f>HYPERLINK("https://lsnyc.legalserver.org/matter/dynamic-profile/view/1901246","19-1901246")</f>
        <v>0</v>
      </c>
      <c r="B915" t="s">
        <v>75</v>
      </c>
      <c r="C915" t="s">
        <v>105</v>
      </c>
      <c r="D915" t="s">
        <v>426</v>
      </c>
      <c r="F915" t="s">
        <v>762</v>
      </c>
      <c r="G915" t="s">
        <v>2062</v>
      </c>
      <c r="H915" t="s">
        <v>2941</v>
      </c>
      <c r="I915" t="s">
        <v>3335</v>
      </c>
      <c r="J915" t="s">
        <v>3604</v>
      </c>
      <c r="K915">
        <v>10039</v>
      </c>
      <c r="L915" t="s">
        <v>3610</v>
      </c>
      <c r="M915" t="s">
        <v>3609</v>
      </c>
      <c r="N915" t="s">
        <v>3931</v>
      </c>
      <c r="O915" t="s">
        <v>4209</v>
      </c>
      <c r="P915" t="s">
        <v>4246</v>
      </c>
      <c r="R915" t="s">
        <v>4258</v>
      </c>
      <c r="S915" t="s">
        <v>3611</v>
      </c>
      <c r="U915" t="s">
        <v>4268</v>
      </c>
      <c r="W915" t="s">
        <v>426</v>
      </c>
      <c r="X915">
        <v>798</v>
      </c>
      <c r="Y915" t="s">
        <v>4351</v>
      </c>
      <c r="Z915" t="s">
        <v>4353</v>
      </c>
      <c r="AB915" t="s">
        <v>5115</v>
      </c>
      <c r="AC915" t="s">
        <v>5831</v>
      </c>
      <c r="AD915" t="s">
        <v>6487</v>
      </c>
      <c r="AE915">
        <v>0</v>
      </c>
      <c r="AF915" t="s">
        <v>7101</v>
      </c>
      <c r="AG915" t="s">
        <v>7118</v>
      </c>
      <c r="AH915">
        <v>25</v>
      </c>
      <c r="AI915">
        <v>1</v>
      </c>
      <c r="AJ915">
        <v>0</v>
      </c>
      <c r="AK915">
        <v>116.83</v>
      </c>
      <c r="AN915" t="s">
        <v>7138</v>
      </c>
      <c r="AO915">
        <v>14592</v>
      </c>
      <c r="AU915">
        <v>0.5</v>
      </c>
      <c r="AV915" t="s">
        <v>426</v>
      </c>
      <c r="AW915" t="s">
        <v>7347</v>
      </c>
      <c r="AX915" t="s">
        <v>7378</v>
      </c>
    </row>
    <row r="916" spans="1:50">
      <c r="A916" s="1">
        <f>HYPERLINK("https://lsnyc.legalserver.org/matter/dynamic-profile/view/1866290","18-1866290")</f>
        <v>0</v>
      </c>
      <c r="B916" t="s">
        <v>66</v>
      </c>
      <c r="C916" t="s">
        <v>104</v>
      </c>
      <c r="D916" t="s">
        <v>239</v>
      </c>
      <c r="E916" t="s">
        <v>209</v>
      </c>
      <c r="F916" t="s">
        <v>1196</v>
      </c>
      <c r="G916" t="s">
        <v>2063</v>
      </c>
      <c r="H916" t="s">
        <v>2942</v>
      </c>
      <c r="I916">
        <v>1</v>
      </c>
      <c r="J916" t="s">
        <v>3604</v>
      </c>
      <c r="K916">
        <v>10011</v>
      </c>
      <c r="L916" t="s">
        <v>3610</v>
      </c>
      <c r="M916" t="s">
        <v>3610</v>
      </c>
      <c r="N916" t="s">
        <v>3932</v>
      </c>
      <c r="O916" t="s">
        <v>4209</v>
      </c>
      <c r="P916" t="s">
        <v>4242</v>
      </c>
      <c r="Q916" t="s">
        <v>4250</v>
      </c>
      <c r="R916" t="s">
        <v>4258</v>
      </c>
      <c r="S916" t="s">
        <v>3611</v>
      </c>
      <c r="T916" t="s">
        <v>4259</v>
      </c>
      <c r="U916" t="s">
        <v>4268</v>
      </c>
      <c r="W916" t="s">
        <v>276</v>
      </c>
      <c r="X916">
        <v>4000</v>
      </c>
      <c r="Y916" t="s">
        <v>4351</v>
      </c>
      <c r="Z916" t="s">
        <v>4353</v>
      </c>
      <c r="AA916" t="s">
        <v>4373</v>
      </c>
      <c r="AB916" t="s">
        <v>5116</v>
      </c>
      <c r="AD916" t="s">
        <v>6488</v>
      </c>
      <c r="AE916">
        <v>0</v>
      </c>
      <c r="AF916" t="s">
        <v>7105</v>
      </c>
      <c r="AG916" t="s">
        <v>3745</v>
      </c>
      <c r="AH916">
        <v>9</v>
      </c>
      <c r="AI916">
        <v>1</v>
      </c>
      <c r="AJ916">
        <v>0</v>
      </c>
      <c r="AK916">
        <v>116.97</v>
      </c>
      <c r="AN916" t="s">
        <v>7138</v>
      </c>
      <c r="AO916">
        <v>14200</v>
      </c>
      <c r="AU916">
        <v>0.2</v>
      </c>
      <c r="AV916" t="s">
        <v>175</v>
      </c>
      <c r="AW916" t="s">
        <v>7350</v>
      </c>
    </row>
    <row r="917" spans="1:50">
      <c r="A917" s="1">
        <f>HYPERLINK("https://lsnyc.legalserver.org/matter/dynamic-profile/view/1845750","17-1845750")</f>
        <v>0</v>
      </c>
      <c r="B917" t="s">
        <v>53</v>
      </c>
      <c r="C917" t="s">
        <v>104</v>
      </c>
      <c r="D917" t="s">
        <v>367</v>
      </c>
      <c r="E917" t="s">
        <v>260</v>
      </c>
      <c r="F917" t="s">
        <v>1197</v>
      </c>
      <c r="G917" t="s">
        <v>1598</v>
      </c>
      <c r="H917" t="s">
        <v>2943</v>
      </c>
      <c r="I917" t="s">
        <v>3338</v>
      </c>
      <c r="J917" t="s">
        <v>3604</v>
      </c>
      <c r="K917">
        <v>10034</v>
      </c>
      <c r="L917" t="s">
        <v>3610</v>
      </c>
      <c r="M917" t="s">
        <v>3609</v>
      </c>
      <c r="N917" t="s">
        <v>3933</v>
      </c>
      <c r="O917" t="s">
        <v>4209</v>
      </c>
      <c r="P917" t="s">
        <v>4241</v>
      </c>
      <c r="Q917" t="s">
        <v>4248</v>
      </c>
      <c r="R917" t="s">
        <v>4258</v>
      </c>
      <c r="S917" t="s">
        <v>3611</v>
      </c>
      <c r="U917" t="s">
        <v>4268</v>
      </c>
      <c r="W917" t="s">
        <v>379</v>
      </c>
      <c r="X917">
        <v>915.87</v>
      </c>
      <c r="Y917" t="s">
        <v>4351</v>
      </c>
      <c r="Z917" t="s">
        <v>4354</v>
      </c>
      <c r="AA917" t="s">
        <v>4374</v>
      </c>
      <c r="AB917" t="s">
        <v>5117</v>
      </c>
      <c r="AD917" t="s">
        <v>6489</v>
      </c>
      <c r="AE917">
        <v>48</v>
      </c>
      <c r="AF917" t="s">
        <v>7101</v>
      </c>
      <c r="AG917" t="s">
        <v>7116</v>
      </c>
      <c r="AH917">
        <v>28</v>
      </c>
      <c r="AI917">
        <v>2</v>
      </c>
      <c r="AJ917">
        <v>0</v>
      </c>
      <c r="AK917">
        <v>117</v>
      </c>
      <c r="AN917" t="s">
        <v>7139</v>
      </c>
      <c r="AO917">
        <v>19000</v>
      </c>
      <c r="AU917">
        <v>21.8</v>
      </c>
      <c r="AV917" t="s">
        <v>158</v>
      </c>
      <c r="AW917" t="s">
        <v>7342</v>
      </c>
    </row>
    <row r="918" spans="1:50">
      <c r="A918" s="1">
        <f>HYPERLINK("https://lsnyc.legalserver.org/matter/dynamic-profile/view/1836743","17-1836743")</f>
        <v>0</v>
      </c>
      <c r="B918" t="s">
        <v>64</v>
      </c>
      <c r="C918" t="s">
        <v>105</v>
      </c>
      <c r="D918" t="s">
        <v>524</v>
      </c>
      <c r="F918" t="s">
        <v>1198</v>
      </c>
      <c r="G918" t="s">
        <v>1845</v>
      </c>
      <c r="H918" t="s">
        <v>2642</v>
      </c>
      <c r="I918" t="s">
        <v>3475</v>
      </c>
      <c r="J918" t="s">
        <v>3604</v>
      </c>
      <c r="K918">
        <v>10034</v>
      </c>
      <c r="L918" t="s">
        <v>3610</v>
      </c>
      <c r="M918" t="s">
        <v>3609</v>
      </c>
      <c r="O918" t="s">
        <v>4211</v>
      </c>
      <c r="P918" t="s">
        <v>4244</v>
      </c>
      <c r="R918" t="s">
        <v>4258</v>
      </c>
      <c r="S918" t="s">
        <v>3610</v>
      </c>
      <c r="U918" t="s">
        <v>4268</v>
      </c>
      <c r="W918" t="s">
        <v>4282</v>
      </c>
      <c r="X918">
        <v>1225</v>
      </c>
      <c r="Y918" t="s">
        <v>4351</v>
      </c>
      <c r="Z918" t="s">
        <v>4352</v>
      </c>
      <c r="AB918" t="s">
        <v>5118</v>
      </c>
      <c r="AD918" t="s">
        <v>6490</v>
      </c>
      <c r="AE918">
        <v>50</v>
      </c>
      <c r="AF918" t="s">
        <v>7101</v>
      </c>
      <c r="AG918" t="s">
        <v>3745</v>
      </c>
      <c r="AH918">
        <v>24</v>
      </c>
      <c r="AI918">
        <v>3</v>
      </c>
      <c r="AJ918">
        <v>0</v>
      </c>
      <c r="AK918">
        <v>117.06</v>
      </c>
      <c r="AN918" t="s">
        <v>7139</v>
      </c>
      <c r="AO918">
        <v>23904</v>
      </c>
      <c r="AU918">
        <v>1.3</v>
      </c>
      <c r="AV918" t="s">
        <v>335</v>
      </c>
      <c r="AW918" t="s">
        <v>7341</v>
      </c>
    </row>
    <row r="919" spans="1:50">
      <c r="A919" s="1">
        <f>HYPERLINK("https://lsnyc.legalserver.org/matter/dynamic-profile/view/1871492","18-1871492")</f>
        <v>0</v>
      </c>
      <c r="B919" t="s">
        <v>56</v>
      </c>
      <c r="C919" t="s">
        <v>104</v>
      </c>
      <c r="D919" t="s">
        <v>119</v>
      </c>
      <c r="E919" t="s">
        <v>669</v>
      </c>
      <c r="F919" t="s">
        <v>1199</v>
      </c>
      <c r="G919" t="s">
        <v>1604</v>
      </c>
      <c r="H919" t="s">
        <v>2944</v>
      </c>
      <c r="I919">
        <v>4</v>
      </c>
      <c r="J919" t="s">
        <v>3604</v>
      </c>
      <c r="K919">
        <v>10032</v>
      </c>
      <c r="L919" t="s">
        <v>3610</v>
      </c>
      <c r="M919" t="s">
        <v>3610</v>
      </c>
      <c r="O919" t="s">
        <v>4210</v>
      </c>
      <c r="P919" t="s">
        <v>4241</v>
      </c>
      <c r="Q919" t="s">
        <v>4248</v>
      </c>
      <c r="R919" t="s">
        <v>4258</v>
      </c>
      <c r="S919" t="s">
        <v>3611</v>
      </c>
      <c r="U919" t="s">
        <v>4268</v>
      </c>
      <c r="W919" t="s">
        <v>119</v>
      </c>
      <c r="X919">
        <v>1106.71</v>
      </c>
      <c r="Y919" t="s">
        <v>4351</v>
      </c>
      <c r="Z919" t="s">
        <v>4359</v>
      </c>
      <c r="AA919" t="s">
        <v>4374</v>
      </c>
      <c r="AB919" t="s">
        <v>5119</v>
      </c>
      <c r="AD919" t="s">
        <v>6491</v>
      </c>
      <c r="AE919">
        <v>39</v>
      </c>
      <c r="AF919" t="s">
        <v>7101</v>
      </c>
      <c r="AG919" t="s">
        <v>3745</v>
      </c>
      <c r="AH919">
        <v>38</v>
      </c>
      <c r="AI919">
        <v>2</v>
      </c>
      <c r="AJ919">
        <v>0</v>
      </c>
      <c r="AK919">
        <v>117.08</v>
      </c>
      <c r="AN919" t="s">
        <v>7139</v>
      </c>
      <c r="AO919">
        <v>19272</v>
      </c>
      <c r="AU919">
        <v>40.35</v>
      </c>
      <c r="AV919" t="s">
        <v>669</v>
      </c>
      <c r="AW919" t="s">
        <v>7342</v>
      </c>
    </row>
    <row r="920" spans="1:50">
      <c r="A920" s="1">
        <f>HYPERLINK("https://lsnyc.legalserver.org/matter/dynamic-profile/view/1840052","17-1840052")</f>
        <v>0</v>
      </c>
      <c r="B920" t="s">
        <v>53</v>
      </c>
      <c r="C920" t="s">
        <v>104</v>
      </c>
      <c r="D920" t="s">
        <v>268</v>
      </c>
      <c r="E920" t="s">
        <v>548</v>
      </c>
      <c r="F920" t="s">
        <v>952</v>
      </c>
      <c r="G920" t="s">
        <v>1956</v>
      </c>
      <c r="H920" t="s">
        <v>2833</v>
      </c>
      <c r="I920">
        <v>2</v>
      </c>
      <c r="J920" t="s">
        <v>3604</v>
      </c>
      <c r="K920">
        <v>10040</v>
      </c>
      <c r="L920" t="s">
        <v>3610</v>
      </c>
      <c r="M920" t="s">
        <v>3609</v>
      </c>
      <c r="N920" t="s">
        <v>3883</v>
      </c>
      <c r="O920" t="s">
        <v>4213</v>
      </c>
      <c r="P920" t="s">
        <v>4241</v>
      </c>
      <c r="Q920" t="s">
        <v>4248</v>
      </c>
      <c r="R920" t="s">
        <v>4258</v>
      </c>
      <c r="S920" t="s">
        <v>3610</v>
      </c>
      <c r="U920" t="s">
        <v>4268</v>
      </c>
      <c r="W920" t="s">
        <v>379</v>
      </c>
      <c r="X920">
        <v>780</v>
      </c>
      <c r="Y920" t="s">
        <v>4351</v>
      </c>
      <c r="Z920" t="s">
        <v>4352</v>
      </c>
      <c r="AA920" t="s">
        <v>4379</v>
      </c>
      <c r="AB920" t="s">
        <v>4915</v>
      </c>
      <c r="AD920" t="s">
        <v>6298</v>
      </c>
      <c r="AE920">
        <v>45</v>
      </c>
      <c r="AF920" t="s">
        <v>7101</v>
      </c>
      <c r="AG920" t="s">
        <v>3745</v>
      </c>
      <c r="AH920">
        <v>20</v>
      </c>
      <c r="AI920">
        <v>3</v>
      </c>
      <c r="AJ920">
        <v>0</v>
      </c>
      <c r="AK920">
        <v>117.1</v>
      </c>
      <c r="AL920" t="s">
        <v>183</v>
      </c>
      <c r="AN920" t="s">
        <v>7139</v>
      </c>
      <c r="AO920">
        <v>23912</v>
      </c>
      <c r="AQ920" t="s">
        <v>7197</v>
      </c>
      <c r="AR920" t="s">
        <v>7220</v>
      </c>
      <c r="AS920" t="s">
        <v>7231</v>
      </c>
      <c r="AT920" t="s">
        <v>7260</v>
      </c>
      <c r="AU920">
        <v>1.8</v>
      </c>
      <c r="AV920" t="s">
        <v>548</v>
      </c>
      <c r="AW920" t="s">
        <v>7342</v>
      </c>
    </row>
    <row r="921" spans="1:50">
      <c r="A921" s="1">
        <f>HYPERLINK("https://lsnyc.legalserver.org/matter/dynamic-profile/view/1895050","19-1895050")</f>
        <v>0</v>
      </c>
      <c r="B921" t="s">
        <v>53</v>
      </c>
      <c r="C921" t="s">
        <v>104</v>
      </c>
      <c r="D921" t="s">
        <v>530</v>
      </c>
      <c r="E921" t="s">
        <v>667</v>
      </c>
      <c r="F921" t="s">
        <v>1094</v>
      </c>
      <c r="G921" t="s">
        <v>2064</v>
      </c>
      <c r="H921" t="s">
        <v>2600</v>
      </c>
      <c r="I921" t="s">
        <v>3476</v>
      </c>
      <c r="J921" t="s">
        <v>3604</v>
      </c>
      <c r="K921">
        <v>10029</v>
      </c>
      <c r="L921" t="s">
        <v>3610</v>
      </c>
      <c r="M921" t="s">
        <v>3610</v>
      </c>
      <c r="N921" t="s">
        <v>3934</v>
      </c>
      <c r="O921" t="s">
        <v>4210</v>
      </c>
      <c r="P921" t="s">
        <v>4242</v>
      </c>
      <c r="Q921" t="s">
        <v>4250</v>
      </c>
      <c r="R921" t="s">
        <v>4258</v>
      </c>
      <c r="S921" t="s">
        <v>3611</v>
      </c>
      <c r="U921" t="s">
        <v>4268</v>
      </c>
      <c r="V921" t="s">
        <v>4274</v>
      </c>
      <c r="W921" t="s">
        <v>674</v>
      </c>
      <c r="X921">
        <v>2210</v>
      </c>
      <c r="Y921" t="s">
        <v>4351</v>
      </c>
      <c r="Z921" t="s">
        <v>4360</v>
      </c>
      <c r="AA921" t="s">
        <v>4373</v>
      </c>
      <c r="AB921" t="s">
        <v>5120</v>
      </c>
      <c r="AC921" t="s">
        <v>5832</v>
      </c>
      <c r="AD921" t="s">
        <v>6492</v>
      </c>
      <c r="AE921">
        <v>130</v>
      </c>
      <c r="AF921" t="s">
        <v>7103</v>
      </c>
      <c r="AG921" t="s">
        <v>7116</v>
      </c>
      <c r="AH921">
        <v>30</v>
      </c>
      <c r="AI921">
        <v>2</v>
      </c>
      <c r="AJ921">
        <v>0</v>
      </c>
      <c r="AK921">
        <v>117.16</v>
      </c>
      <c r="AN921" t="s">
        <v>7138</v>
      </c>
      <c r="AO921">
        <v>19812</v>
      </c>
      <c r="AU921">
        <v>6.3</v>
      </c>
      <c r="AV921" t="s">
        <v>131</v>
      </c>
      <c r="AW921" t="s">
        <v>7357</v>
      </c>
      <c r="AX921" t="s">
        <v>7377</v>
      </c>
    </row>
    <row r="922" spans="1:50">
      <c r="A922" s="1">
        <f>HYPERLINK("https://lsnyc.legalserver.org/matter/dynamic-profile/view/1834387","17-1834387")</f>
        <v>0</v>
      </c>
      <c r="B922" t="s">
        <v>59</v>
      </c>
      <c r="C922" t="s">
        <v>104</v>
      </c>
      <c r="D922" t="s">
        <v>191</v>
      </c>
      <c r="E922" t="s">
        <v>512</v>
      </c>
      <c r="F922" t="s">
        <v>987</v>
      </c>
      <c r="G922" t="s">
        <v>2065</v>
      </c>
      <c r="H922" t="s">
        <v>2945</v>
      </c>
      <c r="I922">
        <v>56</v>
      </c>
      <c r="J922" t="s">
        <v>3604</v>
      </c>
      <c r="K922">
        <v>10031</v>
      </c>
      <c r="L922" t="s">
        <v>3610</v>
      </c>
      <c r="M922" t="s">
        <v>3609</v>
      </c>
      <c r="N922" t="s">
        <v>3935</v>
      </c>
      <c r="O922" t="s">
        <v>4209</v>
      </c>
      <c r="P922" t="s">
        <v>4241</v>
      </c>
      <c r="Q922" t="s">
        <v>4248</v>
      </c>
      <c r="R922" t="s">
        <v>4258</v>
      </c>
      <c r="S922" t="s">
        <v>3611</v>
      </c>
      <c r="U922" t="s">
        <v>4268</v>
      </c>
      <c r="W922" t="s">
        <v>278</v>
      </c>
      <c r="X922">
        <v>228.44</v>
      </c>
      <c r="Y922" t="s">
        <v>4351</v>
      </c>
      <c r="AA922" t="s">
        <v>4374</v>
      </c>
      <c r="AB922" t="s">
        <v>5121</v>
      </c>
      <c r="AD922" t="s">
        <v>6493</v>
      </c>
      <c r="AE922">
        <v>0</v>
      </c>
      <c r="AF922" t="s">
        <v>7104</v>
      </c>
      <c r="AG922" t="s">
        <v>7118</v>
      </c>
      <c r="AH922">
        <v>0</v>
      </c>
      <c r="AI922">
        <v>1</v>
      </c>
      <c r="AJ922">
        <v>0</v>
      </c>
      <c r="AK922">
        <v>117.21</v>
      </c>
      <c r="AN922" t="s">
        <v>7139</v>
      </c>
      <c r="AO922">
        <v>14136</v>
      </c>
      <c r="AU922">
        <v>34.48</v>
      </c>
      <c r="AV922" t="s">
        <v>113</v>
      </c>
      <c r="AW922" t="s">
        <v>7345</v>
      </c>
      <c r="AX922" t="s">
        <v>7377</v>
      </c>
    </row>
    <row r="923" spans="1:50">
      <c r="A923" s="1">
        <f>HYPERLINK("https://lsnyc.legalserver.org/matter/dynamic-profile/view/1867164","18-1867164")</f>
        <v>0</v>
      </c>
      <c r="B923" t="s">
        <v>56</v>
      </c>
      <c r="C923" t="s">
        <v>104</v>
      </c>
      <c r="D923" t="s">
        <v>240</v>
      </c>
      <c r="E923" t="s">
        <v>671</v>
      </c>
      <c r="F923" t="s">
        <v>763</v>
      </c>
      <c r="G923" t="s">
        <v>1709</v>
      </c>
      <c r="H923" t="s">
        <v>2946</v>
      </c>
      <c r="J923" t="s">
        <v>3604</v>
      </c>
      <c r="K923">
        <v>10033</v>
      </c>
      <c r="L923" t="s">
        <v>3610</v>
      </c>
      <c r="M923" t="s">
        <v>3609</v>
      </c>
      <c r="P923" t="s">
        <v>4245</v>
      </c>
      <c r="Q923" t="s">
        <v>4249</v>
      </c>
      <c r="R923" t="s">
        <v>4258</v>
      </c>
      <c r="S923" t="s">
        <v>3611</v>
      </c>
      <c r="U923" t="s">
        <v>4268</v>
      </c>
      <c r="W923" t="s">
        <v>240</v>
      </c>
      <c r="X923">
        <v>700</v>
      </c>
      <c r="Y923" t="s">
        <v>4351</v>
      </c>
      <c r="Z923" t="s">
        <v>4354</v>
      </c>
      <c r="AA923" t="s">
        <v>4377</v>
      </c>
      <c r="AB923" t="s">
        <v>5122</v>
      </c>
      <c r="AD923" t="s">
        <v>6494</v>
      </c>
      <c r="AE923">
        <v>0</v>
      </c>
      <c r="AF923" t="s">
        <v>7101</v>
      </c>
      <c r="AG923" t="s">
        <v>3745</v>
      </c>
      <c r="AH923">
        <v>3</v>
      </c>
      <c r="AI923">
        <v>1</v>
      </c>
      <c r="AJ923">
        <v>0</v>
      </c>
      <c r="AK923">
        <v>117.73</v>
      </c>
      <c r="AN923" t="s">
        <v>7138</v>
      </c>
      <c r="AO923">
        <v>14292</v>
      </c>
      <c r="AU923">
        <v>11.05</v>
      </c>
      <c r="AV923" t="s">
        <v>4290</v>
      </c>
      <c r="AW923" t="s">
        <v>7342</v>
      </c>
      <c r="AX923" t="s">
        <v>7377</v>
      </c>
    </row>
    <row r="924" spans="1:50">
      <c r="A924" s="1">
        <f>HYPERLINK("https://lsnyc.legalserver.org/matter/dynamic-profile/view/1870088","18-1870088")</f>
        <v>0</v>
      </c>
      <c r="B924" t="s">
        <v>69</v>
      </c>
      <c r="C924" t="s">
        <v>105</v>
      </c>
      <c r="D924" t="s">
        <v>531</v>
      </c>
      <c r="F924" t="s">
        <v>786</v>
      </c>
      <c r="G924" t="s">
        <v>2066</v>
      </c>
      <c r="H924" t="s">
        <v>2947</v>
      </c>
      <c r="I924" t="s">
        <v>3286</v>
      </c>
      <c r="J924" t="s">
        <v>3604</v>
      </c>
      <c r="K924">
        <v>10035</v>
      </c>
      <c r="L924" t="s">
        <v>3610</v>
      </c>
      <c r="M924" t="s">
        <v>3610</v>
      </c>
      <c r="N924" t="s">
        <v>3936</v>
      </c>
      <c r="O924" t="s">
        <v>4210</v>
      </c>
      <c r="P924" t="s">
        <v>4241</v>
      </c>
      <c r="R924" t="s">
        <v>4258</v>
      </c>
      <c r="S924" t="s">
        <v>3611</v>
      </c>
      <c r="U924" t="s">
        <v>4268</v>
      </c>
      <c r="V924" t="s">
        <v>4274</v>
      </c>
      <c r="W924" t="s">
        <v>212</v>
      </c>
      <c r="X924">
        <v>650</v>
      </c>
      <c r="Y924" t="s">
        <v>4351</v>
      </c>
      <c r="Z924" t="s">
        <v>4367</v>
      </c>
      <c r="AB924" t="s">
        <v>5123</v>
      </c>
      <c r="AD924" t="s">
        <v>6495</v>
      </c>
      <c r="AE924">
        <v>30</v>
      </c>
      <c r="AF924" t="s">
        <v>7105</v>
      </c>
      <c r="AG924" t="s">
        <v>3745</v>
      </c>
      <c r="AH924">
        <v>22</v>
      </c>
      <c r="AI924">
        <v>3</v>
      </c>
      <c r="AJ924">
        <v>1</v>
      </c>
      <c r="AK924">
        <v>117.77</v>
      </c>
      <c r="AN924" t="s">
        <v>7138</v>
      </c>
      <c r="AO924">
        <v>29560</v>
      </c>
      <c r="AU924">
        <v>43.1</v>
      </c>
      <c r="AV924" t="s">
        <v>666</v>
      </c>
      <c r="AW924" t="s">
        <v>7360</v>
      </c>
      <c r="AX924" t="s">
        <v>7377</v>
      </c>
    </row>
    <row r="925" spans="1:50">
      <c r="A925" s="1">
        <f>HYPERLINK("https://lsnyc.legalserver.org/matter/dynamic-profile/view/0830528","17-0830528")</f>
        <v>0</v>
      </c>
      <c r="B925" t="s">
        <v>56</v>
      </c>
      <c r="C925" t="s">
        <v>105</v>
      </c>
      <c r="D925" t="s">
        <v>317</v>
      </c>
      <c r="F925" t="s">
        <v>1108</v>
      </c>
      <c r="G925" t="s">
        <v>1913</v>
      </c>
      <c r="H925" t="s">
        <v>2534</v>
      </c>
      <c r="I925" t="s">
        <v>3345</v>
      </c>
      <c r="J925" t="s">
        <v>3604</v>
      </c>
      <c r="K925">
        <v>10040</v>
      </c>
      <c r="L925" t="s">
        <v>3609</v>
      </c>
      <c r="M925" t="s">
        <v>3609</v>
      </c>
      <c r="O925" t="s">
        <v>4211</v>
      </c>
      <c r="P925" t="s">
        <v>4241</v>
      </c>
      <c r="R925" t="s">
        <v>4258</v>
      </c>
      <c r="S925" t="s">
        <v>3611</v>
      </c>
      <c r="U925" t="s">
        <v>4268</v>
      </c>
      <c r="W925" t="s">
        <v>355</v>
      </c>
      <c r="X925">
        <v>1045.94</v>
      </c>
      <c r="Y925" t="s">
        <v>4351</v>
      </c>
      <c r="Z925" t="s">
        <v>4352</v>
      </c>
      <c r="AB925" t="s">
        <v>4962</v>
      </c>
      <c r="AD925" t="s">
        <v>6339</v>
      </c>
      <c r="AE925">
        <v>0</v>
      </c>
      <c r="AG925" t="s">
        <v>3745</v>
      </c>
      <c r="AH925">
        <v>36</v>
      </c>
      <c r="AI925">
        <v>2</v>
      </c>
      <c r="AJ925">
        <v>0</v>
      </c>
      <c r="AK925">
        <v>118</v>
      </c>
      <c r="AN925" t="s">
        <v>7139</v>
      </c>
      <c r="AO925">
        <v>19164</v>
      </c>
      <c r="AU925">
        <v>171.35</v>
      </c>
      <c r="AV925" t="s">
        <v>683</v>
      </c>
      <c r="AW925" t="s">
        <v>7341</v>
      </c>
    </row>
    <row r="926" spans="1:50">
      <c r="A926" s="1">
        <f>HYPERLINK("https://lsnyc.legalserver.org/matter/dynamic-profile/view/1864516","18-1864516")</f>
        <v>0</v>
      </c>
      <c r="B926" t="s">
        <v>53</v>
      </c>
      <c r="C926" t="s">
        <v>105</v>
      </c>
      <c r="D926" t="s">
        <v>157</v>
      </c>
      <c r="F926" t="s">
        <v>1200</v>
      </c>
      <c r="G926" t="s">
        <v>1904</v>
      </c>
      <c r="H926" t="s">
        <v>2508</v>
      </c>
      <c r="I926">
        <v>407</v>
      </c>
      <c r="J926" t="s">
        <v>3604</v>
      </c>
      <c r="K926">
        <v>10029</v>
      </c>
      <c r="L926" t="s">
        <v>3610</v>
      </c>
      <c r="M926" t="s">
        <v>3610</v>
      </c>
      <c r="N926" t="s">
        <v>3642</v>
      </c>
      <c r="O926" t="s">
        <v>4213</v>
      </c>
      <c r="P926" t="s">
        <v>4241</v>
      </c>
      <c r="R926" t="s">
        <v>4258</v>
      </c>
      <c r="S926" t="s">
        <v>3610</v>
      </c>
      <c r="U926" t="s">
        <v>4268</v>
      </c>
      <c r="V926" t="s">
        <v>4274</v>
      </c>
      <c r="W926" t="s">
        <v>157</v>
      </c>
      <c r="X926">
        <v>0</v>
      </c>
      <c r="Y926" t="s">
        <v>4351</v>
      </c>
      <c r="Z926" t="s">
        <v>4352</v>
      </c>
      <c r="AB926" t="s">
        <v>5124</v>
      </c>
      <c r="AD926" t="s">
        <v>6496</v>
      </c>
      <c r="AE926">
        <v>108</v>
      </c>
      <c r="AF926" t="s">
        <v>7106</v>
      </c>
      <c r="AG926" t="s">
        <v>7116</v>
      </c>
      <c r="AH926">
        <v>12</v>
      </c>
      <c r="AI926">
        <v>1</v>
      </c>
      <c r="AJ926">
        <v>1</v>
      </c>
      <c r="AK926">
        <v>118.1</v>
      </c>
      <c r="AN926" t="s">
        <v>7138</v>
      </c>
      <c r="AO926">
        <v>19440</v>
      </c>
      <c r="AU926">
        <v>0.1</v>
      </c>
      <c r="AV926" t="s">
        <v>517</v>
      </c>
      <c r="AW926" t="s">
        <v>7341</v>
      </c>
    </row>
    <row r="927" spans="1:50">
      <c r="A927" s="1">
        <f>HYPERLINK("https://lsnyc.legalserver.org/matter/dynamic-profile/view/1867765","18-1867765")</f>
        <v>0</v>
      </c>
      <c r="B927" t="s">
        <v>80</v>
      </c>
      <c r="C927" t="s">
        <v>105</v>
      </c>
      <c r="D927" t="s">
        <v>106</v>
      </c>
      <c r="F927" t="s">
        <v>1201</v>
      </c>
      <c r="G927" t="s">
        <v>1715</v>
      </c>
      <c r="H927" t="s">
        <v>2948</v>
      </c>
      <c r="I927" t="s">
        <v>3338</v>
      </c>
      <c r="J927" t="s">
        <v>3604</v>
      </c>
      <c r="K927">
        <v>10030</v>
      </c>
      <c r="L927" t="s">
        <v>3609</v>
      </c>
      <c r="M927" t="s">
        <v>3609</v>
      </c>
      <c r="R927" t="s">
        <v>4258</v>
      </c>
      <c r="U927" t="s">
        <v>4268</v>
      </c>
      <c r="X927">
        <v>0</v>
      </c>
      <c r="Y927" t="s">
        <v>4351</v>
      </c>
      <c r="AB927" t="s">
        <v>5125</v>
      </c>
      <c r="AD927" t="s">
        <v>6497</v>
      </c>
      <c r="AE927">
        <v>0</v>
      </c>
      <c r="AH927">
        <v>0</v>
      </c>
      <c r="AI927">
        <v>1</v>
      </c>
      <c r="AJ927">
        <v>1</v>
      </c>
      <c r="AK927">
        <v>118.47</v>
      </c>
      <c r="AN927" t="s">
        <v>7138</v>
      </c>
      <c r="AO927">
        <v>19500</v>
      </c>
      <c r="AU927">
        <v>1.2</v>
      </c>
      <c r="AV927" t="s">
        <v>108</v>
      </c>
      <c r="AW927" t="s">
        <v>7340</v>
      </c>
    </row>
    <row r="928" spans="1:50">
      <c r="A928" s="1">
        <f>HYPERLINK("https://lsnyc.legalserver.org/matter/dynamic-profile/view/1834601","17-1834601")</f>
        <v>0</v>
      </c>
      <c r="B928" t="s">
        <v>63</v>
      </c>
      <c r="C928" t="s">
        <v>104</v>
      </c>
      <c r="D928" t="s">
        <v>308</v>
      </c>
      <c r="E928" t="s">
        <v>553</v>
      </c>
      <c r="F928" t="s">
        <v>1172</v>
      </c>
      <c r="G928" t="s">
        <v>1775</v>
      </c>
      <c r="H928" t="s">
        <v>2949</v>
      </c>
      <c r="I928">
        <v>5</v>
      </c>
      <c r="J928" t="s">
        <v>3604</v>
      </c>
      <c r="K928">
        <v>10034</v>
      </c>
      <c r="L928" t="s">
        <v>3610</v>
      </c>
      <c r="M928" t="s">
        <v>3609</v>
      </c>
      <c r="O928" t="s">
        <v>4225</v>
      </c>
      <c r="P928" t="s">
        <v>4241</v>
      </c>
      <c r="Q928" t="s">
        <v>4254</v>
      </c>
      <c r="R928" t="s">
        <v>4258</v>
      </c>
      <c r="S928" t="s">
        <v>3610</v>
      </c>
      <c r="U928" t="s">
        <v>4268</v>
      </c>
      <c r="W928" t="s">
        <v>524</v>
      </c>
      <c r="X928">
        <v>818.23</v>
      </c>
      <c r="Y928" t="s">
        <v>4351</v>
      </c>
      <c r="Z928" t="s">
        <v>4352</v>
      </c>
      <c r="AA928" t="s">
        <v>4386</v>
      </c>
      <c r="AB928" t="s">
        <v>5071</v>
      </c>
      <c r="AD928" t="s">
        <v>6446</v>
      </c>
      <c r="AE928">
        <v>126</v>
      </c>
      <c r="AF928" t="s">
        <v>7101</v>
      </c>
      <c r="AG928" t="s">
        <v>7122</v>
      </c>
      <c r="AH928">
        <v>44</v>
      </c>
      <c r="AI928">
        <v>2</v>
      </c>
      <c r="AJ928">
        <v>0</v>
      </c>
      <c r="AK928">
        <v>118.52</v>
      </c>
      <c r="AN928" t="s">
        <v>7138</v>
      </c>
      <c r="AO928">
        <v>19248</v>
      </c>
      <c r="AU928">
        <v>6.6</v>
      </c>
      <c r="AV928" t="s">
        <v>7322</v>
      </c>
      <c r="AW928" t="s">
        <v>7341</v>
      </c>
    </row>
    <row r="929" spans="1:49">
      <c r="A929" s="1">
        <f>HYPERLINK("https://lsnyc.legalserver.org/matter/dynamic-profile/view/1846641","17-1846641")</f>
        <v>0</v>
      </c>
      <c r="B929" t="s">
        <v>62</v>
      </c>
      <c r="C929" t="s">
        <v>105</v>
      </c>
      <c r="D929" t="s">
        <v>406</v>
      </c>
      <c r="F929" t="s">
        <v>763</v>
      </c>
      <c r="G929" t="s">
        <v>1594</v>
      </c>
      <c r="H929" t="s">
        <v>2712</v>
      </c>
      <c r="I929" t="s">
        <v>3287</v>
      </c>
      <c r="J929" t="s">
        <v>3604</v>
      </c>
      <c r="K929">
        <v>10040</v>
      </c>
      <c r="L929" t="s">
        <v>3610</v>
      </c>
      <c r="M929" t="s">
        <v>3609</v>
      </c>
      <c r="O929" t="s">
        <v>4213</v>
      </c>
      <c r="P929" t="s">
        <v>4241</v>
      </c>
      <c r="R929" t="s">
        <v>4258</v>
      </c>
      <c r="S929" t="s">
        <v>3611</v>
      </c>
      <c r="U929" t="s">
        <v>4268</v>
      </c>
      <c r="W929" t="s">
        <v>406</v>
      </c>
      <c r="X929">
        <v>1447</v>
      </c>
      <c r="Y929" t="s">
        <v>4351</v>
      </c>
      <c r="Z929" t="s">
        <v>4354</v>
      </c>
      <c r="AB929" t="s">
        <v>5126</v>
      </c>
      <c r="AD929" t="s">
        <v>6498</v>
      </c>
      <c r="AE929">
        <v>42</v>
      </c>
      <c r="AF929" t="s">
        <v>7101</v>
      </c>
      <c r="AG929" t="s">
        <v>7116</v>
      </c>
      <c r="AH929">
        <v>24</v>
      </c>
      <c r="AI929">
        <v>1</v>
      </c>
      <c r="AJ929">
        <v>0</v>
      </c>
      <c r="AK929">
        <v>118.57</v>
      </c>
      <c r="AL929" t="s">
        <v>183</v>
      </c>
      <c r="AN929" t="s">
        <v>7139</v>
      </c>
      <c r="AO929">
        <v>14300</v>
      </c>
      <c r="AU929">
        <v>3</v>
      </c>
      <c r="AV929" t="s">
        <v>426</v>
      </c>
      <c r="AW929" t="s">
        <v>7342</v>
      </c>
    </row>
    <row r="930" spans="1:49">
      <c r="A930" s="1">
        <f>HYPERLINK("https://lsnyc.legalserver.org/matter/dynamic-profile/view/1846631","17-1846631")</f>
        <v>0</v>
      </c>
      <c r="B930" t="s">
        <v>53</v>
      </c>
      <c r="C930" t="s">
        <v>104</v>
      </c>
      <c r="D930" t="s">
        <v>406</v>
      </c>
      <c r="E930" t="s">
        <v>335</v>
      </c>
      <c r="F930" t="s">
        <v>763</v>
      </c>
      <c r="G930" t="s">
        <v>1594</v>
      </c>
      <c r="H930" t="s">
        <v>2712</v>
      </c>
      <c r="I930" t="s">
        <v>3287</v>
      </c>
      <c r="J930" t="s">
        <v>3604</v>
      </c>
      <c r="K930">
        <v>10040</v>
      </c>
      <c r="L930" t="s">
        <v>3610</v>
      </c>
      <c r="M930" t="s">
        <v>3610</v>
      </c>
      <c r="N930" t="s">
        <v>3937</v>
      </c>
      <c r="O930" t="s">
        <v>4209</v>
      </c>
      <c r="P930" t="s">
        <v>4241</v>
      </c>
      <c r="Q930" t="s">
        <v>4248</v>
      </c>
      <c r="R930" t="s">
        <v>4258</v>
      </c>
      <c r="S930" t="s">
        <v>3611</v>
      </c>
      <c r="U930" t="s">
        <v>4268</v>
      </c>
      <c r="V930" t="s">
        <v>4274</v>
      </c>
      <c r="W930" t="s">
        <v>406</v>
      </c>
      <c r="X930">
        <v>1568.78</v>
      </c>
      <c r="Y930" t="s">
        <v>4351</v>
      </c>
      <c r="Z930" t="s">
        <v>4354</v>
      </c>
      <c r="AA930" t="s">
        <v>4374</v>
      </c>
      <c r="AB930" t="s">
        <v>5126</v>
      </c>
      <c r="AD930" t="s">
        <v>6498</v>
      </c>
      <c r="AE930">
        <v>42</v>
      </c>
      <c r="AF930" t="s">
        <v>7101</v>
      </c>
      <c r="AG930" t="s">
        <v>7116</v>
      </c>
      <c r="AH930">
        <v>24</v>
      </c>
      <c r="AI930">
        <v>1</v>
      </c>
      <c r="AJ930">
        <v>0</v>
      </c>
      <c r="AK930">
        <v>118.57</v>
      </c>
      <c r="AL930" t="s">
        <v>183</v>
      </c>
      <c r="AN930" t="s">
        <v>7139</v>
      </c>
      <c r="AO930">
        <v>14300</v>
      </c>
      <c r="AQ930" t="s">
        <v>7196</v>
      </c>
      <c r="AR930" t="s">
        <v>7222</v>
      </c>
      <c r="AS930" t="s">
        <v>7231</v>
      </c>
      <c r="AT930" t="s">
        <v>7263</v>
      </c>
      <c r="AU930">
        <v>24.78</v>
      </c>
      <c r="AV930" t="s">
        <v>138</v>
      </c>
      <c r="AW930" t="s">
        <v>7342</v>
      </c>
    </row>
    <row r="931" spans="1:49">
      <c r="A931" s="1">
        <f>HYPERLINK("https://lsnyc.legalserver.org/matter/dynamic-profile/view/1863655","18-1863655")</f>
        <v>0</v>
      </c>
      <c r="B931" t="s">
        <v>68</v>
      </c>
      <c r="C931" t="s">
        <v>104</v>
      </c>
      <c r="D931" t="s">
        <v>242</v>
      </c>
      <c r="E931" t="s">
        <v>261</v>
      </c>
      <c r="F931" t="s">
        <v>836</v>
      </c>
      <c r="G931" t="s">
        <v>1982</v>
      </c>
      <c r="H931" t="s">
        <v>2804</v>
      </c>
      <c r="I931">
        <v>32</v>
      </c>
      <c r="J931" t="s">
        <v>3604</v>
      </c>
      <c r="K931">
        <v>10035</v>
      </c>
      <c r="L931" t="s">
        <v>3610</v>
      </c>
      <c r="M931" t="s">
        <v>3609</v>
      </c>
      <c r="N931" t="s">
        <v>3938</v>
      </c>
      <c r="O931" t="s">
        <v>4209</v>
      </c>
      <c r="P931" t="s">
        <v>4241</v>
      </c>
      <c r="Q931" t="s">
        <v>4248</v>
      </c>
      <c r="R931" t="s">
        <v>4258</v>
      </c>
      <c r="S931" t="s">
        <v>3611</v>
      </c>
      <c r="U931" t="s">
        <v>4268</v>
      </c>
      <c r="W931" t="s">
        <v>242</v>
      </c>
      <c r="X931">
        <v>2037.39</v>
      </c>
      <c r="Y931" t="s">
        <v>4351</v>
      </c>
      <c r="Z931" t="s">
        <v>4361</v>
      </c>
      <c r="AA931" t="s">
        <v>4374</v>
      </c>
      <c r="AB931" t="s">
        <v>4970</v>
      </c>
      <c r="AD931" t="s">
        <v>6346</v>
      </c>
      <c r="AE931">
        <v>35</v>
      </c>
      <c r="AF931" t="s">
        <v>7101</v>
      </c>
      <c r="AG931" t="s">
        <v>7116</v>
      </c>
      <c r="AH931">
        <v>27</v>
      </c>
      <c r="AI931">
        <v>3</v>
      </c>
      <c r="AJ931">
        <v>0</v>
      </c>
      <c r="AK931">
        <v>118.61</v>
      </c>
      <c r="AN931" t="s">
        <v>7138</v>
      </c>
      <c r="AO931">
        <v>24648</v>
      </c>
      <c r="AU931">
        <v>40.5</v>
      </c>
      <c r="AV931" t="s">
        <v>118</v>
      </c>
      <c r="AW931" t="s">
        <v>7341</v>
      </c>
    </row>
    <row r="932" spans="1:49">
      <c r="A932" s="1">
        <f>HYPERLINK("https://lsnyc.legalserver.org/matter/dynamic-profile/view/1864563","18-1864563")</f>
        <v>0</v>
      </c>
      <c r="B932" t="s">
        <v>57</v>
      </c>
      <c r="C932" t="s">
        <v>104</v>
      </c>
      <c r="D932" t="s">
        <v>532</v>
      </c>
      <c r="E932" t="s">
        <v>655</v>
      </c>
      <c r="F932" t="s">
        <v>836</v>
      </c>
      <c r="G932" t="s">
        <v>1982</v>
      </c>
      <c r="H932" t="s">
        <v>2804</v>
      </c>
      <c r="I932">
        <v>32</v>
      </c>
      <c r="J932" t="s">
        <v>3604</v>
      </c>
      <c r="K932">
        <v>10035</v>
      </c>
      <c r="L932" t="s">
        <v>3610</v>
      </c>
      <c r="M932" t="s">
        <v>3610</v>
      </c>
      <c r="O932" t="s">
        <v>4212</v>
      </c>
      <c r="P932" t="s">
        <v>4244</v>
      </c>
      <c r="Q932" t="s">
        <v>4252</v>
      </c>
      <c r="R932" t="s">
        <v>4258</v>
      </c>
      <c r="S932" t="s">
        <v>3611</v>
      </c>
      <c r="U932" t="s">
        <v>4270</v>
      </c>
      <c r="W932" t="s">
        <v>532</v>
      </c>
      <c r="X932">
        <v>2037.39</v>
      </c>
      <c r="Y932" t="s">
        <v>4351</v>
      </c>
      <c r="Z932" t="s">
        <v>4361</v>
      </c>
      <c r="AA932" t="s">
        <v>4376</v>
      </c>
      <c r="AB932" t="s">
        <v>4970</v>
      </c>
      <c r="AC932">
        <v>37101715</v>
      </c>
      <c r="AD932" t="s">
        <v>6346</v>
      </c>
      <c r="AE932">
        <v>35</v>
      </c>
      <c r="AF932" t="s">
        <v>7101</v>
      </c>
      <c r="AG932" t="s">
        <v>7116</v>
      </c>
      <c r="AH932">
        <v>27</v>
      </c>
      <c r="AI932">
        <v>3</v>
      </c>
      <c r="AJ932">
        <v>0</v>
      </c>
      <c r="AK932">
        <v>118.61</v>
      </c>
      <c r="AN932" t="s">
        <v>7138</v>
      </c>
      <c r="AO932">
        <v>24648</v>
      </c>
      <c r="AU932">
        <v>9.75</v>
      </c>
      <c r="AV932" t="s">
        <v>302</v>
      </c>
      <c r="AW932" t="s">
        <v>57</v>
      </c>
    </row>
    <row r="933" spans="1:49">
      <c r="A933" s="1">
        <f>HYPERLINK("https://lsnyc.legalserver.org/matter/dynamic-profile/view/1880120","18-1880120")</f>
        <v>0</v>
      </c>
      <c r="B933" t="s">
        <v>64</v>
      </c>
      <c r="C933" t="s">
        <v>105</v>
      </c>
      <c r="D933" t="s">
        <v>269</v>
      </c>
      <c r="F933" t="s">
        <v>1202</v>
      </c>
      <c r="G933" t="s">
        <v>2067</v>
      </c>
      <c r="H933" t="s">
        <v>2576</v>
      </c>
      <c r="I933" t="s">
        <v>3298</v>
      </c>
      <c r="J933" t="s">
        <v>3604</v>
      </c>
      <c r="K933">
        <v>10040</v>
      </c>
      <c r="L933" t="s">
        <v>3610</v>
      </c>
      <c r="M933" t="s">
        <v>3610</v>
      </c>
      <c r="O933" t="s">
        <v>4218</v>
      </c>
      <c r="P933" t="s">
        <v>4241</v>
      </c>
      <c r="R933" t="s">
        <v>4258</v>
      </c>
      <c r="S933" t="s">
        <v>3610</v>
      </c>
      <c r="U933" t="s">
        <v>4268</v>
      </c>
      <c r="W933" t="s">
        <v>269</v>
      </c>
      <c r="X933">
        <v>1438.5</v>
      </c>
      <c r="Y933" t="s">
        <v>4351</v>
      </c>
      <c r="Z933" t="s">
        <v>4357</v>
      </c>
      <c r="AB933" t="s">
        <v>5127</v>
      </c>
      <c r="AD933" t="s">
        <v>6499</v>
      </c>
      <c r="AE933">
        <v>88</v>
      </c>
      <c r="AF933" t="s">
        <v>7101</v>
      </c>
      <c r="AG933" t="s">
        <v>3745</v>
      </c>
      <c r="AH933">
        <v>3</v>
      </c>
      <c r="AI933">
        <v>1</v>
      </c>
      <c r="AJ933">
        <v>0</v>
      </c>
      <c r="AK933">
        <v>118.62</v>
      </c>
      <c r="AN933" t="s">
        <v>7138</v>
      </c>
      <c r="AO933">
        <v>14400</v>
      </c>
      <c r="AU933">
        <v>0</v>
      </c>
      <c r="AW933" t="s">
        <v>7342</v>
      </c>
    </row>
    <row r="934" spans="1:49">
      <c r="A934" s="1">
        <f>HYPERLINK("https://lsnyc.legalserver.org/matter/dynamic-profile/view/1874697","18-1874697")</f>
        <v>0</v>
      </c>
      <c r="B934" t="s">
        <v>62</v>
      </c>
      <c r="C934" t="s">
        <v>105</v>
      </c>
      <c r="D934" t="s">
        <v>144</v>
      </c>
      <c r="F934" t="s">
        <v>719</v>
      </c>
      <c r="G934" t="s">
        <v>1913</v>
      </c>
      <c r="H934" t="s">
        <v>2488</v>
      </c>
      <c r="I934" t="s">
        <v>3341</v>
      </c>
      <c r="J934" t="s">
        <v>3604</v>
      </c>
      <c r="K934">
        <v>10033</v>
      </c>
      <c r="L934" t="s">
        <v>3610</v>
      </c>
      <c r="M934" t="s">
        <v>3610</v>
      </c>
      <c r="O934" t="s">
        <v>4213</v>
      </c>
      <c r="P934" t="s">
        <v>4245</v>
      </c>
      <c r="R934" t="s">
        <v>4258</v>
      </c>
      <c r="S934" t="s">
        <v>3610</v>
      </c>
      <c r="U934" t="s">
        <v>4268</v>
      </c>
      <c r="W934" t="s">
        <v>144</v>
      </c>
      <c r="X934">
        <v>1198.63</v>
      </c>
      <c r="Y934" t="s">
        <v>4351</v>
      </c>
      <c r="Z934" t="s">
        <v>4352</v>
      </c>
      <c r="AB934" t="s">
        <v>5128</v>
      </c>
      <c r="AD934" t="s">
        <v>6500</v>
      </c>
      <c r="AE934">
        <v>232</v>
      </c>
      <c r="AF934" t="s">
        <v>7101</v>
      </c>
      <c r="AG934" t="s">
        <v>7118</v>
      </c>
      <c r="AH934">
        <v>38</v>
      </c>
      <c r="AI934">
        <v>1</v>
      </c>
      <c r="AJ934">
        <v>0</v>
      </c>
      <c r="AK934">
        <v>118.62</v>
      </c>
      <c r="AN934" t="s">
        <v>7139</v>
      </c>
      <c r="AO934">
        <v>14400</v>
      </c>
      <c r="AU934">
        <v>1.7</v>
      </c>
      <c r="AV934" t="s">
        <v>680</v>
      </c>
      <c r="AW934" t="s">
        <v>7342</v>
      </c>
    </row>
    <row r="935" spans="1:49">
      <c r="A935" s="1">
        <f>HYPERLINK("https://lsnyc.legalserver.org/matter/dynamic-profile/view/1863805","18-1863805")</f>
        <v>0</v>
      </c>
      <c r="B935" t="s">
        <v>63</v>
      </c>
      <c r="C935" t="s">
        <v>104</v>
      </c>
      <c r="D935" t="s">
        <v>160</v>
      </c>
      <c r="E935" t="s">
        <v>254</v>
      </c>
      <c r="F935" t="s">
        <v>1203</v>
      </c>
      <c r="G935" t="s">
        <v>2068</v>
      </c>
      <c r="H935" t="s">
        <v>2487</v>
      </c>
      <c r="I935" t="s">
        <v>3274</v>
      </c>
      <c r="J935" t="s">
        <v>3604</v>
      </c>
      <c r="K935">
        <v>10033</v>
      </c>
      <c r="L935" t="s">
        <v>3610</v>
      </c>
      <c r="M935" t="s">
        <v>3610</v>
      </c>
      <c r="O935" t="s">
        <v>4220</v>
      </c>
      <c r="P935" t="s">
        <v>4245</v>
      </c>
      <c r="Q935" t="s">
        <v>4249</v>
      </c>
      <c r="R935" t="s">
        <v>4258</v>
      </c>
      <c r="S935" t="s">
        <v>3610</v>
      </c>
      <c r="U935" t="s">
        <v>4268</v>
      </c>
      <c r="W935" t="s">
        <v>160</v>
      </c>
      <c r="X935">
        <v>830</v>
      </c>
      <c r="Y935" t="s">
        <v>4351</v>
      </c>
      <c r="Z935" t="s">
        <v>4357</v>
      </c>
      <c r="AA935" t="s">
        <v>4395</v>
      </c>
      <c r="AB935" t="s">
        <v>5129</v>
      </c>
      <c r="AD935" t="s">
        <v>6501</v>
      </c>
      <c r="AE935">
        <v>20</v>
      </c>
      <c r="AF935" t="s">
        <v>7101</v>
      </c>
      <c r="AG935" t="s">
        <v>3745</v>
      </c>
      <c r="AH935">
        <v>44</v>
      </c>
      <c r="AI935">
        <v>1</v>
      </c>
      <c r="AJ935">
        <v>0</v>
      </c>
      <c r="AK935">
        <v>118.71</v>
      </c>
      <c r="AL935" t="s">
        <v>496</v>
      </c>
      <c r="AN935" t="s">
        <v>7139</v>
      </c>
      <c r="AO935">
        <v>14412</v>
      </c>
      <c r="AU935">
        <v>0.1</v>
      </c>
      <c r="AV935" t="s">
        <v>254</v>
      </c>
      <c r="AW935" t="s">
        <v>7342</v>
      </c>
    </row>
    <row r="936" spans="1:49">
      <c r="A936" s="1">
        <f>HYPERLINK("https://lsnyc.legalserver.org/matter/dynamic-profile/view/1874429","18-1874429")</f>
        <v>0</v>
      </c>
      <c r="B936" t="s">
        <v>67</v>
      </c>
      <c r="C936" t="s">
        <v>105</v>
      </c>
      <c r="D936" t="s">
        <v>393</v>
      </c>
      <c r="F936" t="s">
        <v>1204</v>
      </c>
      <c r="G936" t="s">
        <v>1600</v>
      </c>
      <c r="H936" t="s">
        <v>2950</v>
      </c>
      <c r="I936" t="s">
        <v>3471</v>
      </c>
      <c r="J936" t="s">
        <v>3604</v>
      </c>
      <c r="K936">
        <v>10029</v>
      </c>
      <c r="L936" t="s">
        <v>3610</v>
      </c>
      <c r="M936" t="s">
        <v>3610</v>
      </c>
      <c r="O936" t="s">
        <v>4211</v>
      </c>
      <c r="P936" t="s">
        <v>4246</v>
      </c>
      <c r="R936" t="s">
        <v>4258</v>
      </c>
      <c r="S936" t="s">
        <v>3611</v>
      </c>
      <c r="U936" t="s">
        <v>4268</v>
      </c>
      <c r="V936" t="s">
        <v>4274</v>
      </c>
      <c r="W936" t="s">
        <v>4306</v>
      </c>
      <c r="X936">
        <v>1600</v>
      </c>
      <c r="Y936" t="s">
        <v>4351</v>
      </c>
      <c r="AB936" t="s">
        <v>5130</v>
      </c>
      <c r="AE936">
        <v>10</v>
      </c>
      <c r="AF936" t="s">
        <v>7105</v>
      </c>
      <c r="AG936" t="s">
        <v>3745</v>
      </c>
      <c r="AH936">
        <v>8</v>
      </c>
      <c r="AI936">
        <v>2</v>
      </c>
      <c r="AJ936">
        <v>2</v>
      </c>
      <c r="AK936">
        <v>118.73</v>
      </c>
      <c r="AN936" t="s">
        <v>7139</v>
      </c>
      <c r="AO936">
        <v>29800</v>
      </c>
      <c r="AU936">
        <v>4.5</v>
      </c>
      <c r="AV936" t="s">
        <v>298</v>
      </c>
      <c r="AW936" t="s">
        <v>7343</v>
      </c>
    </row>
    <row r="937" spans="1:49">
      <c r="A937" s="1">
        <f>HYPERLINK("https://lsnyc.legalserver.org/matter/dynamic-profile/view/0783439","15-0783439")</f>
        <v>0</v>
      </c>
      <c r="B937" t="s">
        <v>51</v>
      </c>
      <c r="C937" t="s">
        <v>104</v>
      </c>
      <c r="D937" t="s">
        <v>533</v>
      </c>
      <c r="E937" t="s">
        <v>293</v>
      </c>
      <c r="F937" t="s">
        <v>1205</v>
      </c>
      <c r="G937" t="s">
        <v>2069</v>
      </c>
      <c r="H937" t="s">
        <v>2951</v>
      </c>
      <c r="I937" t="s">
        <v>3477</v>
      </c>
      <c r="J937" t="s">
        <v>3604</v>
      </c>
      <c r="K937">
        <v>10029</v>
      </c>
      <c r="L937" t="s">
        <v>3609</v>
      </c>
      <c r="M937" t="s">
        <v>3610</v>
      </c>
      <c r="N937" t="s">
        <v>3939</v>
      </c>
      <c r="O937" t="s">
        <v>4209</v>
      </c>
      <c r="P937" t="s">
        <v>4241</v>
      </c>
      <c r="Q937" t="s">
        <v>4248</v>
      </c>
      <c r="R937" t="s">
        <v>4258</v>
      </c>
      <c r="S937" t="s">
        <v>3611</v>
      </c>
      <c r="U937" t="s">
        <v>4268</v>
      </c>
      <c r="V937" t="s">
        <v>4274</v>
      </c>
      <c r="W937" t="s">
        <v>4324</v>
      </c>
      <c r="X937">
        <v>1003</v>
      </c>
      <c r="Y937" t="s">
        <v>4351</v>
      </c>
      <c r="Z937" t="s">
        <v>4228</v>
      </c>
      <c r="AA937" t="s">
        <v>4374</v>
      </c>
      <c r="AB937" t="s">
        <v>5131</v>
      </c>
      <c r="AD937" t="s">
        <v>6502</v>
      </c>
      <c r="AE937">
        <v>51</v>
      </c>
      <c r="AF937" t="s">
        <v>7101</v>
      </c>
      <c r="AG937" t="s">
        <v>3745</v>
      </c>
      <c r="AH937">
        <v>10</v>
      </c>
      <c r="AI937">
        <v>2</v>
      </c>
      <c r="AJ937">
        <v>2</v>
      </c>
      <c r="AK937">
        <v>118.76</v>
      </c>
      <c r="AN937" t="s">
        <v>7138</v>
      </c>
      <c r="AO937">
        <v>28800</v>
      </c>
      <c r="AP937" t="s">
        <v>7184</v>
      </c>
      <c r="AU937">
        <v>31.4</v>
      </c>
      <c r="AV937" t="s">
        <v>265</v>
      </c>
      <c r="AW937" t="s">
        <v>7341</v>
      </c>
    </row>
    <row r="938" spans="1:49">
      <c r="A938" s="1">
        <f>HYPERLINK("https://lsnyc.legalserver.org/matter/dynamic-profile/view/0790540","15-0790540")</f>
        <v>0</v>
      </c>
      <c r="B938" t="s">
        <v>51</v>
      </c>
      <c r="C938" t="s">
        <v>104</v>
      </c>
      <c r="D938" t="s">
        <v>534</v>
      </c>
      <c r="E938" t="s">
        <v>236</v>
      </c>
      <c r="F938" t="s">
        <v>1206</v>
      </c>
      <c r="G938" t="s">
        <v>2070</v>
      </c>
      <c r="H938" t="s">
        <v>2475</v>
      </c>
      <c r="I938" t="s">
        <v>3478</v>
      </c>
      <c r="J938" t="s">
        <v>3604</v>
      </c>
      <c r="K938">
        <v>10034</v>
      </c>
      <c r="L938" t="s">
        <v>3611</v>
      </c>
      <c r="M938" t="s">
        <v>3611</v>
      </c>
      <c r="P938" t="s">
        <v>4244</v>
      </c>
      <c r="Q938" t="s">
        <v>4251</v>
      </c>
      <c r="R938" t="s">
        <v>4258</v>
      </c>
      <c r="S938" t="s">
        <v>3611</v>
      </c>
      <c r="U938" t="s">
        <v>4268</v>
      </c>
      <c r="V938" t="s">
        <v>4274</v>
      </c>
      <c r="W938" t="s">
        <v>4325</v>
      </c>
      <c r="X938">
        <v>1265.31</v>
      </c>
      <c r="Y938" t="s">
        <v>4351</v>
      </c>
      <c r="Z938" t="s">
        <v>4354</v>
      </c>
      <c r="AA938" t="s">
        <v>4378</v>
      </c>
      <c r="AB938" t="s">
        <v>5132</v>
      </c>
      <c r="AD938" t="s">
        <v>6503</v>
      </c>
      <c r="AE938">
        <v>0</v>
      </c>
      <c r="AF938" t="s">
        <v>7104</v>
      </c>
      <c r="AG938" t="s">
        <v>7118</v>
      </c>
      <c r="AH938">
        <v>37</v>
      </c>
      <c r="AI938">
        <v>1</v>
      </c>
      <c r="AJ938">
        <v>0</v>
      </c>
      <c r="AK938">
        <v>118.91</v>
      </c>
      <c r="AN938" t="s">
        <v>7138</v>
      </c>
      <c r="AO938">
        <v>13996.2</v>
      </c>
      <c r="AP938" t="s">
        <v>7185</v>
      </c>
      <c r="AU938">
        <v>16.6</v>
      </c>
      <c r="AV938" t="s">
        <v>317</v>
      </c>
      <c r="AW938" t="s">
        <v>7341</v>
      </c>
    </row>
    <row r="939" spans="1:49">
      <c r="A939" s="1">
        <f>HYPERLINK("https://lsnyc.legalserver.org/matter/dynamic-profile/view/1887933","19-1887933")</f>
        <v>0</v>
      </c>
      <c r="B939" t="s">
        <v>61</v>
      </c>
      <c r="C939" t="s">
        <v>105</v>
      </c>
      <c r="D939" t="s">
        <v>194</v>
      </c>
      <c r="F939" t="s">
        <v>1207</v>
      </c>
      <c r="G939" t="s">
        <v>1642</v>
      </c>
      <c r="H939" t="s">
        <v>2952</v>
      </c>
      <c r="J939" t="s">
        <v>3604</v>
      </c>
      <c r="K939">
        <v>10034</v>
      </c>
      <c r="L939" t="s">
        <v>3610</v>
      </c>
      <c r="M939" t="s">
        <v>3610</v>
      </c>
      <c r="N939" t="s">
        <v>3739</v>
      </c>
      <c r="O939" t="s">
        <v>4213</v>
      </c>
      <c r="P939" t="s">
        <v>4241</v>
      </c>
      <c r="R939" t="s">
        <v>4258</v>
      </c>
      <c r="S939" t="s">
        <v>3611</v>
      </c>
      <c r="U939" t="s">
        <v>4268</v>
      </c>
      <c r="W939" t="s">
        <v>194</v>
      </c>
      <c r="X939">
        <v>1442.38</v>
      </c>
      <c r="Y939" t="s">
        <v>4351</v>
      </c>
      <c r="Z939" t="s">
        <v>4354</v>
      </c>
      <c r="AB939" t="s">
        <v>5133</v>
      </c>
      <c r="AD939" t="s">
        <v>6504</v>
      </c>
      <c r="AE939">
        <v>25</v>
      </c>
      <c r="AF939" t="s">
        <v>7101</v>
      </c>
      <c r="AG939" t="s">
        <v>3745</v>
      </c>
      <c r="AH939">
        <v>10</v>
      </c>
      <c r="AI939">
        <v>2</v>
      </c>
      <c r="AJ939">
        <v>3</v>
      </c>
      <c r="AK939">
        <v>118.97</v>
      </c>
      <c r="AN939" t="s">
        <v>7139</v>
      </c>
      <c r="AO939">
        <v>35000</v>
      </c>
      <c r="AU939">
        <v>0</v>
      </c>
      <c r="AW939" t="s">
        <v>7342</v>
      </c>
    </row>
    <row r="940" spans="1:49">
      <c r="A940" s="1">
        <f>HYPERLINK("https://lsnyc.legalserver.org/matter/dynamic-profile/view/0825210","17-0825210")</f>
        <v>0</v>
      </c>
      <c r="B940" t="s">
        <v>59</v>
      </c>
      <c r="C940" t="s">
        <v>105</v>
      </c>
      <c r="D940" t="s">
        <v>535</v>
      </c>
      <c r="F940" t="s">
        <v>767</v>
      </c>
      <c r="G940" t="s">
        <v>2071</v>
      </c>
      <c r="H940" t="s">
        <v>2953</v>
      </c>
      <c r="I940" t="s">
        <v>3318</v>
      </c>
      <c r="J940" t="s">
        <v>3604</v>
      </c>
      <c r="K940">
        <v>10003</v>
      </c>
      <c r="L940" t="s">
        <v>3610</v>
      </c>
      <c r="M940" t="s">
        <v>3609</v>
      </c>
      <c r="N940" t="s">
        <v>3940</v>
      </c>
      <c r="O940" t="s">
        <v>4209</v>
      </c>
      <c r="P940" t="s">
        <v>4241</v>
      </c>
      <c r="R940" t="s">
        <v>4258</v>
      </c>
      <c r="S940" t="s">
        <v>3611</v>
      </c>
      <c r="T940" t="s">
        <v>4259</v>
      </c>
      <c r="U940" t="s">
        <v>4268</v>
      </c>
      <c r="W940" t="s">
        <v>566</v>
      </c>
      <c r="X940">
        <v>444</v>
      </c>
      <c r="Y940" t="s">
        <v>4351</v>
      </c>
      <c r="Z940" t="s">
        <v>4354</v>
      </c>
      <c r="AB940" t="s">
        <v>5134</v>
      </c>
      <c r="AD940" t="s">
        <v>6505</v>
      </c>
      <c r="AE940">
        <v>0</v>
      </c>
      <c r="AF940" t="s">
        <v>7104</v>
      </c>
      <c r="AG940" t="s">
        <v>7118</v>
      </c>
      <c r="AH940">
        <v>44</v>
      </c>
      <c r="AI940">
        <v>1</v>
      </c>
      <c r="AJ940">
        <v>0</v>
      </c>
      <c r="AK940">
        <v>119.19</v>
      </c>
      <c r="AN940" t="s">
        <v>7138</v>
      </c>
      <c r="AO940">
        <v>14160</v>
      </c>
      <c r="AU940">
        <v>334.77</v>
      </c>
      <c r="AV940" t="s">
        <v>424</v>
      </c>
      <c r="AW940" t="s">
        <v>7340</v>
      </c>
    </row>
    <row r="941" spans="1:49">
      <c r="A941" s="1">
        <f>HYPERLINK("https://lsnyc.legalserver.org/matter/dynamic-profile/view/0826987","17-0826987")</f>
        <v>0</v>
      </c>
      <c r="B941" t="s">
        <v>64</v>
      </c>
      <c r="C941" t="s">
        <v>105</v>
      </c>
      <c r="D941" t="s">
        <v>382</v>
      </c>
      <c r="F941" t="s">
        <v>1202</v>
      </c>
      <c r="G941" t="s">
        <v>2067</v>
      </c>
      <c r="H941" t="s">
        <v>2576</v>
      </c>
      <c r="I941" t="s">
        <v>3298</v>
      </c>
      <c r="J941" t="s">
        <v>3604</v>
      </c>
      <c r="K941">
        <v>10040</v>
      </c>
      <c r="L941" t="s">
        <v>3610</v>
      </c>
      <c r="M941" t="s">
        <v>3609</v>
      </c>
      <c r="N941" t="s">
        <v>3780</v>
      </c>
      <c r="O941" t="s">
        <v>4213</v>
      </c>
      <c r="P941" t="s">
        <v>4241</v>
      </c>
      <c r="R941" t="s">
        <v>4258</v>
      </c>
      <c r="S941" t="s">
        <v>3610</v>
      </c>
      <c r="U941" t="s">
        <v>4268</v>
      </c>
      <c r="W941" t="s">
        <v>4301</v>
      </c>
      <c r="X941">
        <v>1438.5</v>
      </c>
      <c r="Y941" t="s">
        <v>4351</v>
      </c>
      <c r="Z941" t="s">
        <v>4352</v>
      </c>
      <c r="AB941" t="s">
        <v>5127</v>
      </c>
      <c r="AD941" t="s">
        <v>6499</v>
      </c>
      <c r="AE941">
        <v>83</v>
      </c>
      <c r="AF941" t="s">
        <v>7101</v>
      </c>
      <c r="AG941" t="s">
        <v>3745</v>
      </c>
      <c r="AH941">
        <v>3</v>
      </c>
      <c r="AI941">
        <v>1</v>
      </c>
      <c r="AJ941">
        <v>0</v>
      </c>
      <c r="AK941">
        <v>119.4</v>
      </c>
      <c r="AL941" t="s">
        <v>518</v>
      </c>
      <c r="AN941" t="s">
        <v>7138</v>
      </c>
      <c r="AO941">
        <v>14400</v>
      </c>
      <c r="AU941">
        <v>0</v>
      </c>
      <c r="AV941" t="s">
        <v>191</v>
      </c>
      <c r="AW941" t="s">
        <v>7341</v>
      </c>
    </row>
    <row r="942" spans="1:49">
      <c r="A942" s="1">
        <f>HYPERLINK("https://lsnyc.legalserver.org/matter/dynamic-profile/view/1835436","17-1835436")</f>
        <v>0</v>
      </c>
      <c r="B942" t="s">
        <v>63</v>
      </c>
      <c r="C942" t="s">
        <v>104</v>
      </c>
      <c r="D942" t="s">
        <v>536</v>
      </c>
      <c r="E942" t="s">
        <v>108</v>
      </c>
      <c r="F942" t="s">
        <v>1203</v>
      </c>
      <c r="G942" t="s">
        <v>2068</v>
      </c>
      <c r="H942" t="s">
        <v>2487</v>
      </c>
      <c r="I942" t="s">
        <v>3274</v>
      </c>
      <c r="J942" t="s">
        <v>3604</v>
      </c>
      <c r="K942">
        <v>10033</v>
      </c>
      <c r="L942" t="s">
        <v>3610</v>
      </c>
      <c r="M942" t="s">
        <v>3610</v>
      </c>
      <c r="N942" t="s">
        <v>3941</v>
      </c>
      <c r="O942" t="s">
        <v>4213</v>
      </c>
      <c r="P942" t="s">
        <v>4241</v>
      </c>
      <c r="Q942" t="s">
        <v>4248</v>
      </c>
      <c r="R942" t="s">
        <v>4258</v>
      </c>
      <c r="S942" t="s">
        <v>3610</v>
      </c>
      <c r="U942" t="s">
        <v>4268</v>
      </c>
      <c r="W942" t="s">
        <v>545</v>
      </c>
      <c r="X942">
        <v>830</v>
      </c>
      <c r="Y942" t="s">
        <v>4351</v>
      </c>
      <c r="Z942" t="s">
        <v>4359</v>
      </c>
      <c r="AA942" t="s">
        <v>4379</v>
      </c>
      <c r="AB942" t="s">
        <v>5129</v>
      </c>
      <c r="AD942" t="s">
        <v>6501</v>
      </c>
      <c r="AE942">
        <v>24</v>
      </c>
      <c r="AF942" t="s">
        <v>7104</v>
      </c>
      <c r="AH942">
        <v>44</v>
      </c>
      <c r="AI942">
        <v>1</v>
      </c>
      <c r="AJ942">
        <v>0</v>
      </c>
      <c r="AK942">
        <v>119.5</v>
      </c>
      <c r="AL942" t="s">
        <v>496</v>
      </c>
      <c r="AN942" t="s">
        <v>7139</v>
      </c>
      <c r="AO942">
        <v>14412</v>
      </c>
      <c r="AU942">
        <v>0.1</v>
      </c>
      <c r="AV942" t="s">
        <v>108</v>
      </c>
      <c r="AW942" t="s">
        <v>63</v>
      </c>
    </row>
    <row r="943" spans="1:49">
      <c r="A943" s="1">
        <f>HYPERLINK("https://lsnyc.legalserver.org/matter/dynamic-profile/view/1835437","17-1835437")</f>
        <v>0</v>
      </c>
      <c r="B943" t="s">
        <v>63</v>
      </c>
      <c r="C943" t="s">
        <v>105</v>
      </c>
      <c r="D943" t="s">
        <v>536</v>
      </c>
      <c r="F943" t="s">
        <v>1203</v>
      </c>
      <c r="G943" t="s">
        <v>2068</v>
      </c>
      <c r="H943" t="s">
        <v>2487</v>
      </c>
      <c r="I943" t="s">
        <v>3274</v>
      </c>
      <c r="J943" t="s">
        <v>3604</v>
      </c>
      <c r="K943">
        <v>10033</v>
      </c>
      <c r="L943" t="s">
        <v>3611</v>
      </c>
      <c r="M943" t="s">
        <v>3609</v>
      </c>
      <c r="N943" t="s">
        <v>3732</v>
      </c>
      <c r="P943" t="s">
        <v>4244</v>
      </c>
      <c r="R943" t="s">
        <v>4258</v>
      </c>
      <c r="S943" t="s">
        <v>3610</v>
      </c>
      <c r="U943" t="s">
        <v>4268</v>
      </c>
      <c r="W943" t="s">
        <v>545</v>
      </c>
      <c r="X943">
        <v>830</v>
      </c>
      <c r="Y943" t="s">
        <v>4351</v>
      </c>
      <c r="Z943" t="s">
        <v>4359</v>
      </c>
      <c r="AB943" t="s">
        <v>5129</v>
      </c>
      <c r="AD943" t="s">
        <v>6501</v>
      </c>
      <c r="AE943">
        <v>24</v>
      </c>
      <c r="AF943" t="s">
        <v>7101</v>
      </c>
      <c r="AG943" t="s">
        <v>7118</v>
      </c>
      <c r="AH943">
        <v>44</v>
      </c>
      <c r="AI943">
        <v>1</v>
      </c>
      <c r="AJ943">
        <v>0</v>
      </c>
      <c r="AK943">
        <v>119.5</v>
      </c>
      <c r="AL943" t="s">
        <v>496</v>
      </c>
      <c r="AN943" t="s">
        <v>7139</v>
      </c>
      <c r="AO943">
        <v>14412</v>
      </c>
      <c r="AU943">
        <v>0</v>
      </c>
      <c r="AW943" t="s">
        <v>63</v>
      </c>
    </row>
    <row r="944" spans="1:49">
      <c r="A944" s="1">
        <f>HYPERLINK("https://lsnyc.legalserver.org/matter/dynamic-profile/view/0818324","16-0818324")</f>
        <v>0</v>
      </c>
      <c r="B944" t="s">
        <v>53</v>
      </c>
      <c r="C944" t="s">
        <v>105</v>
      </c>
      <c r="D944" t="s">
        <v>537</v>
      </c>
      <c r="F944" t="s">
        <v>1208</v>
      </c>
      <c r="G944" t="s">
        <v>2072</v>
      </c>
      <c r="H944" t="s">
        <v>2652</v>
      </c>
      <c r="I944" t="s">
        <v>3294</v>
      </c>
      <c r="J944" t="s">
        <v>3604</v>
      </c>
      <c r="K944">
        <v>10034</v>
      </c>
      <c r="L944" t="s">
        <v>3610</v>
      </c>
      <c r="M944" t="s">
        <v>3609</v>
      </c>
      <c r="O944" t="s">
        <v>4220</v>
      </c>
      <c r="P944" t="s">
        <v>4243</v>
      </c>
      <c r="R944" t="s">
        <v>4258</v>
      </c>
      <c r="S944" t="s">
        <v>3611</v>
      </c>
      <c r="U944" t="s">
        <v>4268</v>
      </c>
      <c r="W944" t="s">
        <v>4326</v>
      </c>
      <c r="X944">
        <v>941.05</v>
      </c>
      <c r="Y944" t="s">
        <v>4351</v>
      </c>
      <c r="Z944" t="s">
        <v>4354</v>
      </c>
      <c r="AB944" t="s">
        <v>5135</v>
      </c>
      <c r="AD944" t="s">
        <v>6506</v>
      </c>
      <c r="AE944">
        <v>22</v>
      </c>
      <c r="AF944" t="s">
        <v>7101</v>
      </c>
      <c r="AG944" t="s">
        <v>3745</v>
      </c>
      <c r="AH944">
        <v>32</v>
      </c>
      <c r="AI944">
        <v>3</v>
      </c>
      <c r="AJ944">
        <v>0</v>
      </c>
      <c r="AK944">
        <v>119.88</v>
      </c>
      <c r="AN944" t="s">
        <v>7139</v>
      </c>
      <c r="AO944">
        <v>24168</v>
      </c>
      <c r="AU944">
        <v>110.82</v>
      </c>
      <c r="AV944" t="s">
        <v>7293</v>
      </c>
      <c r="AW944" t="s">
        <v>7341</v>
      </c>
    </row>
    <row r="945" spans="1:50">
      <c r="A945" s="1">
        <f>HYPERLINK("https://lsnyc.legalserver.org/matter/dynamic-profile/view/0821156","16-0821156")</f>
        <v>0</v>
      </c>
      <c r="B945" t="s">
        <v>66</v>
      </c>
      <c r="C945" t="s">
        <v>104</v>
      </c>
      <c r="D945" t="s">
        <v>483</v>
      </c>
      <c r="E945" t="s">
        <v>371</v>
      </c>
      <c r="F945" t="s">
        <v>760</v>
      </c>
      <c r="G945" t="s">
        <v>2073</v>
      </c>
      <c r="H945" t="s">
        <v>2954</v>
      </c>
      <c r="I945" t="s">
        <v>3479</v>
      </c>
      <c r="J945" t="s">
        <v>3604</v>
      </c>
      <c r="K945">
        <v>10040</v>
      </c>
      <c r="L945" t="s">
        <v>3610</v>
      </c>
      <c r="M945" t="s">
        <v>3609</v>
      </c>
      <c r="N945" t="s">
        <v>3942</v>
      </c>
      <c r="O945" t="s">
        <v>4210</v>
      </c>
      <c r="P945" t="s">
        <v>4241</v>
      </c>
      <c r="Q945" t="s">
        <v>4253</v>
      </c>
      <c r="R945" t="s">
        <v>4258</v>
      </c>
      <c r="S945" t="s">
        <v>3611</v>
      </c>
      <c r="U945" t="s">
        <v>4268</v>
      </c>
      <c r="V945" t="s">
        <v>4274</v>
      </c>
      <c r="W945" t="s">
        <v>278</v>
      </c>
      <c r="X945">
        <v>1025</v>
      </c>
      <c r="Y945" t="s">
        <v>4351</v>
      </c>
      <c r="Z945" t="s">
        <v>4354</v>
      </c>
      <c r="AA945" t="s">
        <v>4374</v>
      </c>
      <c r="AB945" t="s">
        <v>5136</v>
      </c>
      <c r="AD945" t="s">
        <v>6507</v>
      </c>
      <c r="AE945">
        <v>0</v>
      </c>
      <c r="AF945" t="s">
        <v>7105</v>
      </c>
      <c r="AG945" t="s">
        <v>7119</v>
      </c>
      <c r="AH945">
        <v>6</v>
      </c>
      <c r="AI945">
        <v>1</v>
      </c>
      <c r="AJ945">
        <v>0</v>
      </c>
      <c r="AK945">
        <v>120.25</v>
      </c>
      <c r="AN945" t="s">
        <v>7138</v>
      </c>
      <c r="AO945">
        <v>14286</v>
      </c>
      <c r="AQ945" t="s">
        <v>7202</v>
      </c>
      <c r="AR945" t="s">
        <v>7223</v>
      </c>
      <c r="AS945" t="s">
        <v>7231</v>
      </c>
      <c r="AT945" t="s">
        <v>7264</v>
      </c>
      <c r="AU945">
        <v>106.53</v>
      </c>
      <c r="AV945" t="s">
        <v>134</v>
      </c>
      <c r="AW945" t="s">
        <v>7345</v>
      </c>
    </row>
    <row r="946" spans="1:50">
      <c r="A946" s="1">
        <f>HYPERLINK("https://lsnyc.legalserver.org/matter/dynamic-profile/view/1901243","19-1901243")</f>
        <v>0</v>
      </c>
      <c r="B946" t="s">
        <v>64</v>
      </c>
      <c r="C946" t="s">
        <v>105</v>
      </c>
      <c r="D946" t="s">
        <v>426</v>
      </c>
      <c r="F946" t="s">
        <v>922</v>
      </c>
      <c r="G946" t="s">
        <v>2074</v>
      </c>
      <c r="H946" t="s">
        <v>2827</v>
      </c>
      <c r="I946">
        <v>45</v>
      </c>
      <c r="J946" t="s">
        <v>3604</v>
      </c>
      <c r="K946">
        <v>10032</v>
      </c>
      <c r="L946" t="s">
        <v>3610</v>
      </c>
      <c r="M946" t="s">
        <v>3609</v>
      </c>
      <c r="O946" t="s">
        <v>4219</v>
      </c>
      <c r="P946" t="s">
        <v>4245</v>
      </c>
      <c r="R946" t="s">
        <v>4258</v>
      </c>
      <c r="S946" t="s">
        <v>3611</v>
      </c>
      <c r="U946" t="s">
        <v>4268</v>
      </c>
      <c r="W946" t="s">
        <v>426</v>
      </c>
      <c r="X946">
        <v>0</v>
      </c>
      <c r="Y946" t="s">
        <v>4351</v>
      </c>
      <c r="Z946" t="s">
        <v>4354</v>
      </c>
      <c r="AB946" t="s">
        <v>5137</v>
      </c>
      <c r="AE946">
        <v>30</v>
      </c>
      <c r="AF946" t="s">
        <v>7101</v>
      </c>
      <c r="AG946" t="s">
        <v>3745</v>
      </c>
      <c r="AH946">
        <v>22</v>
      </c>
      <c r="AI946">
        <v>6</v>
      </c>
      <c r="AJ946">
        <v>0</v>
      </c>
      <c r="AK946">
        <v>120.27</v>
      </c>
      <c r="AN946" t="s">
        <v>7139</v>
      </c>
      <c r="AO946">
        <v>41600</v>
      </c>
      <c r="AU946">
        <v>0</v>
      </c>
      <c r="AW946" t="s">
        <v>7342</v>
      </c>
      <c r="AX946" t="s">
        <v>7377</v>
      </c>
    </row>
    <row r="947" spans="1:50">
      <c r="A947" s="1">
        <f>HYPERLINK("https://lsnyc.legalserver.org/matter/dynamic-profile/view/1872408","18-1872408")</f>
        <v>0</v>
      </c>
      <c r="B947" t="s">
        <v>55</v>
      </c>
      <c r="C947" t="s">
        <v>104</v>
      </c>
      <c r="D947" t="s">
        <v>310</v>
      </c>
      <c r="E947" t="s">
        <v>303</v>
      </c>
      <c r="F947" t="s">
        <v>1209</v>
      </c>
      <c r="G947" t="s">
        <v>2075</v>
      </c>
      <c r="H947" t="s">
        <v>2955</v>
      </c>
      <c r="I947">
        <v>606</v>
      </c>
      <c r="J947" t="s">
        <v>3604</v>
      </c>
      <c r="K947">
        <v>10029</v>
      </c>
      <c r="L947" t="s">
        <v>3610</v>
      </c>
      <c r="M947" t="s">
        <v>3610</v>
      </c>
      <c r="N947" t="s">
        <v>3943</v>
      </c>
      <c r="O947" t="s">
        <v>4210</v>
      </c>
      <c r="P947" t="s">
        <v>4242</v>
      </c>
      <c r="Q947" t="s">
        <v>4250</v>
      </c>
      <c r="R947" t="s">
        <v>4258</v>
      </c>
      <c r="S947" t="s">
        <v>3611</v>
      </c>
      <c r="U947" t="s">
        <v>4268</v>
      </c>
      <c r="V947" t="s">
        <v>4274</v>
      </c>
      <c r="W947" t="s">
        <v>573</v>
      </c>
      <c r="X947">
        <v>4000</v>
      </c>
      <c r="Y947" t="s">
        <v>4351</v>
      </c>
      <c r="Z947" t="s">
        <v>4353</v>
      </c>
      <c r="AA947" t="s">
        <v>4373</v>
      </c>
      <c r="AB947" t="s">
        <v>5138</v>
      </c>
      <c r="AD947" t="s">
        <v>6508</v>
      </c>
      <c r="AE947">
        <v>54</v>
      </c>
      <c r="AF947" t="s">
        <v>7103</v>
      </c>
      <c r="AG947" t="s">
        <v>3745</v>
      </c>
      <c r="AH947">
        <v>9</v>
      </c>
      <c r="AI947">
        <v>1</v>
      </c>
      <c r="AJ947">
        <v>0</v>
      </c>
      <c r="AK947">
        <v>120.59</v>
      </c>
      <c r="AN947" t="s">
        <v>7150</v>
      </c>
      <c r="AO947">
        <v>14640</v>
      </c>
      <c r="AU947">
        <v>6.3</v>
      </c>
      <c r="AV947" t="s">
        <v>686</v>
      </c>
      <c r="AW947" t="s">
        <v>7344</v>
      </c>
      <c r="AX947" t="s">
        <v>7377</v>
      </c>
    </row>
    <row r="948" spans="1:50">
      <c r="A948" s="1">
        <f>HYPERLINK("https://lsnyc.legalserver.org/matter/dynamic-profile/view/1877323","18-1877323")</f>
        <v>0</v>
      </c>
      <c r="B948" t="s">
        <v>61</v>
      </c>
      <c r="C948" t="s">
        <v>104</v>
      </c>
      <c r="D948" t="s">
        <v>468</v>
      </c>
      <c r="E948" t="s">
        <v>668</v>
      </c>
      <c r="F948" t="s">
        <v>703</v>
      </c>
      <c r="G948" t="s">
        <v>2076</v>
      </c>
      <c r="H948" t="s">
        <v>2939</v>
      </c>
      <c r="I948" t="s">
        <v>3480</v>
      </c>
      <c r="J948" t="s">
        <v>3604</v>
      </c>
      <c r="K948">
        <v>10034</v>
      </c>
      <c r="L948" t="s">
        <v>3610</v>
      </c>
      <c r="M948" t="s">
        <v>3610</v>
      </c>
      <c r="N948" t="s">
        <v>3944</v>
      </c>
      <c r="O948" t="s">
        <v>4209</v>
      </c>
      <c r="P948" t="s">
        <v>4245</v>
      </c>
      <c r="Q948" t="s">
        <v>4249</v>
      </c>
      <c r="R948" t="s">
        <v>4258</v>
      </c>
      <c r="S948" t="s">
        <v>3611</v>
      </c>
      <c r="U948" t="s">
        <v>4268</v>
      </c>
      <c r="V948" t="s">
        <v>4274</v>
      </c>
      <c r="W948" t="s">
        <v>468</v>
      </c>
      <c r="X948">
        <v>1049.5</v>
      </c>
      <c r="Y948" t="s">
        <v>4351</v>
      </c>
      <c r="Z948" t="s">
        <v>4354</v>
      </c>
      <c r="AA948" t="s">
        <v>4373</v>
      </c>
      <c r="AB948" t="s">
        <v>5139</v>
      </c>
      <c r="AD948" t="s">
        <v>6509</v>
      </c>
      <c r="AE948">
        <v>101</v>
      </c>
      <c r="AF948" t="s">
        <v>7101</v>
      </c>
      <c r="AG948" t="s">
        <v>3745</v>
      </c>
      <c r="AH948">
        <v>25</v>
      </c>
      <c r="AI948">
        <v>1</v>
      </c>
      <c r="AJ948">
        <v>0</v>
      </c>
      <c r="AK948">
        <v>120.79</v>
      </c>
      <c r="AN948" t="s">
        <v>7139</v>
      </c>
      <c r="AO948">
        <v>14664</v>
      </c>
      <c r="AU948">
        <v>3.9</v>
      </c>
      <c r="AV948" t="s">
        <v>668</v>
      </c>
      <c r="AW948" t="s">
        <v>7342</v>
      </c>
      <c r="AX948" t="s">
        <v>7377</v>
      </c>
    </row>
    <row r="949" spans="1:50">
      <c r="A949" s="1">
        <f>HYPERLINK("https://lsnyc.legalserver.org/matter/dynamic-profile/view/1850242","17-1850242")</f>
        <v>0</v>
      </c>
      <c r="B949" t="s">
        <v>59</v>
      </c>
      <c r="C949" t="s">
        <v>104</v>
      </c>
      <c r="D949" t="s">
        <v>538</v>
      </c>
      <c r="E949" t="s">
        <v>488</v>
      </c>
      <c r="F949" t="s">
        <v>1210</v>
      </c>
      <c r="G949" t="s">
        <v>2077</v>
      </c>
      <c r="H949" t="s">
        <v>2956</v>
      </c>
      <c r="I949" t="s">
        <v>3341</v>
      </c>
      <c r="J949" t="s">
        <v>3604</v>
      </c>
      <c r="K949">
        <v>10033</v>
      </c>
      <c r="L949" t="s">
        <v>3610</v>
      </c>
      <c r="M949" t="s">
        <v>3609</v>
      </c>
      <c r="N949" t="s">
        <v>3945</v>
      </c>
      <c r="O949" t="s">
        <v>4209</v>
      </c>
      <c r="P949" t="s">
        <v>4242</v>
      </c>
      <c r="Q949" t="s">
        <v>4250</v>
      </c>
      <c r="R949" t="s">
        <v>4258</v>
      </c>
      <c r="S949" t="s">
        <v>3611</v>
      </c>
      <c r="T949" t="s">
        <v>4259</v>
      </c>
      <c r="U949" t="s">
        <v>4268</v>
      </c>
      <c r="W949" t="s">
        <v>4299</v>
      </c>
      <c r="X949">
        <v>1800</v>
      </c>
      <c r="Y949" t="s">
        <v>4351</v>
      </c>
      <c r="Z949" t="s">
        <v>4353</v>
      </c>
      <c r="AA949" t="s">
        <v>4373</v>
      </c>
      <c r="AB949" t="s">
        <v>5140</v>
      </c>
      <c r="AD949" t="s">
        <v>6510</v>
      </c>
      <c r="AE949">
        <v>75</v>
      </c>
      <c r="AF949" t="s">
        <v>7110</v>
      </c>
      <c r="AG949" t="s">
        <v>7120</v>
      </c>
      <c r="AH949">
        <v>10</v>
      </c>
      <c r="AI949">
        <v>3</v>
      </c>
      <c r="AJ949">
        <v>0</v>
      </c>
      <c r="AK949">
        <v>120.86</v>
      </c>
      <c r="AM949" t="s">
        <v>7135</v>
      </c>
      <c r="AN949" t="s">
        <v>7139</v>
      </c>
      <c r="AO949">
        <v>24680</v>
      </c>
      <c r="AU949">
        <v>0.25</v>
      </c>
      <c r="AV949" t="s">
        <v>488</v>
      </c>
      <c r="AW949" t="s">
        <v>7359</v>
      </c>
    </row>
    <row r="950" spans="1:50">
      <c r="A950" s="1">
        <f>HYPERLINK("https://lsnyc.legalserver.org/matter/dynamic-profile/view/1840172","17-1840172")</f>
        <v>0</v>
      </c>
      <c r="B950" t="s">
        <v>53</v>
      </c>
      <c r="C950" t="s">
        <v>104</v>
      </c>
      <c r="D950" t="s">
        <v>258</v>
      </c>
      <c r="E950" t="s">
        <v>548</v>
      </c>
      <c r="F950" t="s">
        <v>1211</v>
      </c>
      <c r="G950" t="s">
        <v>2078</v>
      </c>
      <c r="H950" t="s">
        <v>2833</v>
      </c>
      <c r="I950">
        <v>46</v>
      </c>
      <c r="J950" t="s">
        <v>3604</v>
      </c>
      <c r="K950">
        <v>10040</v>
      </c>
      <c r="L950" t="s">
        <v>3610</v>
      </c>
      <c r="M950" t="s">
        <v>3610</v>
      </c>
      <c r="N950" t="s">
        <v>3883</v>
      </c>
      <c r="O950" t="s">
        <v>4213</v>
      </c>
      <c r="P950" t="s">
        <v>4241</v>
      </c>
      <c r="Q950" t="s">
        <v>4248</v>
      </c>
      <c r="R950" t="s">
        <v>4258</v>
      </c>
      <c r="S950" t="s">
        <v>3610</v>
      </c>
      <c r="U950" t="s">
        <v>4268</v>
      </c>
      <c r="W950" t="s">
        <v>354</v>
      </c>
      <c r="X950">
        <v>1126.65</v>
      </c>
      <c r="Y950" t="s">
        <v>4351</v>
      </c>
      <c r="Z950" t="s">
        <v>4352</v>
      </c>
      <c r="AA950" t="s">
        <v>4379</v>
      </c>
      <c r="AB950" t="s">
        <v>5141</v>
      </c>
      <c r="AD950" t="s">
        <v>6511</v>
      </c>
      <c r="AE950">
        <v>45</v>
      </c>
      <c r="AF950" t="s">
        <v>7101</v>
      </c>
      <c r="AG950" t="s">
        <v>3745</v>
      </c>
      <c r="AH950">
        <v>33</v>
      </c>
      <c r="AI950">
        <v>2</v>
      </c>
      <c r="AJ950">
        <v>0</v>
      </c>
      <c r="AK950">
        <v>121.03</v>
      </c>
      <c r="AL950" t="s">
        <v>183</v>
      </c>
      <c r="AN950" t="s">
        <v>7139</v>
      </c>
      <c r="AO950">
        <v>19656</v>
      </c>
      <c r="AQ950" t="s">
        <v>7197</v>
      </c>
      <c r="AR950" t="s">
        <v>7220</v>
      </c>
      <c r="AS950" t="s">
        <v>7231</v>
      </c>
      <c r="AT950" t="s">
        <v>7260</v>
      </c>
      <c r="AU950">
        <v>2.1</v>
      </c>
      <c r="AV950" t="s">
        <v>548</v>
      </c>
      <c r="AW950" t="s">
        <v>7342</v>
      </c>
    </row>
    <row r="951" spans="1:50">
      <c r="A951" s="1">
        <f>HYPERLINK("https://lsnyc.legalserver.org/matter/dynamic-profile/view/1895304","19-1895304")</f>
        <v>0</v>
      </c>
      <c r="B951" t="s">
        <v>64</v>
      </c>
      <c r="C951" t="s">
        <v>105</v>
      </c>
      <c r="D951" t="s">
        <v>539</v>
      </c>
      <c r="F951" t="s">
        <v>1212</v>
      </c>
      <c r="G951" t="s">
        <v>1684</v>
      </c>
      <c r="H951" t="s">
        <v>2957</v>
      </c>
      <c r="I951" t="s">
        <v>3450</v>
      </c>
      <c r="J951" t="s">
        <v>3604</v>
      </c>
      <c r="K951">
        <v>10034</v>
      </c>
      <c r="L951" t="s">
        <v>3610</v>
      </c>
      <c r="M951" t="s">
        <v>3609</v>
      </c>
      <c r="N951" t="s">
        <v>3946</v>
      </c>
      <c r="O951" t="s">
        <v>4236</v>
      </c>
      <c r="P951" t="s">
        <v>4245</v>
      </c>
      <c r="R951" t="s">
        <v>4258</v>
      </c>
      <c r="S951" t="s">
        <v>3611</v>
      </c>
      <c r="U951" t="s">
        <v>4268</v>
      </c>
      <c r="V951" t="s">
        <v>4274</v>
      </c>
      <c r="W951" t="s">
        <v>539</v>
      </c>
      <c r="X951">
        <v>789.63</v>
      </c>
      <c r="Y951" t="s">
        <v>4351</v>
      </c>
      <c r="Z951" t="s">
        <v>4352</v>
      </c>
      <c r="AB951" t="s">
        <v>5142</v>
      </c>
      <c r="AD951" t="s">
        <v>6512</v>
      </c>
      <c r="AE951">
        <v>49</v>
      </c>
      <c r="AF951" t="s">
        <v>7101</v>
      </c>
      <c r="AH951">
        <v>41</v>
      </c>
      <c r="AI951">
        <v>1</v>
      </c>
      <c r="AJ951">
        <v>0</v>
      </c>
      <c r="AK951">
        <v>121.06</v>
      </c>
      <c r="AN951" t="s">
        <v>7139</v>
      </c>
      <c r="AO951">
        <v>15120</v>
      </c>
      <c r="AU951">
        <v>1.5</v>
      </c>
      <c r="AV951" t="s">
        <v>539</v>
      </c>
      <c r="AW951" t="s">
        <v>64</v>
      </c>
    </row>
    <row r="952" spans="1:50">
      <c r="A952" s="1">
        <f>HYPERLINK("https://lsnyc.legalserver.org/matter/dynamic-profile/view/1851906","17-1851906")</f>
        <v>0</v>
      </c>
      <c r="B952" t="s">
        <v>55</v>
      </c>
      <c r="C952" t="s">
        <v>104</v>
      </c>
      <c r="D952" t="s">
        <v>365</v>
      </c>
      <c r="E952" t="s">
        <v>303</v>
      </c>
      <c r="F952" t="s">
        <v>1213</v>
      </c>
      <c r="G952" t="s">
        <v>1688</v>
      </c>
      <c r="H952" t="s">
        <v>2849</v>
      </c>
      <c r="I952">
        <v>1</v>
      </c>
      <c r="J952" t="s">
        <v>3604</v>
      </c>
      <c r="K952">
        <v>10029</v>
      </c>
      <c r="L952" t="s">
        <v>3610</v>
      </c>
      <c r="M952" t="s">
        <v>3610</v>
      </c>
      <c r="N952" t="s">
        <v>3869</v>
      </c>
      <c r="O952" t="s">
        <v>4210</v>
      </c>
      <c r="P952" t="s">
        <v>4241</v>
      </c>
      <c r="Q952" t="s">
        <v>4249</v>
      </c>
      <c r="R952" t="s">
        <v>4258</v>
      </c>
      <c r="S952" t="s">
        <v>3611</v>
      </c>
      <c r="U952" t="s">
        <v>4268</v>
      </c>
      <c r="V952" t="s">
        <v>4274</v>
      </c>
      <c r="W952" t="s">
        <v>365</v>
      </c>
      <c r="X952">
        <v>450</v>
      </c>
      <c r="Y952" t="s">
        <v>4351</v>
      </c>
      <c r="Z952" t="s">
        <v>4228</v>
      </c>
      <c r="AA952" t="s">
        <v>4377</v>
      </c>
      <c r="AB952" t="s">
        <v>5143</v>
      </c>
      <c r="AD952" t="s">
        <v>6513</v>
      </c>
      <c r="AE952">
        <v>5</v>
      </c>
      <c r="AF952" t="s">
        <v>7105</v>
      </c>
      <c r="AG952" t="s">
        <v>3745</v>
      </c>
      <c r="AH952">
        <v>5</v>
      </c>
      <c r="AI952">
        <v>2</v>
      </c>
      <c r="AJ952">
        <v>0</v>
      </c>
      <c r="AK952">
        <v>121.18</v>
      </c>
      <c r="AN952" t="s">
        <v>7139</v>
      </c>
      <c r="AO952">
        <v>19680</v>
      </c>
      <c r="AU952">
        <v>2.7</v>
      </c>
      <c r="AV952" t="s">
        <v>631</v>
      </c>
      <c r="AW952" t="s">
        <v>7341</v>
      </c>
    </row>
    <row r="953" spans="1:50">
      <c r="A953" s="1">
        <f>HYPERLINK("https://lsnyc.legalserver.org/matter/dynamic-profile/view/0800314","16-0800314")</f>
        <v>0</v>
      </c>
      <c r="B953" t="s">
        <v>64</v>
      </c>
      <c r="C953" t="s">
        <v>104</v>
      </c>
      <c r="D953" t="s">
        <v>197</v>
      </c>
      <c r="E953" t="s">
        <v>201</v>
      </c>
      <c r="F953" t="s">
        <v>1214</v>
      </c>
      <c r="G953" t="s">
        <v>1718</v>
      </c>
      <c r="H953" t="s">
        <v>2763</v>
      </c>
      <c r="I953" t="s">
        <v>3414</v>
      </c>
      <c r="J953" t="s">
        <v>3604</v>
      </c>
      <c r="K953">
        <v>10034</v>
      </c>
      <c r="L953" t="s">
        <v>3610</v>
      </c>
      <c r="M953" t="s">
        <v>3609</v>
      </c>
      <c r="N953" t="s">
        <v>3745</v>
      </c>
      <c r="O953" t="s">
        <v>4211</v>
      </c>
      <c r="P953" t="s">
        <v>4244</v>
      </c>
      <c r="Q953" t="s">
        <v>4254</v>
      </c>
      <c r="R953" t="s">
        <v>4258</v>
      </c>
      <c r="U953" t="s">
        <v>4271</v>
      </c>
      <c r="W953" t="s">
        <v>4327</v>
      </c>
      <c r="X953">
        <v>811.95</v>
      </c>
      <c r="Y953" t="s">
        <v>4351</v>
      </c>
      <c r="Z953" t="s">
        <v>4360</v>
      </c>
      <c r="AA953" t="s">
        <v>4377</v>
      </c>
      <c r="AB953" t="s">
        <v>5144</v>
      </c>
      <c r="AD953" t="s">
        <v>6514</v>
      </c>
      <c r="AE953">
        <v>146</v>
      </c>
      <c r="AF953" t="s">
        <v>7101</v>
      </c>
      <c r="AG953" t="s">
        <v>3745</v>
      </c>
      <c r="AH953">
        <v>30</v>
      </c>
      <c r="AI953">
        <v>1</v>
      </c>
      <c r="AJ953">
        <v>0</v>
      </c>
      <c r="AK953">
        <v>121.21</v>
      </c>
      <c r="AN953" t="s">
        <v>7139</v>
      </c>
      <c r="AO953">
        <v>14400</v>
      </c>
      <c r="AU953">
        <v>11.05</v>
      </c>
      <c r="AV953" t="s">
        <v>201</v>
      </c>
      <c r="AW953" t="s">
        <v>7343</v>
      </c>
    </row>
    <row r="954" spans="1:50">
      <c r="A954" s="1">
        <f>HYPERLINK("https://lsnyc.legalserver.org/matter/dynamic-profile/view/1861099","18-1861099")</f>
        <v>0</v>
      </c>
      <c r="B954" t="s">
        <v>59</v>
      </c>
      <c r="C954" t="s">
        <v>105</v>
      </c>
      <c r="D954" t="s">
        <v>111</v>
      </c>
      <c r="F954" t="s">
        <v>923</v>
      </c>
      <c r="G954" t="s">
        <v>2079</v>
      </c>
      <c r="H954" t="s">
        <v>2958</v>
      </c>
      <c r="I954" t="s">
        <v>3481</v>
      </c>
      <c r="J954" t="s">
        <v>3604</v>
      </c>
      <c r="K954">
        <v>10037</v>
      </c>
      <c r="L954" t="s">
        <v>3610</v>
      </c>
      <c r="M954" t="s">
        <v>3609</v>
      </c>
      <c r="P954" t="s">
        <v>4242</v>
      </c>
      <c r="R954" t="s">
        <v>4258</v>
      </c>
      <c r="U954" t="s">
        <v>4271</v>
      </c>
      <c r="W954" t="s">
        <v>278</v>
      </c>
      <c r="X954">
        <v>989</v>
      </c>
      <c r="Y954" t="s">
        <v>4351</v>
      </c>
      <c r="Z954" t="s">
        <v>4357</v>
      </c>
      <c r="AB954" t="s">
        <v>5145</v>
      </c>
      <c r="AD954" t="s">
        <v>6515</v>
      </c>
      <c r="AE954">
        <v>0</v>
      </c>
      <c r="AF954" t="s">
        <v>7111</v>
      </c>
      <c r="AG954" t="s">
        <v>3745</v>
      </c>
      <c r="AH954">
        <v>9</v>
      </c>
      <c r="AI954">
        <v>1</v>
      </c>
      <c r="AJ954">
        <v>1</v>
      </c>
      <c r="AK954">
        <v>121.51</v>
      </c>
      <c r="AN954" t="s">
        <v>7138</v>
      </c>
      <c r="AO954">
        <v>20000</v>
      </c>
      <c r="AU954">
        <v>0.2</v>
      </c>
      <c r="AV954" t="s">
        <v>7323</v>
      </c>
      <c r="AW954" t="s">
        <v>7344</v>
      </c>
    </row>
    <row r="955" spans="1:50">
      <c r="A955" s="1">
        <f>HYPERLINK("https://lsnyc.legalserver.org/matter/dynamic-profile/view/1866300","18-1866300")</f>
        <v>0</v>
      </c>
      <c r="B955" t="s">
        <v>66</v>
      </c>
      <c r="C955" t="s">
        <v>104</v>
      </c>
      <c r="D955" t="s">
        <v>239</v>
      </c>
      <c r="E955" t="s">
        <v>276</v>
      </c>
      <c r="F955" t="s">
        <v>1215</v>
      </c>
      <c r="G955" t="s">
        <v>2080</v>
      </c>
      <c r="H955" t="s">
        <v>2663</v>
      </c>
      <c r="I955">
        <v>52</v>
      </c>
      <c r="J955" t="s">
        <v>3604</v>
      </c>
      <c r="K955">
        <v>10034</v>
      </c>
      <c r="L955" t="s">
        <v>3610</v>
      </c>
      <c r="M955" t="s">
        <v>3609</v>
      </c>
      <c r="N955" t="s">
        <v>3947</v>
      </c>
      <c r="O955" t="s">
        <v>4209</v>
      </c>
      <c r="P955" t="s">
        <v>4242</v>
      </c>
      <c r="Q955" t="s">
        <v>4250</v>
      </c>
      <c r="R955" t="s">
        <v>4258</v>
      </c>
      <c r="S955" t="s">
        <v>3611</v>
      </c>
      <c r="T955" t="s">
        <v>4259</v>
      </c>
      <c r="U955" t="s">
        <v>4268</v>
      </c>
      <c r="W955" t="s">
        <v>239</v>
      </c>
      <c r="X955">
        <v>1300</v>
      </c>
      <c r="Y955" t="s">
        <v>4351</v>
      </c>
      <c r="Z955" t="s">
        <v>4353</v>
      </c>
      <c r="AA955" t="s">
        <v>4373</v>
      </c>
      <c r="AB955" t="s">
        <v>5146</v>
      </c>
      <c r="AD955" t="s">
        <v>6516</v>
      </c>
      <c r="AE955">
        <v>0</v>
      </c>
      <c r="AF955" t="s">
        <v>7105</v>
      </c>
      <c r="AG955" t="s">
        <v>3745</v>
      </c>
      <c r="AH955">
        <v>2</v>
      </c>
      <c r="AI955">
        <v>2</v>
      </c>
      <c r="AJ955">
        <v>0</v>
      </c>
      <c r="AK955">
        <v>121.51</v>
      </c>
      <c r="AO955">
        <v>20000</v>
      </c>
      <c r="AU955">
        <v>2.1</v>
      </c>
      <c r="AV955" t="s">
        <v>276</v>
      </c>
      <c r="AW955" t="s">
        <v>7350</v>
      </c>
    </row>
    <row r="956" spans="1:50">
      <c r="A956" s="1">
        <f>HYPERLINK("https://lsnyc.legalserver.org/matter/dynamic-profile/view/1866701","18-1866701")</f>
        <v>0</v>
      </c>
      <c r="B956" t="s">
        <v>61</v>
      </c>
      <c r="C956" t="s">
        <v>104</v>
      </c>
      <c r="D956" t="s">
        <v>413</v>
      </c>
      <c r="E956" t="s">
        <v>201</v>
      </c>
      <c r="F956" t="s">
        <v>853</v>
      </c>
      <c r="G956" t="s">
        <v>2081</v>
      </c>
      <c r="H956" t="s">
        <v>2544</v>
      </c>
      <c r="I956" t="s">
        <v>3291</v>
      </c>
      <c r="J956" t="s">
        <v>3604</v>
      </c>
      <c r="K956">
        <v>10034</v>
      </c>
      <c r="L956" t="s">
        <v>3610</v>
      </c>
      <c r="M956" t="s">
        <v>3610</v>
      </c>
      <c r="O956" t="s">
        <v>4219</v>
      </c>
      <c r="P956" t="s">
        <v>4242</v>
      </c>
      <c r="Q956" t="s">
        <v>4250</v>
      </c>
      <c r="R956" t="s">
        <v>4258</v>
      </c>
      <c r="S956" t="s">
        <v>3611</v>
      </c>
      <c r="U956" t="s">
        <v>4268</v>
      </c>
      <c r="W956" t="s">
        <v>413</v>
      </c>
      <c r="X956">
        <v>1696.59</v>
      </c>
      <c r="Y956" t="s">
        <v>4351</v>
      </c>
      <c r="Z956" t="s">
        <v>4354</v>
      </c>
      <c r="AA956" t="s">
        <v>4373</v>
      </c>
      <c r="AB956" t="s">
        <v>5147</v>
      </c>
      <c r="AD956" t="s">
        <v>6517</v>
      </c>
      <c r="AE956">
        <v>0</v>
      </c>
      <c r="AF956" t="s">
        <v>7101</v>
      </c>
      <c r="AG956" t="s">
        <v>3745</v>
      </c>
      <c r="AH956">
        <v>3</v>
      </c>
      <c r="AI956">
        <v>1</v>
      </c>
      <c r="AJ956">
        <v>1</v>
      </c>
      <c r="AK956">
        <v>121.51</v>
      </c>
      <c r="AN956" t="s">
        <v>7138</v>
      </c>
      <c r="AO956">
        <v>20000</v>
      </c>
      <c r="AU956">
        <v>2.3</v>
      </c>
      <c r="AV956" t="s">
        <v>413</v>
      </c>
      <c r="AW956" t="s">
        <v>7342</v>
      </c>
    </row>
    <row r="957" spans="1:50">
      <c r="A957" s="1">
        <f>HYPERLINK("https://lsnyc.legalserver.org/matter/dynamic-profile/view/1863072","18-1863072")</f>
        <v>0</v>
      </c>
      <c r="B957" t="s">
        <v>50</v>
      </c>
      <c r="C957" t="s">
        <v>105</v>
      </c>
      <c r="D957" t="s">
        <v>314</v>
      </c>
      <c r="F957" t="s">
        <v>1216</v>
      </c>
      <c r="G957" t="s">
        <v>2082</v>
      </c>
      <c r="H957" t="s">
        <v>2959</v>
      </c>
      <c r="I957" t="s">
        <v>3304</v>
      </c>
      <c r="J957" t="s">
        <v>3604</v>
      </c>
      <c r="K957">
        <v>10029</v>
      </c>
      <c r="L957" t="s">
        <v>3609</v>
      </c>
      <c r="M957" t="s">
        <v>3609</v>
      </c>
      <c r="O957" t="s">
        <v>4211</v>
      </c>
      <c r="R957" t="s">
        <v>4258</v>
      </c>
      <c r="U957" t="s">
        <v>4268</v>
      </c>
      <c r="X957">
        <v>487</v>
      </c>
      <c r="Y957" t="s">
        <v>4351</v>
      </c>
      <c r="Z957" t="s">
        <v>4361</v>
      </c>
      <c r="AA957" t="s">
        <v>4373</v>
      </c>
      <c r="AB957" t="s">
        <v>5148</v>
      </c>
      <c r="AD957" t="s">
        <v>6518</v>
      </c>
      <c r="AE957">
        <v>0</v>
      </c>
      <c r="AF957" t="s">
        <v>7101</v>
      </c>
      <c r="AH957">
        <v>4</v>
      </c>
      <c r="AI957">
        <v>2</v>
      </c>
      <c r="AJ957">
        <v>0</v>
      </c>
      <c r="AK957">
        <v>121.51</v>
      </c>
      <c r="AN957" t="s">
        <v>7139</v>
      </c>
      <c r="AO957">
        <v>20000</v>
      </c>
      <c r="AU957">
        <v>4</v>
      </c>
      <c r="AV957" t="s">
        <v>7293</v>
      </c>
      <c r="AW957" t="s">
        <v>7340</v>
      </c>
    </row>
    <row r="958" spans="1:50">
      <c r="A958" s="1">
        <f>HYPERLINK("https://lsnyc.legalserver.org/matter/dynamic-profile/view/1834771","17-1834771")</f>
        <v>0</v>
      </c>
      <c r="B958" t="s">
        <v>51</v>
      </c>
      <c r="C958" t="s">
        <v>104</v>
      </c>
      <c r="D958" t="s">
        <v>433</v>
      </c>
      <c r="E958" t="s">
        <v>385</v>
      </c>
      <c r="F958" t="s">
        <v>823</v>
      </c>
      <c r="G958" t="s">
        <v>1872</v>
      </c>
      <c r="H958" t="s">
        <v>2752</v>
      </c>
      <c r="I958" t="s">
        <v>3408</v>
      </c>
      <c r="J958" t="s">
        <v>3604</v>
      </c>
      <c r="K958">
        <v>10035</v>
      </c>
      <c r="L958" t="s">
        <v>3610</v>
      </c>
      <c r="M958" t="s">
        <v>3610</v>
      </c>
      <c r="N958" t="s">
        <v>3948</v>
      </c>
      <c r="O958" t="s">
        <v>4209</v>
      </c>
      <c r="P958" t="s">
        <v>4241</v>
      </c>
      <c r="Q958" t="s">
        <v>4248</v>
      </c>
      <c r="R958" t="s">
        <v>4258</v>
      </c>
      <c r="S958" t="s">
        <v>3611</v>
      </c>
      <c r="T958" t="s">
        <v>4259</v>
      </c>
      <c r="U958" t="s">
        <v>4268</v>
      </c>
      <c r="V958" t="s">
        <v>4274</v>
      </c>
      <c r="W958" t="s">
        <v>4304</v>
      </c>
      <c r="X958">
        <v>1562</v>
      </c>
      <c r="Y958" t="s">
        <v>4351</v>
      </c>
      <c r="Z958" t="s">
        <v>4357</v>
      </c>
      <c r="AA958" t="s">
        <v>4374</v>
      </c>
      <c r="AB958" t="s">
        <v>4778</v>
      </c>
      <c r="AD958" t="s">
        <v>6173</v>
      </c>
      <c r="AE958">
        <v>48</v>
      </c>
      <c r="AF958" t="s">
        <v>7105</v>
      </c>
      <c r="AG958" t="s">
        <v>7120</v>
      </c>
      <c r="AH958">
        <v>15</v>
      </c>
      <c r="AI958">
        <v>1</v>
      </c>
      <c r="AJ958">
        <v>0</v>
      </c>
      <c r="AK958">
        <v>121.59</v>
      </c>
      <c r="AN958" t="s">
        <v>7138</v>
      </c>
      <c r="AO958">
        <v>14664</v>
      </c>
      <c r="AU958">
        <v>5</v>
      </c>
      <c r="AV958" t="s">
        <v>465</v>
      </c>
      <c r="AW958" t="s">
        <v>7361</v>
      </c>
    </row>
    <row r="959" spans="1:50">
      <c r="A959" s="1">
        <f>HYPERLINK("https://lsnyc.legalserver.org/matter/dynamic-profile/view/1836777","17-1836777")</f>
        <v>0</v>
      </c>
      <c r="B959" t="s">
        <v>64</v>
      </c>
      <c r="C959" t="s">
        <v>105</v>
      </c>
      <c r="D959" t="s">
        <v>524</v>
      </c>
      <c r="F959" t="s">
        <v>1217</v>
      </c>
      <c r="G959" t="s">
        <v>2083</v>
      </c>
      <c r="H959" t="s">
        <v>2642</v>
      </c>
      <c r="I959" t="s">
        <v>3482</v>
      </c>
      <c r="J959" t="s">
        <v>3604</v>
      </c>
      <c r="K959">
        <v>10034</v>
      </c>
      <c r="L959" t="s">
        <v>3610</v>
      </c>
      <c r="M959" t="s">
        <v>3609</v>
      </c>
      <c r="O959" t="s">
        <v>4213</v>
      </c>
      <c r="P959" t="s">
        <v>4241</v>
      </c>
      <c r="R959" t="s">
        <v>4258</v>
      </c>
      <c r="S959" t="s">
        <v>3610</v>
      </c>
      <c r="U959" t="s">
        <v>4268</v>
      </c>
      <c r="W959" t="s">
        <v>154</v>
      </c>
      <c r="X959">
        <v>900</v>
      </c>
      <c r="Y959" t="s">
        <v>4351</v>
      </c>
      <c r="Z959" t="s">
        <v>4352</v>
      </c>
      <c r="AB959" t="s">
        <v>5149</v>
      </c>
      <c r="AD959" t="s">
        <v>6519</v>
      </c>
      <c r="AE959">
        <v>44</v>
      </c>
      <c r="AF959" t="s">
        <v>7101</v>
      </c>
      <c r="AG959" t="s">
        <v>3745</v>
      </c>
      <c r="AH959">
        <v>16</v>
      </c>
      <c r="AI959">
        <v>3</v>
      </c>
      <c r="AJ959">
        <v>2</v>
      </c>
      <c r="AK959">
        <v>121.61</v>
      </c>
      <c r="AN959" t="s">
        <v>7139</v>
      </c>
      <c r="AO959">
        <v>35000</v>
      </c>
      <c r="AU959">
        <v>0.15</v>
      </c>
      <c r="AV959" t="s">
        <v>335</v>
      </c>
      <c r="AW959" t="s">
        <v>7341</v>
      </c>
    </row>
    <row r="960" spans="1:50">
      <c r="A960" s="1">
        <f>HYPERLINK("https://lsnyc.legalserver.org/matter/dynamic-profile/view/1894924","19-1894924")</f>
        <v>0</v>
      </c>
      <c r="B960" t="s">
        <v>62</v>
      </c>
      <c r="C960" t="s">
        <v>104</v>
      </c>
      <c r="D960" t="s">
        <v>540</v>
      </c>
      <c r="E960" t="s">
        <v>679</v>
      </c>
      <c r="F960" t="s">
        <v>843</v>
      </c>
      <c r="G960" t="s">
        <v>1838</v>
      </c>
      <c r="H960" t="s">
        <v>2960</v>
      </c>
      <c r="I960" t="s">
        <v>3306</v>
      </c>
      <c r="J960" t="s">
        <v>3604</v>
      </c>
      <c r="K960">
        <v>10040</v>
      </c>
      <c r="L960" t="s">
        <v>3610</v>
      </c>
      <c r="M960" t="s">
        <v>3610</v>
      </c>
      <c r="O960" t="s">
        <v>4210</v>
      </c>
      <c r="P960" t="s">
        <v>4242</v>
      </c>
      <c r="Q960" t="s">
        <v>4250</v>
      </c>
      <c r="R960" t="s">
        <v>4258</v>
      </c>
      <c r="S960" t="s">
        <v>3611</v>
      </c>
      <c r="U960" t="s">
        <v>4268</v>
      </c>
      <c r="W960" t="s">
        <v>540</v>
      </c>
      <c r="X960">
        <v>1016</v>
      </c>
      <c r="Y960" t="s">
        <v>4351</v>
      </c>
      <c r="Z960" t="s">
        <v>4354</v>
      </c>
      <c r="AA960" t="s">
        <v>4373</v>
      </c>
      <c r="AB960" t="s">
        <v>5150</v>
      </c>
      <c r="AD960" t="s">
        <v>6520</v>
      </c>
      <c r="AE960">
        <v>75</v>
      </c>
      <c r="AF960" t="s">
        <v>7104</v>
      </c>
      <c r="AG960" t="s">
        <v>3745</v>
      </c>
      <c r="AH960">
        <v>37</v>
      </c>
      <c r="AI960">
        <v>2</v>
      </c>
      <c r="AJ960">
        <v>1</v>
      </c>
      <c r="AK960">
        <v>122.76</v>
      </c>
      <c r="AN960" t="s">
        <v>7139</v>
      </c>
      <c r="AO960">
        <v>26184</v>
      </c>
      <c r="AU960">
        <v>2.05</v>
      </c>
      <c r="AV960" t="s">
        <v>319</v>
      </c>
      <c r="AW960" t="s">
        <v>7359</v>
      </c>
    </row>
    <row r="961" spans="1:50">
      <c r="A961" s="1">
        <f>HYPERLINK("https://lsnyc.legalserver.org/matter/dynamic-profile/view/1860972","18-1860972")</f>
        <v>0</v>
      </c>
      <c r="B961" t="s">
        <v>55</v>
      </c>
      <c r="C961" t="s">
        <v>104</v>
      </c>
      <c r="D961" t="s">
        <v>475</v>
      </c>
      <c r="E961" t="s">
        <v>303</v>
      </c>
      <c r="F961" t="s">
        <v>1218</v>
      </c>
      <c r="G961" t="s">
        <v>2084</v>
      </c>
      <c r="H961" t="s">
        <v>2736</v>
      </c>
      <c r="I961">
        <v>2210</v>
      </c>
      <c r="J961" t="s">
        <v>3604</v>
      </c>
      <c r="K961">
        <v>10029</v>
      </c>
      <c r="L961" t="s">
        <v>3610</v>
      </c>
      <c r="M961" t="s">
        <v>3610</v>
      </c>
      <c r="O961" t="s">
        <v>4211</v>
      </c>
      <c r="P961" t="s">
        <v>4242</v>
      </c>
      <c r="Q961" t="s">
        <v>4250</v>
      </c>
      <c r="R961" t="s">
        <v>4258</v>
      </c>
      <c r="S961" t="s">
        <v>3611</v>
      </c>
      <c r="U961" t="s">
        <v>4268</v>
      </c>
      <c r="V961" t="s">
        <v>4274</v>
      </c>
      <c r="W961" t="s">
        <v>475</v>
      </c>
      <c r="X961">
        <v>1200</v>
      </c>
      <c r="Y961" t="s">
        <v>4351</v>
      </c>
      <c r="Z961" t="s">
        <v>4354</v>
      </c>
      <c r="AA961" t="s">
        <v>4373</v>
      </c>
      <c r="AB961" t="s">
        <v>5151</v>
      </c>
      <c r="AD961" t="s">
        <v>6521</v>
      </c>
      <c r="AE961">
        <v>396</v>
      </c>
      <c r="AF961" t="s">
        <v>7102</v>
      </c>
      <c r="AG961" t="s">
        <v>7116</v>
      </c>
      <c r="AH961">
        <v>40</v>
      </c>
      <c r="AI961">
        <v>3</v>
      </c>
      <c r="AJ961">
        <v>0</v>
      </c>
      <c r="AK961">
        <v>123.2</v>
      </c>
      <c r="AN961" t="s">
        <v>7138</v>
      </c>
      <c r="AO961">
        <v>25600</v>
      </c>
      <c r="AU961">
        <v>1.2</v>
      </c>
      <c r="AV961" t="s">
        <v>318</v>
      </c>
      <c r="AW961" t="s">
        <v>7341</v>
      </c>
    </row>
    <row r="962" spans="1:50">
      <c r="A962" s="1">
        <f>HYPERLINK("https://lsnyc.legalserver.org/matter/dynamic-profile/view/1857913","18-1857913")</f>
        <v>0</v>
      </c>
      <c r="B962" t="s">
        <v>53</v>
      </c>
      <c r="C962" t="s">
        <v>104</v>
      </c>
      <c r="D962" t="s">
        <v>379</v>
      </c>
      <c r="E962" t="s">
        <v>260</v>
      </c>
      <c r="F962" t="s">
        <v>1021</v>
      </c>
      <c r="G962" t="s">
        <v>2041</v>
      </c>
      <c r="H962" t="s">
        <v>2695</v>
      </c>
      <c r="I962" t="s">
        <v>3344</v>
      </c>
      <c r="J962" t="s">
        <v>3604</v>
      </c>
      <c r="K962">
        <v>10034</v>
      </c>
      <c r="L962" t="s">
        <v>3610</v>
      </c>
      <c r="M962" t="s">
        <v>3609</v>
      </c>
      <c r="O962" t="s">
        <v>4221</v>
      </c>
      <c r="P962" t="s">
        <v>4244</v>
      </c>
      <c r="Q962" t="s">
        <v>4249</v>
      </c>
      <c r="R962" t="s">
        <v>4258</v>
      </c>
      <c r="S962" t="s">
        <v>3611</v>
      </c>
      <c r="U962" t="s">
        <v>4268</v>
      </c>
      <c r="W962" t="s">
        <v>379</v>
      </c>
      <c r="X962">
        <v>1546.83</v>
      </c>
      <c r="Y962" t="s">
        <v>4351</v>
      </c>
      <c r="Z962" t="s">
        <v>4357</v>
      </c>
      <c r="AA962" t="s">
        <v>4374</v>
      </c>
      <c r="AB962" t="s">
        <v>5152</v>
      </c>
      <c r="AD962" t="s">
        <v>6522</v>
      </c>
      <c r="AE962">
        <v>44</v>
      </c>
      <c r="AF962" t="s">
        <v>7101</v>
      </c>
      <c r="AG962" t="s">
        <v>3745</v>
      </c>
      <c r="AH962">
        <v>8</v>
      </c>
      <c r="AI962">
        <v>1</v>
      </c>
      <c r="AJ962">
        <v>2</v>
      </c>
      <c r="AK962">
        <v>123.54</v>
      </c>
      <c r="AN962" t="s">
        <v>7139</v>
      </c>
      <c r="AO962">
        <v>34046</v>
      </c>
      <c r="AU962">
        <v>0.3</v>
      </c>
      <c r="AV962" t="s">
        <v>460</v>
      </c>
      <c r="AW962" t="s">
        <v>7342</v>
      </c>
    </row>
    <row r="963" spans="1:50">
      <c r="A963" s="1">
        <f>HYPERLINK("https://lsnyc.legalserver.org/matter/dynamic-profile/view/1848160","17-1848160")</f>
        <v>0</v>
      </c>
      <c r="B963" t="s">
        <v>53</v>
      </c>
      <c r="C963" t="s">
        <v>104</v>
      </c>
      <c r="D963" t="s">
        <v>541</v>
      </c>
      <c r="E963" t="s">
        <v>260</v>
      </c>
      <c r="F963" t="s">
        <v>1021</v>
      </c>
      <c r="G963" t="s">
        <v>2041</v>
      </c>
      <c r="H963" t="s">
        <v>2695</v>
      </c>
      <c r="I963" t="s">
        <v>3344</v>
      </c>
      <c r="J963" t="s">
        <v>3604</v>
      </c>
      <c r="K963">
        <v>10034</v>
      </c>
      <c r="L963" t="s">
        <v>3610</v>
      </c>
      <c r="M963" t="s">
        <v>3609</v>
      </c>
      <c r="N963" t="s">
        <v>3949</v>
      </c>
      <c r="O963" t="s">
        <v>4209</v>
      </c>
      <c r="P963" t="s">
        <v>4241</v>
      </c>
      <c r="Q963" t="s">
        <v>4248</v>
      </c>
      <c r="R963" t="s">
        <v>4258</v>
      </c>
      <c r="S963" t="s">
        <v>3611</v>
      </c>
      <c r="U963" t="s">
        <v>4268</v>
      </c>
      <c r="W963" t="s">
        <v>541</v>
      </c>
      <c r="X963">
        <v>1546.83</v>
      </c>
      <c r="Y963" t="s">
        <v>4351</v>
      </c>
      <c r="Z963" t="s">
        <v>4354</v>
      </c>
      <c r="AA963" t="s">
        <v>4374</v>
      </c>
      <c r="AB963" t="s">
        <v>5152</v>
      </c>
      <c r="AD963" t="s">
        <v>6522</v>
      </c>
      <c r="AE963">
        <v>44</v>
      </c>
      <c r="AF963" t="s">
        <v>7101</v>
      </c>
      <c r="AG963" t="s">
        <v>7116</v>
      </c>
      <c r="AH963">
        <v>8</v>
      </c>
      <c r="AI963">
        <v>1</v>
      </c>
      <c r="AJ963">
        <v>2</v>
      </c>
      <c r="AK963">
        <v>123.54</v>
      </c>
      <c r="AN963" t="s">
        <v>7139</v>
      </c>
      <c r="AO963">
        <v>25226</v>
      </c>
      <c r="AU963">
        <v>11.12</v>
      </c>
      <c r="AV963" t="s">
        <v>366</v>
      </c>
      <c r="AW963" t="s">
        <v>7342</v>
      </c>
    </row>
    <row r="964" spans="1:50">
      <c r="A964" s="1">
        <f>HYPERLINK("https://lsnyc.legalserver.org/matter/dynamic-profile/view/0827301","17-0827301")</f>
        <v>0</v>
      </c>
      <c r="B964" t="s">
        <v>63</v>
      </c>
      <c r="C964" t="s">
        <v>104</v>
      </c>
      <c r="D964" t="s">
        <v>542</v>
      </c>
      <c r="E964" t="s">
        <v>192</v>
      </c>
      <c r="F964" t="s">
        <v>1219</v>
      </c>
      <c r="G964" t="s">
        <v>2085</v>
      </c>
      <c r="H964" t="s">
        <v>2637</v>
      </c>
      <c r="I964" t="s">
        <v>3306</v>
      </c>
      <c r="J964" t="s">
        <v>3604</v>
      </c>
      <c r="K964">
        <v>10034</v>
      </c>
      <c r="L964" t="s">
        <v>3610</v>
      </c>
      <c r="M964" t="s">
        <v>3610</v>
      </c>
      <c r="N964" t="s">
        <v>3950</v>
      </c>
      <c r="O964" t="s">
        <v>4213</v>
      </c>
      <c r="P964" t="s">
        <v>4241</v>
      </c>
      <c r="Q964" t="s">
        <v>4248</v>
      </c>
      <c r="R964" t="s">
        <v>4258</v>
      </c>
      <c r="S964" t="s">
        <v>3610</v>
      </c>
      <c r="U964" t="s">
        <v>4268</v>
      </c>
      <c r="W964" t="s">
        <v>4307</v>
      </c>
      <c r="X964">
        <v>1795</v>
      </c>
      <c r="Y964" t="s">
        <v>4351</v>
      </c>
      <c r="Z964" t="s">
        <v>4364</v>
      </c>
      <c r="AA964" t="s">
        <v>4379</v>
      </c>
      <c r="AB964" t="s">
        <v>5153</v>
      </c>
      <c r="AD964" t="s">
        <v>6523</v>
      </c>
      <c r="AE964">
        <v>44</v>
      </c>
      <c r="AF964" t="s">
        <v>7103</v>
      </c>
      <c r="AG964" t="s">
        <v>3745</v>
      </c>
      <c r="AH964">
        <v>2</v>
      </c>
      <c r="AI964">
        <v>1</v>
      </c>
      <c r="AJ964">
        <v>0</v>
      </c>
      <c r="AK964">
        <v>123.55</v>
      </c>
      <c r="AN964" t="s">
        <v>7138</v>
      </c>
      <c r="AO964">
        <v>14900</v>
      </c>
      <c r="AU964">
        <v>41.55</v>
      </c>
      <c r="AV964" t="s">
        <v>192</v>
      </c>
      <c r="AW964" t="s">
        <v>63</v>
      </c>
    </row>
    <row r="965" spans="1:50">
      <c r="A965" s="1">
        <f>HYPERLINK("https://lsnyc.legalserver.org/matter/dynamic-profile/view/1871565","18-1871565")</f>
        <v>0</v>
      </c>
      <c r="B965" t="s">
        <v>61</v>
      </c>
      <c r="C965" t="s">
        <v>105</v>
      </c>
      <c r="D965" t="s">
        <v>119</v>
      </c>
      <c r="F965" t="s">
        <v>1220</v>
      </c>
      <c r="G965" t="s">
        <v>2086</v>
      </c>
      <c r="H965" t="s">
        <v>2472</v>
      </c>
      <c r="I965" t="s">
        <v>3286</v>
      </c>
      <c r="J965" t="s">
        <v>3604</v>
      </c>
      <c r="K965">
        <v>10034</v>
      </c>
      <c r="L965" t="s">
        <v>3610</v>
      </c>
      <c r="M965" t="s">
        <v>3610</v>
      </c>
      <c r="N965" t="s">
        <v>3619</v>
      </c>
      <c r="O965" t="s">
        <v>4213</v>
      </c>
      <c r="P965" t="s">
        <v>4241</v>
      </c>
      <c r="R965" t="s">
        <v>4258</v>
      </c>
      <c r="S965" t="s">
        <v>3610</v>
      </c>
      <c r="U965" t="s">
        <v>4268</v>
      </c>
      <c r="W965" t="s">
        <v>119</v>
      </c>
      <c r="X965">
        <v>693</v>
      </c>
      <c r="Y965" t="s">
        <v>4351</v>
      </c>
      <c r="Z965" t="s">
        <v>4354</v>
      </c>
      <c r="AB965" t="s">
        <v>5154</v>
      </c>
      <c r="AE965">
        <v>67</v>
      </c>
      <c r="AF965" t="s">
        <v>7101</v>
      </c>
      <c r="AG965" t="s">
        <v>3745</v>
      </c>
      <c r="AH965">
        <v>17</v>
      </c>
      <c r="AI965">
        <v>1</v>
      </c>
      <c r="AJ965">
        <v>0</v>
      </c>
      <c r="AK965">
        <v>123.56</v>
      </c>
      <c r="AN965" t="s">
        <v>7138</v>
      </c>
      <c r="AO965">
        <v>15000</v>
      </c>
      <c r="AU965">
        <v>1</v>
      </c>
      <c r="AV965" t="s">
        <v>264</v>
      </c>
      <c r="AW965" t="s">
        <v>7342</v>
      </c>
      <c r="AX965" t="s">
        <v>7377</v>
      </c>
    </row>
    <row r="966" spans="1:50">
      <c r="A966" s="1">
        <f>HYPERLINK("https://lsnyc.legalserver.org/matter/dynamic-profile/view/1873835","18-1873835")</f>
        <v>0</v>
      </c>
      <c r="B966" t="s">
        <v>62</v>
      </c>
      <c r="C966" t="s">
        <v>105</v>
      </c>
      <c r="D966" t="s">
        <v>287</v>
      </c>
      <c r="F966" t="s">
        <v>1221</v>
      </c>
      <c r="G966" t="s">
        <v>887</v>
      </c>
      <c r="H966" t="s">
        <v>2488</v>
      </c>
      <c r="I966" t="s">
        <v>3483</v>
      </c>
      <c r="J966" t="s">
        <v>3604</v>
      </c>
      <c r="K966">
        <v>10033</v>
      </c>
      <c r="L966" t="s">
        <v>3610</v>
      </c>
      <c r="M966" t="s">
        <v>3610</v>
      </c>
      <c r="O966" t="s">
        <v>4213</v>
      </c>
      <c r="P966" t="s">
        <v>4245</v>
      </c>
      <c r="R966" t="s">
        <v>4258</v>
      </c>
      <c r="S966" t="s">
        <v>3610</v>
      </c>
      <c r="U966" t="s">
        <v>4268</v>
      </c>
      <c r="W966" t="s">
        <v>287</v>
      </c>
      <c r="X966">
        <v>1454.57</v>
      </c>
      <c r="Y966" t="s">
        <v>4351</v>
      </c>
      <c r="Z966" t="s">
        <v>4352</v>
      </c>
      <c r="AB966" t="s">
        <v>5155</v>
      </c>
      <c r="AD966" t="s">
        <v>6524</v>
      </c>
      <c r="AE966">
        <v>232</v>
      </c>
      <c r="AF966" t="s">
        <v>7101</v>
      </c>
      <c r="AG966" t="s">
        <v>3745</v>
      </c>
      <c r="AH966">
        <v>10</v>
      </c>
      <c r="AI966">
        <v>1</v>
      </c>
      <c r="AJ966">
        <v>0</v>
      </c>
      <c r="AK966">
        <v>123.56</v>
      </c>
      <c r="AN966" t="s">
        <v>7139</v>
      </c>
      <c r="AO966">
        <v>15000</v>
      </c>
      <c r="AU966">
        <v>0.2</v>
      </c>
      <c r="AV966" t="s">
        <v>426</v>
      </c>
      <c r="AW966" t="s">
        <v>7342</v>
      </c>
    </row>
    <row r="967" spans="1:50">
      <c r="A967" s="1">
        <f>HYPERLINK("https://lsnyc.legalserver.org/matter/dynamic-profile/view/1872323","18-1872323")</f>
        <v>0</v>
      </c>
      <c r="B967" t="s">
        <v>73</v>
      </c>
      <c r="C967" t="s">
        <v>104</v>
      </c>
      <c r="D967" t="s">
        <v>310</v>
      </c>
      <c r="E967" t="s">
        <v>204</v>
      </c>
      <c r="F967" t="s">
        <v>1222</v>
      </c>
      <c r="G967" t="s">
        <v>2087</v>
      </c>
      <c r="H967" t="s">
        <v>2961</v>
      </c>
      <c r="I967">
        <v>32</v>
      </c>
      <c r="J967" t="s">
        <v>3604</v>
      </c>
      <c r="K967">
        <v>10032</v>
      </c>
      <c r="L967" t="s">
        <v>3610</v>
      </c>
      <c r="M967" t="s">
        <v>3610</v>
      </c>
      <c r="O967" t="s">
        <v>4220</v>
      </c>
      <c r="P967" t="s">
        <v>4242</v>
      </c>
      <c r="Q967" t="s">
        <v>4250</v>
      </c>
      <c r="R967" t="s">
        <v>4258</v>
      </c>
      <c r="S967" t="s">
        <v>3611</v>
      </c>
      <c r="U967" t="s">
        <v>4268</v>
      </c>
      <c r="W967" t="s">
        <v>310</v>
      </c>
      <c r="X967">
        <v>2580</v>
      </c>
      <c r="Y967" t="s">
        <v>4351</v>
      </c>
      <c r="Z967" t="s">
        <v>4354</v>
      </c>
      <c r="AA967" t="s">
        <v>4373</v>
      </c>
      <c r="AB967" t="s">
        <v>5156</v>
      </c>
      <c r="AD967" t="s">
        <v>6525</v>
      </c>
      <c r="AE967">
        <v>56</v>
      </c>
      <c r="AF967" t="s">
        <v>7101</v>
      </c>
      <c r="AG967" t="s">
        <v>3745</v>
      </c>
      <c r="AH967">
        <v>3</v>
      </c>
      <c r="AI967">
        <v>1</v>
      </c>
      <c r="AJ967">
        <v>0</v>
      </c>
      <c r="AK967">
        <v>123.56</v>
      </c>
      <c r="AN967" t="s">
        <v>7138</v>
      </c>
      <c r="AO967">
        <v>15000</v>
      </c>
      <c r="AU967">
        <v>0.9</v>
      </c>
      <c r="AV967" t="s">
        <v>670</v>
      </c>
      <c r="AW967" t="s">
        <v>7342</v>
      </c>
    </row>
    <row r="968" spans="1:50">
      <c r="A968" s="1">
        <f>HYPERLINK("https://lsnyc.legalserver.org/matter/dynamic-profile/view/1892836","19-1892836")</f>
        <v>0</v>
      </c>
      <c r="B968" t="s">
        <v>60</v>
      </c>
      <c r="C968" t="s">
        <v>105</v>
      </c>
      <c r="D968" t="s">
        <v>245</v>
      </c>
      <c r="F968" t="s">
        <v>1172</v>
      </c>
      <c r="G968" t="s">
        <v>1693</v>
      </c>
      <c r="H968" t="s">
        <v>2631</v>
      </c>
      <c r="I968">
        <v>5</v>
      </c>
      <c r="J968" t="s">
        <v>3604</v>
      </c>
      <c r="K968">
        <v>10034</v>
      </c>
      <c r="L968" t="s">
        <v>3610</v>
      </c>
      <c r="M968" t="s">
        <v>3610</v>
      </c>
      <c r="P968" t="s">
        <v>4242</v>
      </c>
      <c r="R968" t="s">
        <v>4258</v>
      </c>
      <c r="S968" t="s">
        <v>3610</v>
      </c>
      <c r="U968" t="s">
        <v>4268</v>
      </c>
      <c r="W968" t="s">
        <v>245</v>
      </c>
      <c r="X968">
        <v>694.11</v>
      </c>
      <c r="Y968" t="s">
        <v>4351</v>
      </c>
      <c r="Z968" t="s">
        <v>4357</v>
      </c>
      <c r="AB968" t="s">
        <v>5071</v>
      </c>
      <c r="AD968" t="s">
        <v>6446</v>
      </c>
      <c r="AE968">
        <v>25</v>
      </c>
      <c r="AF968" t="s">
        <v>7101</v>
      </c>
      <c r="AG968" t="s">
        <v>7118</v>
      </c>
      <c r="AH968">
        <v>47</v>
      </c>
      <c r="AI968">
        <v>2</v>
      </c>
      <c r="AJ968">
        <v>0</v>
      </c>
      <c r="AK968">
        <v>123.62</v>
      </c>
      <c r="AN968" t="s">
        <v>7138</v>
      </c>
      <c r="AO968">
        <v>20904</v>
      </c>
      <c r="AU968">
        <v>6.2</v>
      </c>
      <c r="AV968" t="s">
        <v>390</v>
      </c>
      <c r="AW968" t="s">
        <v>7342</v>
      </c>
    </row>
    <row r="969" spans="1:50">
      <c r="A969" s="1">
        <f>HYPERLINK("https://lsnyc.legalserver.org/matter/dynamic-profile/view/1864111","18-1864111")</f>
        <v>0</v>
      </c>
      <c r="B969" t="s">
        <v>67</v>
      </c>
      <c r="C969" t="s">
        <v>105</v>
      </c>
      <c r="D969" t="s">
        <v>161</v>
      </c>
      <c r="F969" t="s">
        <v>1223</v>
      </c>
      <c r="G969" t="s">
        <v>2088</v>
      </c>
      <c r="H969" t="s">
        <v>2508</v>
      </c>
      <c r="I969">
        <v>310</v>
      </c>
      <c r="J969" t="s">
        <v>3604</v>
      </c>
      <c r="K969">
        <v>10029</v>
      </c>
      <c r="L969" t="s">
        <v>3610</v>
      </c>
      <c r="M969" t="s">
        <v>3610</v>
      </c>
      <c r="N969" t="s">
        <v>3642</v>
      </c>
      <c r="O969" t="s">
        <v>4213</v>
      </c>
      <c r="P969" t="s">
        <v>4241</v>
      </c>
      <c r="R969" t="s">
        <v>4258</v>
      </c>
      <c r="S969" t="s">
        <v>3610</v>
      </c>
      <c r="U969" t="s">
        <v>4268</v>
      </c>
      <c r="V969" t="s">
        <v>4274</v>
      </c>
      <c r="W969" t="s">
        <v>161</v>
      </c>
      <c r="X969">
        <v>0</v>
      </c>
      <c r="Y969" t="s">
        <v>4351</v>
      </c>
      <c r="Z969" t="s">
        <v>4352</v>
      </c>
      <c r="AB969" t="s">
        <v>5157</v>
      </c>
      <c r="AE969">
        <v>108</v>
      </c>
      <c r="AF969" t="s">
        <v>7106</v>
      </c>
      <c r="AG969" t="s">
        <v>7116</v>
      </c>
      <c r="AH969">
        <v>20</v>
      </c>
      <c r="AI969">
        <v>1</v>
      </c>
      <c r="AJ969">
        <v>1</v>
      </c>
      <c r="AK969">
        <v>123.68</v>
      </c>
      <c r="AN969" t="s">
        <v>7139</v>
      </c>
      <c r="AO969">
        <v>20358</v>
      </c>
      <c r="AU969">
        <v>0.25</v>
      </c>
      <c r="AV969" t="s">
        <v>688</v>
      </c>
      <c r="AW969" t="s">
        <v>7341</v>
      </c>
    </row>
    <row r="970" spans="1:50">
      <c r="A970" s="1">
        <f>HYPERLINK("https://lsnyc.legalserver.org/matter/dynamic-profile/view/0792298","15-0792298")</f>
        <v>0</v>
      </c>
      <c r="B970" t="s">
        <v>63</v>
      </c>
      <c r="C970" t="s">
        <v>105</v>
      </c>
      <c r="D970" t="s">
        <v>543</v>
      </c>
      <c r="F970" t="s">
        <v>1224</v>
      </c>
      <c r="G970" t="s">
        <v>1746</v>
      </c>
      <c r="H970" t="s">
        <v>2863</v>
      </c>
      <c r="I970" t="s">
        <v>3315</v>
      </c>
      <c r="J970" t="s">
        <v>3604</v>
      </c>
      <c r="K970">
        <v>10035</v>
      </c>
      <c r="L970" t="s">
        <v>3611</v>
      </c>
      <c r="M970" t="s">
        <v>3609</v>
      </c>
      <c r="N970" t="s">
        <v>3951</v>
      </c>
      <c r="O970" t="s">
        <v>4228</v>
      </c>
      <c r="P970" t="s">
        <v>4243</v>
      </c>
      <c r="R970" t="s">
        <v>4258</v>
      </c>
      <c r="U970" t="s">
        <v>4268</v>
      </c>
      <c r="W970" t="s">
        <v>4328</v>
      </c>
      <c r="X970">
        <v>1575</v>
      </c>
      <c r="Y970" t="s">
        <v>4351</v>
      </c>
      <c r="Z970" t="s">
        <v>4358</v>
      </c>
      <c r="AB970" t="s">
        <v>5158</v>
      </c>
      <c r="AD970" t="s">
        <v>6526</v>
      </c>
      <c r="AE970">
        <v>0</v>
      </c>
      <c r="AH970">
        <v>0</v>
      </c>
      <c r="AI970">
        <v>2</v>
      </c>
      <c r="AJ970">
        <v>2</v>
      </c>
      <c r="AK970">
        <v>123.71</v>
      </c>
      <c r="AN970" t="s">
        <v>7138</v>
      </c>
      <c r="AO970">
        <v>30000</v>
      </c>
      <c r="AU970">
        <v>113.77</v>
      </c>
      <c r="AV970" t="s">
        <v>467</v>
      </c>
      <c r="AW970" t="s">
        <v>7341</v>
      </c>
    </row>
    <row r="971" spans="1:50">
      <c r="A971" s="1">
        <f>HYPERLINK("https://lsnyc.legalserver.org/matter/dynamic-profile/view/1868897","18-1868897")</f>
        <v>0</v>
      </c>
      <c r="B971" t="s">
        <v>50</v>
      </c>
      <c r="C971" t="s">
        <v>105</v>
      </c>
      <c r="D971" t="s">
        <v>112</v>
      </c>
      <c r="F971" t="s">
        <v>696</v>
      </c>
      <c r="G971" t="s">
        <v>2089</v>
      </c>
      <c r="H971" t="s">
        <v>2962</v>
      </c>
      <c r="J971" t="s">
        <v>1156</v>
      </c>
      <c r="K971">
        <v>23661</v>
      </c>
      <c r="L971" t="s">
        <v>3609</v>
      </c>
      <c r="M971" t="s">
        <v>3609</v>
      </c>
      <c r="R971" t="s">
        <v>4258</v>
      </c>
      <c r="U971" t="s">
        <v>4268</v>
      </c>
      <c r="X971">
        <v>0</v>
      </c>
      <c r="Y971" t="s">
        <v>4351</v>
      </c>
      <c r="AB971" t="s">
        <v>5159</v>
      </c>
      <c r="AD971" t="s">
        <v>6527</v>
      </c>
      <c r="AE971">
        <v>0</v>
      </c>
      <c r="AH971">
        <v>0</v>
      </c>
      <c r="AI971">
        <v>1</v>
      </c>
      <c r="AJ971">
        <v>0</v>
      </c>
      <c r="AK971">
        <v>123.86</v>
      </c>
      <c r="AN971" t="s">
        <v>7138</v>
      </c>
      <c r="AO971">
        <v>15036</v>
      </c>
      <c r="AU971">
        <v>11.2</v>
      </c>
      <c r="AV971" t="s">
        <v>659</v>
      </c>
      <c r="AW971" t="s">
        <v>7340</v>
      </c>
    </row>
    <row r="972" spans="1:50">
      <c r="A972" s="1">
        <f>HYPERLINK("https://lsnyc.legalserver.org/matter/dynamic-profile/view/0827601","17-0827601")</f>
        <v>0</v>
      </c>
      <c r="B972" t="s">
        <v>94</v>
      </c>
      <c r="C972" t="s">
        <v>105</v>
      </c>
      <c r="D972" t="s">
        <v>107</v>
      </c>
      <c r="F972" t="s">
        <v>1225</v>
      </c>
      <c r="G972" t="s">
        <v>2090</v>
      </c>
      <c r="H972" t="s">
        <v>2963</v>
      </c>
      <c r="I972" t="s">
        <v>3484</v>
      </c>
      <c r="J972" t="s">
        <v>3604</v>
      </c>
      <c r="K972">
        <v>10002</v>
      </c>
      <c r="L972" t="s">
        <v>3610</v>
      </c>
      <c r="M972" t="s">
        <v>3609</v>
      </c>
      <c r="O972" t="s">
        <v>4213</v>
      </c>
      <c r="P972" t="s">
        <v>4241</v>
      </c>
      <c r="R972" t="s">
        <v>4258</v>
      </c>
      <c r="U972" t="s">
        <v>4268</v>
      </c>
      <c r="W972" t="s">
        <v>278</v>
      </c>
      <c r="X972">
        <v>0</v>
      </c>
      <c r="Y972" t="s">
        <v>4351</v>
      </c>
      <c r="AB972" t="s">
        <v>5160</v>
      </c>
      <c r="AD972" t="s">
        <v>6528</v>
      </c>
      <c r="AE972">
        <v>0</v>
      </c>
      <c r="AH972">
        <v>0</v>
      </c>
      <c r="AI972">
        <v>2</v>
      </c>
      <c r="AJ972">
        <v>0</v>
      </c>
      <c r="AK972">
        <v>123.92</v>
      </c>
      <c r="AN972" t="s">
        <v>7144</v>
      </c>
      <c r="AO972">
        <v>20124</v>
      </c>
      <c r="AU972">
        <v>168.1</v>
      </c>
      <c r="AV972" t="s">
        <v>390</v>
      </c>
      <c r="AW972" t="s">
        <v>7345</v>
      </c>
    </row>
    <row r="973" spans="1:50">
      <c r="A973" s="1">
        <f>HYPERLINK("https://lsnyc.legalserver.org/matter/dynamic-profile/view/1844546","17-1844546")</f>
        <v>0</v>
      </c>
      <c r="B973" t="s">
        <v>55</v>
      </c>
      <c r="C973" t="s">
        <v>104</v>
      </c>
      <c r="D973" t="s">
        <v>544</v>
      </c>
      <c r="E973" t="s">
        <v>664</v>
      </c>
      <c r="F973" t="s">
        <v>1226</v>
      </c>
      <c r="G973" t="s">
        <v>2091</v>
      </c>
      <c r="H973" t="s">
        <v>2964</v>
      </c>
      <c r="I973" t="s">
        <v>3485</v>
      </c>
      <c r="J973" t="s">
        <v>3604</v>
      </c>
      <c r="K973">
        <v>10029</v>
      </c>
      <c r="L973" t="s">
        <v>3610</v>
      </c>
      <c r="M973" t="s">
        <v>3610</v>
      </c>
      <c r="N973" t="s">
        <v>3952</v>
      </c>
      <c r="O973" t="s">
        <v>4210</v>
      </c>
      <c r="P973" t="s">
        <v>4241</v>
      </c>
      <c r="Q973" t="s">
        <v>4254</v>
      </c>
      <c r="R973" t="s">
        <v>4258</v>
      </c>
      <c r="S973" t="s">
        <v>3611</v>
      </c>
      <c r="U973" t="s">
        <v>4268</v>
      </c>
      <c r="V973" t="s">
        <v>4274</v>
      </c>
      <c r="W973" t="s">
        <v>4329</v>
      </c>
      <c r="X973">
        <v>500</v>
      </c>
      <c r="Y973" t="s">
        <v>4351</v>
      </c>
      <c r="Z973" t="s">
        <v>4357</v>
      </c>
      <c r="AA973" t="s">
        <v>4374</v>
      </c>
      <c r="AB973" t="s">
        <v>5161</v>
      </c>
      <c r="AD973" t="s">
        <v>6529</v>
      </c>
      <c r="AE973">
        <v>16</v>
      </c>
      <c r="AF973" t="s">
        <v>7101</v>
      </c>
      <c r="AG973" t="s">
        <v>3745</v>
      </c>
      <c r="AH973">
        <v>2</v>
      </c>
      <c r="AI973">
        <v>2</v>
      </c>
      <c r="AJ973">
        <v>0</v>
      </c>
      <c r="AK973">
        <v>123.99</v>
      </c>
      <c r="AN973" t="s">
        <v>7138</v>
      </c>
      <c r="AO973">
        <v>20135.52</v>
      </c>
      <c r="AU973">
        <v>40.1</v>
      </c>
      <c r="AV973" t="s">
        <v>271</v>
      </c>
      <c r="AW973" t="s">
        <v>7341</v>
      </c>
    </row>
    <row r="974" spans="1:50">
      <c r="A974" s="1">
        <f>HYPERLINK("https://lsnyc.legalserver.org/matter/dynamic-profile/view/1835068","17-1835068")</f>
        <v>0</v>
      </c>
      <c r="B974" t="s">
        <v>55</v>
      </c>
      <c r="C974" t="s">
        <v>104</v>
      </c>
      <c r="D974" t="s">
        <v>545</v>
      </c>
      <c r="E974" t="s">
        <v>113</v>
      </c>
      <c r="F974" t="s">
        <v>1226</v>
      </c>
      <c r="G974" t="s">
        <v>2091</v>
      </c>
      <c r="H974" t="s">
        <v>2964</v>
      </c>
      <c r="I974" t="s">
        <v>3485</v>
      </c>
      <c r="J974" t="s">
        <v>3604</v>
      </c>
      <c r="K974">
        <v>10029</v>
      </c>
      <c r="L974" t="s">
        <v>3610</v>
      </c>
      <c r="M974" t="s">
        <v>3610</v>
      </c>
      <c r="O974" t="s">
        <v>4211</v>
      </c>
      <c r="P974" t="s">
        <v>4244</v>
      </c>
      <c r="Q974" t="s">
        <v>4251</v>
      </c>
      <c r="R974" t="s">
        <v>4258</v>
      </c>
      <c r="S974" t="s">
        <v>3611</v>
      </c>
      <c r="U974" t="s">
        <v>4268</v>
      </c>
      <c r="V974" t="s">
        <v>4274</v>
      </c>
      <c r="W974" t="s">
        <v>4282</v>
      </c>
      <c r="X974">
        <v>500</v>
      </c>
      <c r="Y974" t="s">
        <v>4351</v>
      </c>
      <c r="Z974" t="s">
        <v>4357</v>
      </c>
      <c r="AA974" t="s">
        <v>4374</v>
      </c>
      <c r="AB974" t="s">
        <v>5161</v>
      </c>
      <c r="AD974" t="s">
        <v>6529</v>
      </c>
      <c r="AE974">
        <v>16</v>
      </c>
      <c r="AF974" t="s">
        <v>7101</v>
      </c>
      <c r="AG974" t="s">
        <v>3745</v>
      </c>
      <c r="AH974">
        <v>2</v>
      </c>
      <c r="AI974">
        <v>2</v>
      </c>
      <c r="AJ974">
        <v>0</v>
      </c>
      <c r="AK974">
        <v>123.99</v>
      </c>
      <c r="AN974" t="s">
        <v>7138</v>
      </c>
      <c r="AO974">
        <v>20135.52</v>
      </c>
      <c r="AU974">
        <v>22.25</v>
      </c>
      <c r="AV974" t="s">
        <v>476</v>
      </c>
      <c r="AW974" t="s">
        <v>7341</v>
      </c>
    </row>
    <row r="975" spans="1:50">
      <c r="A975" s="1">
        <f>HYPERLINK("https://lsnyc.legalserver.org/matter/dynamic-profile/view/1849280","17-1849280")</f>
        <v>0</v>
      </c>
      <c r="B975" t="s">
        <v>61</v>
      </c>
      <c r="C975" t="s">
        <v>105</v>
      </c>
      <c r="D975" t="s">
        <v>546</v>
      </c>
      <c r="F975" t="s">
        <v>1227</v>
      </c>
      <c r="G975" t="s">
        <v>2092</v>
      </c>
      <c r="H975" t="s">
        <v>2965</v>
      </c>
      <c r="I975" t="s">
        <v>3486</v>
      </c>
      <c r="J975" t="s">
        <v>3604</v>
      </c>
      <c r="K975">
        <v>10036</v>
      </c>
      <c r="L975" t="s">
        <v>3610</v>
      </c>
      <c r="M975" t="s">
        <v>3609</v>
      </c>
      <c r="N975" t="s">
        <v>3953</v>
      </c>
      <c r="R975" t="s">
        <v>4257</v>
      </c>
      <c r="S975" t="s">
        <v>3611</v>
      </c>
      <c r="U975" t="s">
        <v>4268</v>
      </c>
      <c r="W975" t="s">
        <v>4330</v>
      </c>
      <c r="X975">
        <v>4000</v>
      </c>
      <c r="Y975" t="s">
        <v>4351</v>
      </c>
      <c r="Z975" t="s">
        <v>4355</v>
      </c>
      <c r="AB975" t="s">
        <v>5162</v>
      </c>
      <c r="AE975">
        <v>484</v>
      </c>
      <c r="AF975" t="s">
        <v>7103</v>
      </c>
      <c r="AH975">
        <v>3</v>
      </c>
      <c r="AI975">
        <v>1</v>
      </c>
      <c r="AJ975">
        <v>0</v>
      </c>
      <c r="AK975">
        <v>124.38</v>
      </c>
      <c r="AL975" t="s">
        <v>369</v>
      </c>
      <c r="AN975" t="s">
        <v>7138</v>
      </c>
      <c r="AO975">
        <v>15000</v>
      </c>
      <c r="AU975">
        <v>0.1</v>
      </c>
      <c r="AV975" t="s">
        <v>377</v>
      </c>
      <c r="AW975" t="s">
        <v>102</v>
      </c>
    </row>
    <row r="976" spans="1:50">
      <c r="A976" s="1">
        <f>HYPERLINK("https://lsnyc.legalserver.org/matter/dynamic-profile/view/0826270","17-0826270")</f>
        <v>0</v>
      </c>
      <c r="B976" t="s">
        <v>61</v>
      </c>
      <c r="C976" t="s">
        <v>105</v>
      </c>
      <c r="D976" t="s">
        <v>394</v>
      </c>
      <c r="F976" t="s">
        <v>1228</v>
      </c>
      <c r="G976" t="s">
        <v>2093</v>
      </c>
      <c r="H976" t="s">
        <v>2966</v>
      </c>
      <c r="I976" t="s">
        <v>3276</v>
      </c>
      <c r="J976" t="s">
        <v>3604</v>
      </c>
      <c r="K976">
        <v>10034</v>
      </c>
      <c r="L976" t="s">
        <v>3610</v>
      </c>
      <c r="M976" t="s">
        <v>3609</v>
      </c>
      <c r="N976" t="s">
        <v>3954</v>
      </c>
      <c r="O976" t="s">
        <v>4210</v>
      </c>
      <c r="P976" t="s">
        <v>4241</v>
      </c>
      <c r="R976" t="s">
        <v>4258</v>
      </c>
      <c r="S976" t="s">
        <v>3611</v>
      </c>
      <c r="U976" t="s">
        <v>4268</v>
      </c>
      <c r="W976" t="s">
        <v>597</v>
      </c>
      <c r="X976">
        <v>1000</v>
      </c>
      <c r="Y976" t="s">
        <v>4351</v>
      </c>
      <c r="Z976" t="s">
        <v>4357</v>
      </c>
      <c r="AB976" t="s">
        <v>5163</v>
      </c>
      <c r="AD976" t="s">
        <v>6530</v>
      </c>
      <c r="AE976">
        <v>43</v>
      </c>
      <c r="AF976" t="s">
        <v>7101</v>
      </c>
      <c r="AG976" t="s">
        <v>7118</v>
      </c>
      <c r="AH976">
        <v>31</v>
      </c>
      <c r="AI976">
        <v>1</v>
      </c>
      <c r="AJ976">
        <v>0</v>
      </c>
      <c r="AK976">
        <v>124.58</v>
      </c>
      <c r="AN976" t="s">
        <v>7138</v>
      </c>
      <c r="AO976">
        <v>14800</v>
      </c>
      <c r="AU976">
        <v>113.2</v>
      </c>
      <c r="AV976" t="s">
        <v>211</v>
      </c>
      <c r="AW976" t="s">
        <v>7341</v>
      </c>
    </row>
    <row r="977" spans="1:50">
      <c r="A977" s="1">
        <f>HYPERLINK("https://lsnyc.legalserver.org/matter/dynamic-profile/view/0814372","16-0814372")</f>
        <v>0</v>
      </c>
      <c r="B977" t="s">
        <v>61</v>
      </c>
      <c r="C977" t="s">
        <v>104</v>
      </c>
      <c r="D977" t="s">
        <v>547</v>
      </c>
      <c r="E977" t="s">
        <v>662</v>
      </c>
      <c r="F977" t="s">
        <v>1228</v>
      </c>
      <c r="G977" t="s">
        <v>2093</v>
      </c>
      <c r="H977" t="s">
        <v>2966</v>
      </c>
      <c r="I977" t="s">
        <v>3276</v>
      </c>
      <c r="J977" t="s">
        <v>3604</v>
      </c>
      <c r="K977">
        <v>10034</v>
      </c>
      <c r="L977" t="s">
        <v>3610</v>
      </c>
      <c r="M977" t="s">
        <v>3609</v>
      </c>
      <c r="O977" t="s">
        <v>4228</v>
      </c>
      <c r="P977" t="s">
        <v>4244</v>
      </c>
      <c r="Q977" t="s">
        <v>4254</v>
      </c>
      <c r="R977" t="s">
        <v>4258</v>
      </c>
      <c r="S977" t="s">
        <v>3610</v>
      </c>
      <c r="U977" t="s">
        <v>4268</v>
      </c>
      <c r="W977" t="s">
        <v>448</v>
      </c>
      <c r="X977">
        <v>1000</v>
      </c>
      <c r="Y977" t="s">
        <v>4351</v>
      </c>
      <c r="Z977" t="s">
        <v>4354</v>
      </c>
      <c r="AA977" t="s">
        <v>4377</v>
      </c>
      <c r="AB977" t="s">
        <v>5163</v>
      </c>
      <c r="AD977" t="s">
        <v>6530</v>
      </c>
      <c r="AE977">
        <v>43</v>
      </c>
      <c r="AF977" t="s">
        <v>7101</v>
      </c>
      <c r="AG977" t="s">
        <v>7118</v>
      </c>
      <c r="AH977">
        <v>27</v>
      </c>
      <c r="AI977">
        <v>1</v>
      </c>
      <c r="AJ977">
        <v>0</v>
      </c>
      <c r="AK977">
        <v>124.58</v>
      </c>
      <c r="AN977" t="s">
        <v>7138</v>
      </c>
      <c r="AO977">
        <v>14800</v>
      </c>
      <c r="AU977">
        <v>44.6</v>
      </c>
      <c r="AV977" t="s">
        <v>7324</v>
      </c>
      <c r="AW977" t="s">
        <v>7351</v>
      </c>
    </row>
    <row r="978" spans="1:50">
      <c r="A978" s="1">
        <f>HYPERLINK("https://lsnyc.legalserver.org/matter/dynamic-profile/view/1891354","19-1891354")</f>
        <v>0</v>
      </c>
      <c r="B978" t="s">
        <v>87</v>
      </c>
      <c r="C978" t="s">
        <v>104</v>
      </c>
      <c r="D978" t="s">
        <v>438</v>
      </c>
      <c r="E978" t="s">
        <v>438</v>
      </c>
      <c r="F978" t="s">
        <v>866</v>
      </c>
      <c r="G978" t="s">
        <v>1743</v>
      </c>
      <c r="H978" t="s">
        <v>2627</v>
      </c>
      <c r="I978" t="s">
        <v>3365</v>
      </c>
      <c r="J978" t="s">
        <v>3604</v>
      </c>
      <c r="K978">
        <v>10034</v>
      </c>
      <c r="L978" t="s">
        <v>3610</v>
      </c>
      <c r="M978" t="s">
        <v>3609</v>
      </c>
      <c r="O978" t="s">
        <v>4211</v>
      </c>
      <c r="P978" t="s">
        <v>4245</v>
      </c>
      <c r="Q978" t="s">
        <v>4249</v>
      </c>
      <c r="R978" t="s">
        <v>4258</v>
      </c>
      <c r="S978" t="s">
        <v>3611</v>
      </c>
      <c r="U978" t="s">
        <v>4268</v>
      </c>
      <c r="W978" t="s">
        <v>438</v>
      </c>
      <c r="X978">
        <v>1098.91</v>
      </c>
      <c r="Y978" t="s">
        <v>4351</v>
      </c>
      <c r="Z978" t="s">
        <v>4354</v>
      </c>
      <c r="AA978" t="s">
        <v>4377</v>
      </c>
      <c r="AB978" t="s">
        <v>4595</v>
      </c>
      <c r="AC978" t="s">
        <v>5817</v>
      </c>
      <c r="AD978" t="s">
        <v>6016</v>
      </c>
      <c r="AE978">
        <v>52</v>
      </c>
      <c r="AF978" t="s">
        <v>7101</v>
      </c>
      <c r="AG978" t="s">
        <v>4228</v>
      </c>
      <c r="AH978">
        <v>18</v>
      </c>
      <c r="AI978">
        <v>1</v>
      </c>
      <c r="AJ978">
        <v>0</v>
      </c>
      <c r="AK978">
        <v>124.8</v>
      </c>
      <c r="AN978" t="s">
        <v>7138</v>
      </c>
      <c r="AO978">
        <v>15588</v>
      </c>
      <c r="AU978">
        <v>2</v>
      </c>
      <c r="AV978" t="s">
        <v>438</v>
      </c>
      <c r="AW978" t="s">
        <v>87</v>
      </c>
      <c r="AX978" t="s">
        <v>7378</v>
      </c>
    </row>
    <row r="979" spans="1:50">
      <c r="A979" s="1">
        <f>HYPERLINK("https://lsnyc.legalserver.org/matter/dynamic-profile/view/1891373","19-1891373")</f>
        <v>0</v>
      </c>
      <c r="B979" t="s">
        <v>87</v>
      </c>
      <c r="C979" t="s">
        <v>104</v>
      </c>
      <c r="D979" t="s">
        <v>438</v>
      </c>
      <c r="E979" t="s">
        <v>396</v>
      </c>
      <c r="F979" t="s">
        <v>866</v>
      </c>
      <c r="G979" t="s">
        <v>1743</v>
      </c>
      <c r="H979" t="s">
        <v>2627</v>
      </c>
      <c r="I979" t="s">
        <v>3365</v>
      </c>
      <c r="J979" t="s">
        <v>3604</v>
      </c>
      <c r="K979">
        <v>10034</v>
      </c>
      <c r="L979" t="s">
        <v>3610</v>
      </c>
      <c r="M979" t="s">
        <v>3611</v>
      </c>
      <c r="O979" t="s">
        <v>4217</v>
      </c>
      <c r="P979" t="s">
        <v>4245</v>
      </c>
      <c r="Q979" t="s">
        <v>4249</v>
      </c>
      <c r="R979" t="s">
        <v>4258</v>
      </c>
      <c r="S979" t="s">
        <v>3611</v>
      </c>
      <c r="U979" t="s">
        <v>4268</v>
      </c>
      <c r="W979" t="s">
        <v>438</v>
      </c>
      <c r="X979">
        <v>1077</v>
      </c>
      <c r="Y979" t="s">
        <v>4351</v>
      </c>
      <c r="Z979" t="s">
        <v>4354</v>
      </c>
      <c r="AA979" t="s">
        <v>4377</v>
      </c>
      <c r="AB979" t="s">
        <v>4595</v>
      </c>
      <c r="AC979" t="s">
        <v>5817</v>
      </c>
      <c r="AD979" t="s">
        <v>6016</v>
      </c>
      <c r="AE979">
        <v>52</v>
      </c>
      <c r="AF979" t="s">
        <v>7101</v>
      </c>
      <c r="AG979" t="s">
        <v>4228</v>
      </c>
      <c r="AH979">
        <v>18</v>
      </c>
      <c r="AI979">
        <v>1</v>
      </c>
      <c r="AJ979">
        <v>0</v>
      </c>
      <c r="AK979">
        <v>124.8</v>
      </c>
      <c r="AO979">
        <v>15588</v>
      </c>
      <c r="AU979">
        <v>10.1</v>
      </c>
      <c r="AV979" t="s">
        <v>591</v>
      </c>
      <c r="AW979" t="s">
        <v>87</v>
      </c>
      <c r="AX979" t="s">
        <v>7377</v>
      </c>
    </row>
    <row r="980" spans="1:50">
      <c r="A980" s="1">
        <f>HYPERLINK("https://lsnyc.legalserver.org/matter/dynamic-profile/view/1900479","19-1900479")</f>
        <v>0</v>
      </c>
      <c r="B980" t="s">
        <v>101</v>
      </c>
      <c r="C980" t="s">
        <v>105</v>
      </c>
      <c r="D980" t="s">
        <v>424</v>
      </c>
      <c r="F980" t="s">
        <v>1229</v>
      </c>
      <c r="G980" t="s">
        <v>2094</v>
      </c>
      <c r="H980" t="s">
        <v>2967</v>
      </c>
      <c r="I980" t="s">
        <v>3316</v>
      </c>
      <c r="J980" t="s">
        <v>3604</v>
      </c>
      <c r="K980">
        <v>10029</v>
      </c>
      <c r="L980" t="s">
        <v>3610</v>
      </c>
      <c r="M980" t="s">
        <v>3609</v>
      </c>
      <c r="O980" t="s">
        <v>4212</v>
      </c>
      <c r="P980" t="s">
        <v>4246</v>
      </c>
      <c r="R980" t="s">
        <v>4258</v>
      </c>
      <c r="S980" t="s">
        <v>3611</v>
      </c>
      <c r="U980" t="s">
        <v>4270</v>
      </c>
      <c r="V980" t="s">
        <v>4274</v>
      </c>
      <c r="W980" t="s">
        <v>473</v>
      </c>
      <c r="X980">
        <v>1138</v>
      </c>
      <c r="Y980" t="s">
        <v>4351</v>
      </c>
      <c r="AB980" t="s">
        <v>5164</v>
      </c>
      <c r="AD980" t="s">
        <v>6531</v>
      </c>
      <c r="AE980">
        <v>10</v>
      </c>
      <c r="AF980" t="s">
        <v>7101</v>
      </c>
      <c r="AG980" t="s">
        <v>3745</v>
      </c>
      <c r="AH980">
        <v>15</v>
      </c>
      <c r="AI980">
        <v>1</v>
      </c>
      <c r="AJ980">
        <v>2</v>
      </c>
      <c r="AK980">
        <v>124.89</v>
      </c>
      <c r="AN980" t="s">
        <v>7138</v>
      </c>
      <c r="AO980">
        <v>26640</v>
      </c>
      <c r="AU980">
        <v>8.25</v>
      </c>
      <c r="AV980" t="s">
        <v>131</v>
      </c>
      <c r="AW980" t="s">
        <v>7341</v>
      </c>
      <c r="AX980" t="s">
        <v>7378</v>
      </c>
    </row>
    <row r="981" spans="1:50">
      <c r="A981" s="1">
        <f>HYPERLINK("https://lsnyc.legalserver.org/matter/dynamic-profile/view/1901265","19-1901265")</f>
        <v>0</v>
      </c>
      <c r="B981" t="s">
        <v>98</v>
      </c>
      <c r="C981" t="s">
        <v>105</v>
      </c>
      <c r="D981" t="s">
        <v>426</v>
      </c>
      <c r="F981" t="s">
        <v>1230</v>
      </c>
      <c r="G981" t="s">
        <v>2095</v>
      </c>
      <c r="H981" t="s">
        <v>2968</v>
      </c>
      <c r="I981">
        <v>8</v>
      </c>
      <c r="J981" t="s">
        <v>3604</v>
      </c>
      <c r="K981">
        <v>10128</v>
      </c>
      <c r="L981" t="s">
        <v>3610</v>
      </c>
      <c r="M981" t="s">
        <v>3609</v>
      </c>
      <c r="N981" t="s">
        <v>3955</v>
      </c>
      <c r="O981" t="s">
        <v>4209</v>
      </c>
      <c r="P981" t="s">
        <v>4246</v>
      </c>
      <c r="R981" t="s">
        <v>4258</v>
      </c>
      <c r="S981" t="s">
        <v>3611</v>
      </c>
      <c r="U981" t="s">
        <v>4268</v>
      </c>
      <c r="V981" t="s">
        <v>4275</v>
      </c>
      <c r="W981" t="s">
        <v>426</v>
      </c>
      <c r="X981">
        <v>1138.34</v>
      </c>
      <c r="Y981" t="s">
        <v>4351</v>
      </c>
      <c r="Z981" t="s">
        <v>4353</v>
      </c>
      <c r="AB981" t="s">
        <v>5165</v>
      </c>
      <c r="AE981">
        <v>20</v>
      </c>
      <c r="AG981" t="s">
        <v>3745</v>
      </c>
      <c r="AH981">
        <v>20</v>
      </c>
      <c r="AI981">
        <v>1</v>
      </c>
      <c r="AJ981">
        <v>0</v>
      </c>
      <c r="AK981">
        <v>124.9</v>
      </c>
      <c r="AN981" t="s">
        <v>7138</v>
      </c>
      <c r="AO981">
        <v>15600</v>
      </c>
      <c r="AU981">
        <v>1</v>
      </c>
      <c r="AV981" t="s">
        <v>426</v>
      </c>
      <c r="AW981" t="s">
        <v>7341</v>
      </c>
      <c r="AX981" t="s">
        <v>7377</v>
      </c>
    </row>
    <row r="982" spans="1:50">
      <c r="A982" s="1">
        <f>HYPERLINK("https://lsnyc.legalserver.org/matter/dynamic-profile/view/1889088","19-1889088")</f>
        <v>0</v>
      </c>
      <c r="B982" t="s">
        <v>61</v>
      </c>
      <c r="C982" t="s">
        <v>105</v>
      </c>
      <c r="D982" t="s">
        <v>145</v>
      </c>
      <c r="F982" t="s">
        <v>704</v>
      </c>
      <c r="G982" t="s">
        <v>1574</v>
      </c>
      <c r="H982" t="s">
        <v>2474</v>
      </c>
      <c r="I982">
        <v>33</v>
      </c>
      <c r="J982" t="s">
        <v>3604</v>
      </c>
      <c r="K982">
        <v>10034</v>
      </c>
      <c r="L982" t="s">
        <v>3610</v>
      </c>
      <c r="M982" t="s">
        <v>3610</v>
      </c>
      <c r="N982" t="s">
        <v>3956</v>
      </c>
      <c r="O982" t="s">
        <v>4209</v>
      </c>
      <c r="P982" t="s">
        <v>4241</v>
      </c>
      <c r="R982" t="s">
        <v>4258</v>
      </c>
      <c r="S982" t="s">
        <v>3611</v>
      </c>
      <c r="U982" t="s">
        <v>4268</v>
      </c>
      <c r="W982" t="s">
        <v>145</v>
      </c>
      <c r="X982">
        <v>1059</v>
      </c>
      <c r="Y982" t="s">
        <v>4351</v>
      </c>
      <c r="Z982" t="s">
        <v>4357</v>
      </c>
      <c r="AB982" t="s">
        <v>4414</v>
      </c>
      <c r="AD982" t="s">
        <v>5861</v>
      </c>
      <c r="AE982">
        <v>25</v>
      </c>
      <c r="AF982" t="s">
        <v>7114</v>
      </c>
      <c r="AG982" t="s">
        <v>7122</v>
      </c>
      <c r="AH982">
        <v>4</v>
      </c>
      <c r="AI982">
        <v>1</v>
      </c>
      <c r="AJ982">
        <v>4</v>
      </c>
      <c r="AK982">
        <v>124.97</v>
      </c>
      <c r="AN982" t="s">
        <v>7139</v>
      </c>
      <c r="AO982">
        <v>37704</v>
      </c>
      <c r="AU982">
        <v>26.05</v>
      </c>
      <c r="AV982" t="s">
        <v>666</v>
      </c>
      <c r="AW982" t="s">
        <v>7342</v>
      </c>
      <c r="AX982" t="s">
        <v>7377</v>
      </c>
    </row>
    <row r="983" spans="1:50">
      <c r="A983" s="1">
        <f>HYPERLINK("https://lsnyc.legalserver.org/matter/dynamic-profile/view/1889085","19-1889085")</f>
        <v>0</v>
      </c>
      <c r="B983" t="s">
        <v>61</v>
      </c>
      <c r="C983" t="s">
        <v>105</v>
      </c>
      <c r="D983" t="s">
        <v>145</v>
      </c>
      <c r="F983" t="s">
        <v>704</v>
      </c>
      <c r="G983" t="s">
        <v>1574</v>
      </c>
      <c r="H983" t="s">
        <v>2474</v>
      </c>
      <c r="I983">
        <v>33</v>
      </c>
      <c r="J983" t="s">
        <v>3604</v>
      </c>
      <c r="K983">
        <v>10034</v>
      </c>
      <c r="L983" t="s">
        <v>3610</v>
      </c>
      <c r="M983" t="s">
        <v>3610</v>
      </c>
      <c r="O983" t="s">
        <v>4219</v>
      </c>
      <c r="P983" t="s">
        <v>4244</v>
      </c>
      <c r="R983" t="s">
        <v>4258</v>
      </c>
      <c r="S983" t="s">
        <v>3611</v>
      </c>
      <c r="U983" t="s">
        <v>4268</v>
      </c>
      <c r="W983" t="s">
        <v>145</v>
      </c>
      <c r="X983">
        <v>1059.36</v>
      </c>
      <c r="Y983" t="s">
        <v>4351</v>
      </c>
      <c r="Z983" t="s">
        <v>4357</v>
      </c>
      <c r="AB983" t="s">
        <v>4414</v>
      </c>
      <c r="AD983" t="s">
        <v>5861</v>
      </c>
      <c r="AE983">
        <v>25</v>
      </c>
      <c r="AF983" t="s">
        <v>7101</v>
      </c>
      <c r="AG983" t="s">
        <v>7122</v>
      </c>
      <c r="AH983">
        <v>4</v>
      </c>
      <c r="AI983">
        <v>1</v>
      </c>
      <c r="AJ983">
        <v>4</v>
      </c>
      <c r="AK983">
        <v>124.97</v>
      </c>
      <c r="AN983" t="s">
        <v>7139</v>
      </c>
      <c r="AO983">
        <v>37704</v>
      </c>
      <c r="AU983">
        <v>6.2</v>
      </c>
      <c r="AV983" t="s">
        <v>678</v>
      </c>
      <c r="AW983" t="s">
        <v>7342</v>
      </c>
      <c r="AX983" t="s">
        <v>7377</v>
      </c>
    </row>
    <row r="984" spans="1:50">
      <c r="A984" s="1">
        <f>HYPERLINK("https://lsnyc.legalserver.org/matter/dynamic-profile/view/1877574","18-1877574")</f>
        <v>0</v>
      </c>
      <c r="B984" t="s">
        <v>63</v>
      </c>
      <c r="C984" t="s">
        <v>104</v>
      </c>
      <c r="D984" t="s">
        <v>108</v>
      </c>
      <c r="E984" t="s">
        <v>276</v>
      </c>
      <c r="F984" t="s">
        <v>1231</v>
      </c>
      <c r="G984" t="s">
        <v>1737</v>
      </c>
      <c r="H984" t="s">
        <v>2969</v>
      </c>
      <c r="I984" t="s">
        <v>3294</v>
      </c>
      <c r="J984" t="s">
        <v>3604</v>
      </c>
      <c r="K984">
        <v>10034</v>
      </c>
      <c r="L984" t="s">
        <v>3610</v>
      </c>
      <c r="M984" t="s">
        <v>3610</v>
      </c>
      <c r="O984" t="s">
        <v>4211</v>
      </c>
      <c r="P984" t="s">
        <v>4242</v>
      </c>
      <c r="Q984" t="s">
        <v>4250</v>
      </c>
      <c r="R984" t="s">
        <v>4258</v>
      </c>
      <c r="S984" t="s">
        <v>3611</v>
      </c>
      <c r="U984" t="s">
        <v>4268</v>
      </c>
      <c r="W984" t="s">
        <v>108</v>
      </c>
      <c r="X984">
        <v>1270</v>
      </c>
      <c r="Y984" t="s">
        <v>4351</v>
      </c>
      <c r="Z984" t="s">
        <v>4354</v>
      </c>
      <c r="AA984" t="s">
        <v>4373</v>
      </c>
      <c r="AB984" t="s">
        <v>5166</v>
      </c>
      <c r="AD984" t="s">
        <v>6532</v>
      </c>
      <c r="AE984">
        <v>52</v>
      </c>
      <c r="AF984" t="s">
        <v>7101</v>
      </c>
      <c r="AG984" t="s">
        <v>3745</v>
      </c>
      <c r="AH984">
        <v>22</v>
      </c>
      <c r="AI984">
        <v>3</v>
      </c>
      <c r="AJ984">
        <v>0</v>
      </c>
      <c r="AK984">
        <v>125.12</v>
      </c>
      <c r="AN984" t="s">
        <v>7138</v>
      </c>
      <c r="AO984">
        <v>26000</v>
      </c>
      <c r="AU984">
        <v>0.1</v>
      </c>
      <c r="AV984" t="s">
        <v>276</v>
      </c>
      <c r="AW984" t="s">
        <v>7342</v>
      </c>
    </row>
    <row r="985" spans="1:50">
      <c r="A985" s="1">
        <f>HYPERLINK("https://lsnyc.legalserver.org/matter/dynamic-profile/view/1886545","18-1886545")</f>
        <v>0</v>
      </c>
      <c r="B985" t="s">
        <v>69</v>
      </c>
      <c r="C985" t="s">
        <v>104</v>
      </c>
      <c r="D985" t="s">
        <v>548</v>
      </c>
      <c r="E985" t="s">
        <v>662</v>
      </c>
      <c r="F985" t="s">
        <v>1232</v>
      </c>
      <c r="G985" t="s">
        <v>1656</v>
      </c>
      <c r="H985" t="s">
        <v>2970</v>
      </c>
      <c r="J985" t="s">
        <v>3604</v>
      </c>
      <c r="K985">
        <v>10026</v>
      </c>
      <c r="L985" t="s">
        <v>3610</v>
      </c>
      <c r="M985" t="s">
        <v>3610</v>
      </c>
      <c r="N985" t="s">
        <v>3957</v>
      </c>
      <c r="O985" t="s">
        <v>4210</v>
      </c>
      <c r="P985" t="s">
        <v>4242</v>
      </c>
      <c r="Q985" t="s">
        <v>4250</v>
      </c>
      <c r="R985" t="s">
        <v>4258</v>
      </c>
      <c r="S985" t="s">
        <v>3611</v>
      </c>
      <c r="U985" t="s">
        <v>4269</v>
      </c>
      <c r="V985" t="s">
        <v>4274</v>
      </c>
      <c r="W985" t="s">
        <v>109</v>
      </c>
      <c r="X985">
        <v>629</v>
      </c>
      <c r="Y985" t="s">
        <v>4351</v>
      </c>
      <c r="Z985" t="s">
        <v>4352</v>
      </c>
      <c r="AA985" t="s">
        <v>4373</v>
      </c>
      <c r="AB985" t="s">
        <v>5167</v>
      </c>
      <c r="AD985" t="s">
        <v>6533</v>
      </c>
      <c r="AE985">
        <v>15</v>
      </c>
      <c r="AF985" t="s">
        <v>7105</v>
      </c>
      <c r="AG985" t="s">
        <v>3745</v>
      </c>
      <c r="AH985">
        <v>25</v>
      </c>
      <c r="AI985">
        <v>2</v>
      </c>
      <c r="AJ985">
        <v>1</v>
      </c>
      <c r="AK985">
        <v>125.12</v>
      </c>
      <c r="AN985" t="s">
        <v>7139</v>
      </c>
      <c r="AO985">
        <v>26000</v>
      </c>
      <c r="AU985">
        <v>2</v>
      </c>
      <c r="AV985" t="s">
        <v>109</v>
      </c>
      <c r="AW985" t="s">
        <v>7341</v>
      </c>
    </row>
    <row r="986" spans="1:50">
      <c r="A986" s="1">
        <f>HYPERLINK("https://lsnyc.legalserver.org/matter/dynamic-profile/view/1894943","19-1894943")</f>
        <v>0</v>
      </c>
      <c r="B986" t="s">
        <v>62</v>
      </c>
      <c r="C986" t="s">
        <v>104</v>
      </c>
      <c r="D986" t="s">
        <v>540</v>
      </c>
      <c r="E986" t="s">
        <v>679</v>
      </c>
      <c r="F986" t="s">
        <v>871</v>
      </c>
      <c r="G986" t="s">
        <v>1750</v>
      </c>
      <c r="H986" t="s">
        <v>2634</v>
      </c>
      <c r="I986" t="s">
        <v>3368</v>
      </c>
      <c r="J986" t="s">
        <v>3604</v>
      </c>
      <c r="K986">
        <v>10034</v>
      </c>
      <c r="L986" t="s">
        <v>3610</v>
      </c>
      <c r="M986" t="s">
        <v>3610</v>
      </c>
      <c r="O986" t="s">
        <v>4219</v>
      </c>
      <c r="P986" t="s">
        <v>4245</v>
      </c>
      <c r="Q986" t="s">
        <v>4249</v>
      </c>
      <c r="R986" t="s">
        <v>4258</v>
      </c>
      <c r="S986" t="s">
        <v>3611</v>
      </c>
      <c r="U986" t="s">
        <v>4268</v>
      </c>
      <c r="W986" t="s">
        <v>540</v>
      </c>
      <c r="X986">
        <v>149</v>
      </c>
      <c r="Y986" t="s">
        <v>4351</v>
      </c>
      <c r="Z986" t="s">
        <v>4364</v>
      </c>
      <c r="AA986" t="s">
        <v>4373</v>
      </c>
      <c r="AB986" t="s">
        <v>4603</v>
      </c>
      <c r="AD986" t="s">
        <v>6023</v>
      </c>
      <c r="AE986">
        <v>95</v>
      </c>
      <c r="AF986" t="s">
        <v>7101</v>
      </c>
      <c r="AG986" t="s">
        <v>7120</v>
      </c>
      <c r="AH986">
        <v>22</v>
      </c>
      <c r="AI986">
        <v>2</v>
      </c>
      <c r="AJ986">
        <v>0</v>
      </c>
      <c r="AK986">
        <v>125.37</v>
      </c>
      <c r="AN986" t="s">
        <v>7139</v>
      </c>
      <c r="AO986">
        <v>21200</v>
      </c>
      <c r="AU986">
        <v>1.7</v>
      </c>
      <c r="AV986" t="s">
        <v>408</v>
      </c>
      <c r="AW986" t="s">
        <v>7359</v>
      </c>
    </row>
    <row r="987" spans="1:50">
      <c r="A987" s="1">
        <f>HYPERLINK("https://lsnyc.legalserver.org/matter/dynamic-profile/view/1840326","17-1840326")</f>
        <v>0</v>
      </c>
      <c r="B987" t="s">
        <v>93</v>
      </c>
      <c r="C987" t="s">
        <v>104</v>
      </c>
      <c r="D987" t="s">
        <v>297</v>
      </c>
      <c r="E987" t="s">
        <v>655</v>
      </c>
      <c r="F987" t="s">
        <v>1162</v>
      </c>
      <c r="G987" t="s">
        <v>2096</v>
      </c>
      <c r="H987" t="s">
        <v>2971</v>
      </c>
      <c r="I987" t="s">
        <v>3487</v>
      </c>
      <c r="J987" t="s">
        <v>3604</v>
      </c>
      <c r="K987">
        <v>10035</v>
      </c>
      <c r="L987" t="s">
        <v>3610</v>
      </c>
      <c r="M987" t="s">
        <v>3610</v>
      </c>
      <c r="N987" t="s">
        <v>3958</v>
      </c>
      <c r="O987" t="s">
        <v>4209</v>
      </c>
      <c r="P987" t="s">
        <v>4241</v>
      </c>
      <c r="Q987" t="s">
        <v>4248</v>
      </c>
      <c r="R987" t="s">
        <v>4258</v>
      </c>
      <c r="S987" t="s">
        <v>3611</v>
      </c>
      <c r="U987" t="s">
        <v>4268</v>
      </c>
      <c r="V987" t="s">
        <v>4274</v>
      </c>
      <c r="W987" t="s">
        <v>133</v>
      </c>
      <c r="X987">
        <v>1500</v>
      </c>
      <c r="Y987" t="s">
        <v>4351</v>
      </c>
      <c r="Z987" t="s">
        <v>4367</v>
      </c>
      <c r="AA987" t="s">
        <v>4374</v>
      </c>
      <c r="AB987" t="s">
        <v>5168</v>
      </c>
      <c r="AD987" t="s">
        <v>6534</v>
      </c>
      <c r="AE987">
        <v>330</v>
      </c>
      <c r="AF987" t="s">
        <v>7101</v>
      </c>
      <c r="AG987" t="s">
        <v>7116</v>
      </c>
      <c r="AH987">
        <v>29</v>
      </c>
      <c r="AI987">
        <v>1</v>
      </c>
      <c r="AJ987">
        <v>0</v>
      </c>
      <c r="AK987">
        <v>126.27</v>
      </c>
      <c r="AN987" t="s">
        <v>7138</v>
      </c>
      <c r="AO987">
        <v>15228</v>
      </c>
      <c r="AU987">
        <v>77.45999999999999</v>
      </c>
      <c r="AV987" t="s">
        <v>302</v>
      </c>
      <c r="AW987" t="s">
        <v>7351</v>
      </c>
    </row>
    <row r="988" spans="1:50">
      <c r="A988" s="1">
        <f>HYPERLINK("https://lsnyc.legalserver.org/matter/dynamic-profile/view/1874030","18-1874030")</f>
        <v>0</v>
      </c>
      <c r="B988" t="s">
        <v>51</v>
      </c>
      <c r="C988" t="s">
        <v>104</v>
      </c>
      <c r="D988" t="s">
        <v>489</v>
      </c>
      <c r="E988" t="s">
        <v>293</v>
      </c>
      <c r="F988" t="s">
        <v>1233</v>
      </c>
      <c r="G988" t="s">
        <v>1642</v>
      </c>
      <c r="H988" t="s">
        <v>2514</v>
      </c>
      <c r="I988">
        <v>31</v>
      </c>
      <c r="J988" t="s">
        <v>3604</v>
      </c>
      <c r="K988">
        <v>10029</v>
      </c>
      <c r="L988" t="s">
        <v>3610</v>
      </c>
      <c r="M988" t="s">
        <v>3610</v>
      </c>
      <c r="O988" t="s">
        <v>4211</v>
      </c>
      <c r="P988" t="s">
        <v>4242</v>
      </c>
      <c r="Q988" t="s">
        <v>4250</v>
      </c>
      <c r="R988" t="s">
        <v>4258</v>
      </c>
      <c r="S988" t="s">
        <v>3611</v>
      </c>
      <c r="U988" t="s">
        <v>4268</v>
      </c>
      <c r="V988" t="s">
        <v>4274</v>
      </c>
      <c r="W988" t="s">
        <v>573</v>
      </c>
      <c r="X988">
        <v>196.64</v>
      </c>
      <c r="Y988" t="s">
        <v>4351</v>
      </c>
      <c r="Z988" t="s">
        <v>4365</v>
      </c>
      <c r="AA988" t="s">
        <v>4373</v>
      </c>
      <c r="AB988" t="s">
        <v>5169</v>
      </c>
      <c r="AD988" t="s">
        <v>6535</v>
      </c>
      <c r="AE988">
        <v>33</v>
      </c>
      <c r="AF988" t="s">
        <v>7104</v>
      </c>
      <c r="AG988" t="s">
        <v>3745</v>
      </c>
      <c r="AH988">
        <v>55</v>
      </c>
      <c r="AI988">
        <v>2</v>
      </c>
      <c r="AJ988">
        <v>0</v>
      </c>
      <c r="AK988">
        <v>126.34</v>
      </c>
      <c r="AN988" t="s">
        <v>7139</v>
      </c>
      <c r="AO988">
        <v>20796</v>
      </c>
      <c r="AU988">
        <v>1.7</v>
      </c>
      <c r="AV988" t="s">
        <v>573</v>
      </c>
      <c r="AW988" t="s">
        <v>7361</v>
      </c>
    </row>
    <row r="989" spans="1:50">
      <c r="A989" s="1">
        <f>HYPERLINK("https://lsnyc.legalserver.org/matter/dynamic-profile/view/1866560","18-1866560")</f>
        <v>0</v>
      </c>
      <c r="B989" t="s">
        <v>62</v>
      </c>
      <c r="C989" t="s">
        <v>105</v>
      </c>
      <c r="D989" t="s">
        <v>549</v>
      </c>
      <c r="F989" t="s">
        <v>1025</v>
      </c>
      <c r="G989" t="s">
        <v>2076</v>
      </c>
      <c r="H989" t="s">
        <v>2972</v>
      </c>
      <c r="I989" t="s">
        <v>3293</v>
      </c>
      <c r="J989" t="s">
        <v>3604</v>
      </c>
      <c r="K989">
        <v>10034</v>
      </c>
      <c r="L989" t="s">
        <v>3610</v>
      </c>
      <c r="M989" t="s">
        <v>3609</v>
      </c>
      <c r="O989" t="s">
        <v>4210</v>
      </c>
      <c r="P989" t="s">
        <v>4241</v>
      </c>
      <c r="R989" t="s">
        <v>4258</v>
      </c>
      <c r="S989" t="s">
        <v>3611</v>
      </c>
      <c r="U989" t="s">
        <v>4268</v>
      </c>
      <c r="W989" t="s">
        <v>549</v>
      </c>
      <c r="X989">
        <v>855.5599999999999</v>
      </c>
      <c r="Y989" t="s">
        <v>4351</v>
      </c>
      <c r="Z989" t="s">
        <v>4357</v>
      </c>
      <c r="AB989" t="s">
        <v>5170</v>
      </c>
      <c r="AD989" t="s">
        <v>6536</v>
      </c>
      <c r="AE989">
        <v>31</v>
      </c>
      <c r="AF989" t="s">
        <v>7101</v>
      </c>
      <c r="AG989" t="s">
        <v>3745</v>
      </c>
      <c r="AH989">
        <v>32</v>
      </c>
      <c r="AI989">
        <v>1</v>
      </c>
      <c r="AJ989">
        <v>1</v>
      </c>
      <c r="AK989">
        <v>126.37</v>
      </c>
      <c r="AN989" t="s">
        <v>7138</v>
      </c>
      <c r="AO989">
        <v>20800</v>
      </c>
      <c r="AU989">
        <v>249.5</v>
      </c>
      <c r="AV989" t="s">
        <v>676</v>
      </c>
      <c r="AW989" t="s">
        <v>7342</v>
      </c>
    </row>
    <row r="990" spans="1:50">
      <c r="A990" s="1">
        <f>HYPERLINK("https://lsnyc.legalserver.org/matter/dynamic-profile/view/1886141","18-1886141")</f>
        <v>0</v>
      </c>
      <c r="B990" t="s">
        <v>64</v>
      </c>
      <c r="C990" t="s">
        <v>104</v>
      </c>
      <c r="D990" t="s">
        <v>109</v>
      </c>
      <c r="E990" t="s">
        <v>271</v>
      </c>
      <c r="F990" t="s">
        <v>723</v>
      </c>
      <c r="G990" t="s">
        <v>1594</v>
      </c>
      <c r="H990" t="s">
        <v>2634</v>
      </c>
      <c r="I990" t="s">
        <v>3285</v>
      </c>
      <c r="J990" t="s">
        <v>3604</v>
      </c>
      <c r="K990">
        <v>10034</v>
      </c>
      <c r="L990" t="s">
        <v>3610</v>
      </c>
      <c r="M990" t="s">
        <v>3610</v>
      </c>
      <c r="N990" t="s">
        <v>3959</v>
      </c>
      <c r="O990" t="s">
        <v>4237</v>
      </c>
      <c r="P990" t="s">
        <v>4244</v>
      </c>
      <c r="Q990" t="s">
        <v>4254</v>
      </c>
      <c r="R990" t="s">
        <v>4258</v>
      </c>
      <c r="S990" t="s">
        <v>3611</v>
      </c>
      <c r="U990" t="s">
        <v>4268</v>
      </c>
      <c r="V990" t="s">
        <v>4275</v>
      </c>
      <c r="W990" t="s">
        <v>4321</v>
      </c>
      <c r="X990">
        <v>955</v>
      </c>
      <c r="Y990" t="s">
        <v>4351</v>
      </c>
      <c r="Z990" t="s">
        <v>4354</v>
      </c>
      <c r="AA990" t="s">
        <v>4377</v>
      </c>
      <c r="AB990" t="s">
        <v>5171</v>
      </c>
      <c r="AD990" t="s">
        <v>6537</v>
      </c>
      <c r="AE990">
        <v>95</v>
      </c>
      <c r="AF990" t="s">
        <v>7106</v>
      </c>
      <c r="AH990">
        <v>5</v>
      </c>
      <c r="AI990">
        <v>1</v>
      </c>
      <c r="AJ990">
        <v>1</v>
      </c>
      <c r="AK990">
        <v>126.37</v>
      </c>
      <c r="AN990" t="s">
        <v>7138</v>
      </c>
      <c r="AO990">
        <v>20800</v>
      </c>
      <c r="AU990">
        <v>0.1</v>
      </c>
      <c r="AV990" t="s">
        <v>271</v>
      </c>
      <c r="AW990" t="s">
        <v>64</v>
      </c>
    </row>
    <row r="991" spans="1:50">
      <c r="A991" s="1">
        <f>HYPERLINK("https://lsnyc.legalserver.org/matter/dynamic-profile/view/1872981","18-1872981")</f>
        <v>0</v>
      </c>
      <c r="B991" t="s">
        <v>59</v>
      </c>
      <c r="C991" t="s">
        <v>104</v>
      </c>
      <c r="D991" t="s">
        <v>177</v>
      </c>
      <c r="E991" t="s">
        <v>360</v>
      </c>
      <c r="F991" t="s">
        <v>1234</v>
      </c>
      <c r="G991" t="s">
        <v>2097</v>
      </c>
      <c r="H991" t="s">
        <v>2973</v>
      </c>
      <c r="I991">
        <v>3</v>
      </c>
      <c r="J991" t="s">
        <v>3604</v>
      </c>
      <c r="K991">
        <v>10027</v>
      </c>
      <c r="L991" t="s">
        <v>3610</v>
      </c>
      <c r="M991" t="s">
        <v>3610</v>
      </c>
      <c r="N991" t="s">
        <v>3960</v>
      </c>
      <c r="O991" t="s">
        <v>4210</v>
      </c>
      <c r="P991" t="s">
        <v>4242</v>
      </c>
      <c r="Q991" t="s">
        <v>4250</v>
      </c>
      <c r="R991" t="s">
        <v>4258</v>
      </c>
      <c r="S991" t="s">
        <v>3611</v>
      </c>
      <c r="U991" t="s">
        <v>4268</v>
      </c>
      <c r="W991" t="s">
        <v>363</v>
      </c>
      <c r="X991">
        <v>1090</v>
      </c>
      <c r="Y991" t="s">
        <v>4351</v>
      </c>
      <c r="Z991" t="s">
        <v>4367</v>
      </c>
      <c r="AA991" t="s">
        <v>4373</v>
      </c>
      <c r="AB991" t="s">
        <v>5172</v>
      </c>
      <c r="AD991" t="s">
        <v>6538</v>
      </c>
      <c r="AE991">
        <v>0</v>
      </c>
      <c r="AF991" t="s">
        <v>7112</v>
      </c>
      <c r="AG991" t="s">
        <v>3745</v>
      </c>
      <c r="AH991">
        <v>4</v>
      </c>
      <c r="AI991">
        <v>2</v>
      </c>
      <c r="AJ991">
        <v>0</v>
      </c>
      <c r="AK991">
        <v>126.37</v>
      </c>
      <c r="AN991" t="s">
        <v>7138</v>
      </c>
      <c r="AO991">
        <v>20800</v>
      </c>
      <c r="AU991">
        <v>0.3</v>
      </c>
      <c r="AV991" t="s">
        <v>627</v>
      </c>
      <c r="AW991" t="s">
        <v>7344</v>
      </c>
    </row>
    <row r="992" spans="1:50">
      <c r="A992" s="1">
        <f>HYPERLINK("https://lsnyc.legalserver.org/matter/dynamic-profile/view/1837382","17-1837382")</f>
        <v>0</v>
      </c>
      <c r="B992" t="s">
        <v>61</v>
      </c>
      <c r="C992" t="s">
        <v>105</v>
      </c>
      <c r="D992" t="s">
        <v>355</v>
      </c>
      <c r="F992" t="s">
        <v>1235</v>
      </c>
      <c r="G992" t="s">
        <v>1622</v>
      </c>
      <c r="H992" t="s">
        <v>2974</v>
      </c>
      <c r="I992" t="s">
        <v>3306</v>
      </c>
      <c r="J992" t="s">
        <v>3604</v>
      </c>
      <c r="K992">
        <v>10034</v>
      </c>
      <c r="L992" t="s">
        <v>3610</v>
      </c>
      <c r="M992" t="s">
        <v>3609</v>
      </c>
      <c r="O992" t="s">
        <v>4211</v>
      </c>
      <c r="P992" t="s">
        <v>4244</v>
      </c>
      <c r="R992" t="s">
        <v>4258</v>
      </c>
      <c r="S992" t="s">
        <v>3611</v>
      </c>
      <c r="U992" t="s">
        <v>4268</v>
      </c>
      <c r="W992" t="s">
        <v>355</v>
      </c>
      <c r="X992">
        <v>1234</v>
      </c>
      <c r="Y992" t="s">
        <v>4351</v>
      </c>
      <c r="Z992" t="s">
        <v>4363</v>
      </c>
      <c r="AB992" t="s">
        <v>5173</v>
      </c>
      <c r="AD992" t="s">
        <v>6539</v>
      </c>
      <c r="AE992">
        <v>30</v>
      </c>
      <c r="AF992" t="s">
        <v>7101</v>
      </c>
      <c r="AG992" t="s">
        <v>7116</v>
      </c>
      <c r="AH992">
        <v>21</v>
      </c>
      <c r="AI992">
        <v>3</v>
      </c>
      <c r="AJ992">
        <v>0</v>
      </c>
      <c r="AK992">
        <v>126.84</v>
      </c>
      <c r="AN992" t="s">
        <v>7139</v>
      </c>
      <c r="AO992">
        <v>25900</v>
      </c>
      <c r="AU992">
        <v>46.7</v>
      </c>
      <c r="AV992" t="s">
        <v>178</v>
      </c>
      <c r="AW992" t="s">
        <v>7354</v>
      </c>
    </row>
    <row r="993" spans="1:50">
      <c r="A993" s="1">
        <f>HYPERLINK("https://lsnyc.legalserver.org/matter/dynamic-profile/view/1840055","17-1840055")</f>
        <v>0</v>
      </c>
      <c r="B993" t="s">
        <v>53</v>
      </c>
      <c r="C993" t="s">
        <v>104</v>
      </c>
      <c r="D993" t="s">
        <v>268</v>
      </c>
      <c r="E993" t="s">
        <v>488</v>
      </c>
      <c r="F993" t="s">
        <v>1236</v>
      </c>
      <c r="G993" t="s">
        <v>2028</v>
      </c>
      <c r="H993" t="s">
        <v>2833</v>
      </c>
      <c r="I993">
        <v>21</v>
      </c>
      <c r="J993" t="s">
        <v>3604</v>
      </c>
      <c r="K993">
        <v>10040</v>
      </c>
      <c r="L993" t="s">
        <v>3610</v>
      </c>
      <c r="M993" t="s">
        <v>3610</v>
      </c>
      <c r="N993" t="s">
        <v>3883</v>
      </c>
      <c r="O993" t="s">
        <v>4213</v>
      </c>
      <c r="P993" t="s">
        <v>4241</v>
      </c>
      <c r="Q993" t="s">
        <v>4248</v>
      </c>
      <c r="R993" t="s">
        <v>4258</v>
      </c>
      <c r="S993" t="s">
        <v>3610</v>
      </c>
      <c r="U993" t="s">
        <v>4268</v>
      </c>
      <c r="W993" t="s">
        <v>268</v>
      </c>
      <c r="X993">
        <v>980</v>
      </c>
      <c r="Y993" t="s">
        <v>4351</v>
      </c>
      <c r="Z993" t="s">
        <v>4352</v>
      </c>
      <c r="AA993" t="s">
        <v>4379</v>
      </c>
      <c r="AB993" t="s">
        <v>5174</v>
      </c>
      <c r="AD993" t="s">
        <v>6540</v>
      </c>
      <c r="AE993">
        <v>45</v>
      </c>
      <c r="AF993" t="s">
        <v>7101</v>
      </c>
      <c r="AG993" t="s">
        <v>3745</v>
      </c>
      <c r="AH993">
        <v>3</v>
      </c>
      <c r="AI993">
        <v>3</v>
      </c>
      <c r="AJ993">
        <v>0</v>
      </c>
      <c r="AK993">
        <v>127.33</v>
      </c>
      <c r="AL993" t="s">
        <v>183</v>
      </c>
      <c r="AN993" t="s">
        <v>7138</v>
      </c>
      <c r="AO993">
        <v>26000</v>
      </c>
      <c r="AQ993" t="s">
        <v>7197</v>
      </c>
      <c r="AR993" t="s">
        <v>7220</v>
      </c>
      <c r="AS993" t="s">
        <v>7231</v>
      </c>
      <c r="AT993" t="s">
        <v>7260</v>
      </c>
      <c r="AU993">
        <v>4.87</v>
      </c>
      <c r="AV993" t="s">
        <v>488</v>
      </c>
      <c r="AW993" t="s">
        <v>7342</v>
      </c>
    </row>
    <row r="994" spans="1:50">
      <c r="A994" s="1">
        <f>HYPERLINK("https://lsnyc.legalserver.org/matter/dynamic-profile/view/0797150","16-0797150")</f>
        <v>0</v>
      </c>
      <c r="B994" t="s">
        <v>50</v>
      </c>
      <c r="C994" t="s">
        <v>104</v>
      </c>
      <c r="D994" t="s">
        <v>550</v>
      </c>
      <c r="E994" t="s">
        <v>262</v>
      </c>
      <c r="F994" t="s">
        <v>1237</v>
      </c>
      <c r="G994" t="s">
        <v>2098</v>
      </c>
      <c r="H994" t="s">
        <v>2975</v>
      </c>
      <c r="I994">
        <v>4</v>
      </c>
      <c r="J994" t="s">
        <v>3604</v>
      </c>
      <c r="K994">
        <v>10002</v>
      </c>
      <c r="L994" t="s">
        <v>3609</v>
      </c>
      <c r="M994" t="s">
        <v>3609</v>
      </c>
      <c r="N994" t="s">
        <v>3961</v>
      </c>
      <c r="Q994" t="s">
        <v>4248</v>
      </c>
      <c r="R994" t="s">
        <v>4258</v>
      </c>
      <c r="U994" t="s">
        <v>4267</v>
      </c>
      <c r="X994">
        <v>2350</v>
      </c>
      <c r="Y994" t="s">
        <v>4351</v>
      </c>
      <c r="Z994" t="s">
        <v>4358</v>
      </c>
      <c r="AA994" t="s">
        <v>4372</v>
      </c>
      <c r="AB994" t="s">
        <v>5175</v>
      </c>
      <c r="AD994" t="s">
        <v>6541</v>
      </c>
      <c r="AE994">
        <v>0</v>
      </c>
      <c r="AH994">
        <v>1</v>
      </c>
      <c r="AI994">
        <v>1</v>
      </c>
      <c r="AJ994">
        <v>0</v>
      </c>
      <c r="AK994">
        <v>127.44</v>
      </c>
      <c r="AN994" t="s">
        <v>7138</v>
      </c>
      <c r="AO994">
        <v>15000</v>
      </c>
      <c r="AU994">
        <v>127.45</v>
      </c>
      <c r="AV994" t="s">
        <v>378</v>
      </c>
      <c r="AW994" t="s">
        <v>7345</v>
      </c>
    </row>
    <row r="995" spans="1:50">
      <c r="A995" s="1">
        <f>HYPERLINK("https://lsnyc.legalserver.org/matter/dynamic-profile/view/1864159","18-1864159")</f>
        <v>0</v>
      </c>
      <c r="B995" t="s">
        <v>53</v>
      </c>
      <c r="C995" t="s">
        <v>105</v>
      </c>
      <c r="D995" t="s">
        <v>161</v>
      </c>
      <c r="F995" t="s">
        <v>1238</v>
      </c>
      <c r="G995" t="s">
        <v>1647</v>
      </c>
      <c r="H995" t="s">
        <v>2508</v>
      </c>
      <c r="I995">
        <v>505</v>
      </c>
      <c r="J995" t="s">
        <v>3604</v>
      </c>
      <c r="K995">
        <v>10029</v>
      </c>
      <c r="L995" t="s">
        <v>3610</v>
      </c>
      <c r="M995" t="s">
        <v>3610</v>
      </c>
      <c r="N995" t="s">
        <v>3642</v>
      </c>
      <c r="O995" t="s">
        <v>4213</v>
      </c>
      <c r="P995" t="s">
        <v>4247</v>
      </c>
      <c r="R995" t="s">
        <v>4258</v>
      </c>
      <c r="S995" t="s">
        <v>3610</v>
      </c>
      <c r="U995" t="s">
        <v>4268</v>
      </c>
      <c r="V995" t="s">
        <v>4274</v>
      </c>
      <c r="W995" t="s">
        <v>161</v>
      </c>
      <c r="X995">
        <v>0</v>
      </c>
      <c r="Y995" t="s">
        <v>4351</v>
      </c>
      <c r="Z995" t="s">
        <v>4352</v>
      </c>
      <c r="AB995" t="s">
        <v>5176</v>
      </c>
      <c r="AD995" t="s">
        <v>6542</v>
      </c>
      <c r="AE995">
        <v>108</v>
      </c>
      <c r="AF995" t="s">
        <v>7106</v>
      </c>
      <c r="AG995" t="s">
        <v>7116</v>
      </c>
      <c r="AH995">
        <v>9</v>
      </c>
      <c r="AI995">
        <v>2</v>
      </c>
      <c r="AJ995">
        <v>2</v>
      </c>
      <c r="AK995">
        <v>127.49</v>
      </c>
      <c r="AN995" t="s">
        <v>7138</v>
      </c>
      <c r="AO995">
        <v>32000</v>
      </c>
      <c r="AU995">
        <v>0.35</v>
      </c>
      <c r="AV995" t="s">
        <v>688</v>
      </c>
      <c r="AW995" t="s">
        <v>7341</v>
      </c>
    </row>
    <row r="996" spans="1:50">
      <c r="A996" s="1">
        <f>HYPERLINK("https://lsnyc.legalserver.org/matter/dynamic-profile/view/1841656","17-1841656")</f>
        <v>0</v>
      </c>
      <c r="B996" t="s">
        <v>53</v>
      </c>
      <c r="C996" t="s">
        <v>105</v>
      </c>
      <c r="D996" t="s">
        <v>551</v>
      </c>
      <c r="F996" t="s">
        <v>1025</v>
      </c>
      <c r="G996" t="s">
        <v>2076</v>
      </c>
      <c r="H996" t="s">
        <v>2972</v>
      </c>
      <c r="I996" t="s">
        <v>3293</v>
      </c>
      <c r="J996" t="s">
        <v>3604</v>
      </c>
      <c r="K996">
        <v>10034</v>
      </c>
      <c r="L996" t="s">
        <v>3610</v>
      </c>
      <c r="M996" t="s">
        <v>3609</v>
      </c>
      <c r="N996" t="s">
        <v>3962</v>
      </c>
      <c r="O996" t="s">
        <v>4220</v>
      </c>
      <c r="P996" t="s">
        <v>4241</v>
      </c>
      <c r="R996" t="s">
        <v>4258</v>
      </c>
      <c r="S996" t="s">
        <v>3611</v>
      </c>
      <c r="U996" t="s">
        <v>4268</v>
      </c>
      <c r="W996" t="s">
        <v>626</v>
      </c>
      <c r="X996">
        <v>855.5599999999999</v>
      </c>
      <c r="Y996" t="s">
        <v>4351</v>
      </c>
      <c r="Z996" t="s">
        <v>4352</v>
      </c>
      <c r="AB996" t="s">
        <v>5170</v>
      </c>
      <c r="AD996" t="s">
        <v>6536</v>
      </c>
      <c r="AE996">
        <v>31</v>
      </c>
      <c r="AF996" t="s">
        <v>7101</v>
      </c>
      <c r="AG996" t="s">
        <v>3745</v>
      </c>
      <c r="AH996">
        <v>32</v>
      </c>
      <c r="AI996">
        <v>1</v>
      </c>
      <c r="AJ996">
        <v>1</v>
      </c>
      <c r="AK996">
        <v>128.08</v>
      </c>
      <c r="AN996" t="s">
        <v>7138</v>
      </c>
      <c r="AO996">
        <v>20800</v>
      </c>
      <c r="AU996">
        <v>31.7</v>
      </c>
      <c r="AV996" t="s">
        <v>680</v>
      </c>
      <c r="AW996" t="s">
        <v>7356</v>
      </c>
    </row>
    <row r="997" spans="1:50">
      <c r="A997" s="1">
        <f>HYPERLINK("https://lsnyc.legalserver.org/matter/dynamic-profile/view/1836853","17-1836853")</f>
        <v>0</v>
      </c>
      <c r="B997" t="s">
        <v>94</v>
      </c>
      <c r="C997" t="s">
        <v>104</v>
      </c>
      <c r="D997" t="s">
        <v>524</v>
      </c>
      <c r="E997" t="s">
        <v>485</v>
      </c>
      <c r="F997" t="s">
        <v>1146</v>
      </c>
      <c r="G997" t="s">
        <v>1901</v>
      </c>
      <c r="H997" t="s">
        <v>2976</v>
      </c>
      <c r="I997" t="s">
        <v>3488</v>
      </c>
      <c r="J997" t="s">
        <v>3604</v>
      </c>
      <c r="K997">
        <v>10033</v>
      </c>
      <c r="L997" t="s">
        <v>3610</v>
      </c>
      <c r="M997" t="s">
        <v>3609</v>
      </c>
      <c r="P997" t="s">
        <v>4241</v>
      </c>
      <c r="Q997" t="s">
        <v>4248</v>
      </c>
      <c r="R997" t="s">
        <v>4258</v>
      </c>
      <c r="T997" t="s">
        <v>4259</v>
      </c>
      <c r="U997" t="s">
        <v>4268</v>
      </c>
      <c r="W997" t="s">
        <v>234</v>
      </c>
      <c r="X997">
        <v>0</v>
      </c>
      <c r="Y997" t="s">
        <v>4351</v>
      </c>
      <c r="AA997" t="s">
        <v>4374</v>
      </c>
      <c r="AB997" t="s">
        <v>5177</v>
      </c>
      <c r="AD997" t="s">
        <v>6543</v>
      </c>
      <c r="AE997">
        <v>0</v>
      </c>
      <c r="AH997">
        <v>0</v>
      </c>
      <c r="AI997">
        <v>2</v>
      </c>
      <c r="AJ997">
        <v>0</v>
      </c>
      <c r="AK997">
        <v>128.08</v>
      </c>
      <c r="AN997" t="s">
        <v>7139</v>
      </c>
      <c r="AO997">
        <v>20800</v>
      </c>
      <c r="AU997">
        <v>51.25</v>
      </c>
      <c r="AV997" t="s">
        <v>425</v>
      </c>
      <c r="AW997" t="s">
        <v>7345</v>
      </c>
    </row>
    <row r="998" spans="1:50">
      <c r="A998" s="1">
        <f>HYPERLINK("https://lsnyc.legalserver.org/matter/dynamic-profile/view/1864485","18-1864485")</f>
        <v>0</v>
      </c>
      <c r="B998" t="s">
        <v>63</v>
      </c>
      <c r="C998" t="s">
        <v>104</v>
      </c>
      <c r="D998" t="s">
        <v>157</v>
      </c>
      <c r="E998" t="s">
        <v>561</v>
      </c>
      <c r="F998" t="s">
        <v>1239</v>
      </c>
      <c r="G998" t="s">
        <v>1913</v>
      </c>
      <c r="H998" t="s">
        <v>2699</v>
      </c>
      <c r="I998">
        <v>52</v>
      </c>
      <c r="J998" t="s">
        <v>3604</v>
      </c>
      <c r="K998">
        <v>10034</v>
      </c>
      <c r="L998" t="s">
        <v>3610</v>
      </c>
      <c r="M998" t="s">
        <v>3610</v>
      </c>
      <c r="O998" t="s">
        <v>4219</v>
      </c>
      <c r="P998" t="s">
        <v>4245</v>
      </c>
      <c r="Q998" t="s">
        <v>4249</v>
      </c>
      <c r="R998" t="s">
        <v>4258</v>
      </c>
      <c r="S998" t="s">
        <v>3611</v>
      </c>
      <c r="U998" t="s">
        <v>4268</v>
      </c>
      <c r="W998" t="s">
        <v>157</v>
      </c>
      <c r="X998">
        <v>1157.39</v>
      </c>
      <c r="Y998" t="s">
        <v>4351</v>
      </c>
      <c r="Z998" t="s">
        <v>4354</v>
      </c>
      <c r="AA998" t="s">
        <v>4377</v>
      </c>
      <c r="AB998" t="s">
        <v>4971</v>
      </c>
      <c r="AE998">
        <v>26</v>
      </c>
      <c r="AF998" t="s">
        <v>7101</v>
      </c>
      <c r="AG998" t="s">
        <v>3745</v>
      </c>
      <c r="AH998">
        <v>18</v>
      </c>
      <c r="AI998">
        <v>3</v>
      </c>
      <c r="AJ998">
        <v>0</v>
      </c>
      <c r="AK998">
        <v>128.12</v>
      </c>
      <c r="AN998" t="s">
        <v>7139</v>
      </c>
      <c r="AO998">
        <v>26624</v>
      </c>
      <c r="AU998">
        <v>4.9</v>
      </c>
      <c r="AV998" t="s">
        <v>224</v>
      </c>
      <c r="AW998" t="s">
        <v>7342</v>
      </c>
    </row>
    <row r="999" spans="1:50">
      <c r="A999" s="1">
        <f>HYPERLINK("https://lsnyc.legalserver.org/matter/dynamic-profile/view/1878449","18-1878449")</f>
        <v>0</v>
      </c>
      <c r="B999" t="s">
        <v>53</v>
      </c>
      <c r="C999" t="s">
        <v>105</v>
      </c>
      <c r="D999" t="s">
        <v>311</v>
      </c>
      <c r="F999" t="s">
        <v>1229</v>
      </c>
      <c r="G999" t="s">
        <v>2094</v>
      </c>
      <c r="H999" t="s">
        <v>2967</v>
      </c>
      <c r="I999" t="s">
        <v>3316</v>
      </c>
      <c r="J999" t="s">
        <v>3604</v>
      </c>
      <c r="K999">
        <v>10029</v>
      </c>
      <c r="L999" t="s">
        <v>3610</v>
      </c>
      <c r="M999" t="s">
        <v>3610</v>
      </c>
      <c r="N999" t="s">
        <v>3963</v>
      </c>
      <c r="O999" t="s">
        <v>4213</v>
      </c>
      <c r="P999" t="s">
        <v>4241</v>
      </c>
      <c r="R999" t="s">
        <v>4258</v>
      </c>
      <c r="S999" t="s">
        <v>3611</v>
      </c>
      <c r="U999" t="s">
        <v>4268</v>
      </c>
      <c r="V999" t="s">
        <v>4274</v>
      </c>
      <c r="W999" t="s">
        <v>293</v>
      </c>
      <c r="X999">
        <v>1138</v>
      </c>
      <c r="Y999" t="s">
        <v>4351</v>
      </c>
      <c r="Z999" t="s">
        <v>4354</v>
      </c>
      <c r="AB999" t="s">
        <v>5164</v>
      </c>
      <c r="AD999" t="s">
        <v>6531</v>
      </c>
      <c r="AE999">
        <v>10</v>
      </c>
      <c r="AF999" t="s">
        <v>7101</v>
      </c>
      <c r="AG999" t="s">
        <v>3745</v>
      </c>
      <c r="AH999">
        <v>15</v>
      </c>
      <c r="AI999">
        <v>1</v>
      </c>
      <c r="AJ999">
        <v>2</v>
      </c>
      <c r="AK999">
        <v>128.2</v>
      </c>
      <c r="AN999" t="s">
        <v>7138</v>
      </c>
      <c r="AO999">
        <v>26640</v>
      </c>
      <c r="AU999">
        <v>136.55</v>
      </c>
      <c r="AV999" t="s">
        <v>666</v>
      </c>
      <c r="AW999" t="s">
        <v>7351</v>
      </c>
      <c r="AX999" t="s">
        <v>7377</v>
      </c>
    </row>
    <row r="1000" spans="1:50">
      <c r="A1000" s="1">
        <f>HYPERLINK("https://lsnyc.legalserver.org/matter/dynamic-profile/view/1876359","18-1876359")</f>
        <v>0</v>
      </c>
      <c r="B1000" t="s">
        <v>50</v>
      </c>
      <c r="C1000" t="s">
        <v>104</v>
      </c>
      <c r="D1000" t="s">
        <v>476</v>
      </c>
      <c r="E1000" t="s">
        <v>477</v>
      </c>
      <c r="F1000" t="s">
        <v>1240</v>
      </c>
      <c r="G1000" t="s">
        <v>2099</v>
      </c>
      <c r="H1000" t="s">
        <v>2977</v>
      </c>
      <c r="I1000" t="s">
        <v>3318</v>
      </c>
      <c r="J1000" t="s">
        <v>3606</v>
      </c>
      <c r="K1000">
        <v>11216</v>
      </c>
      <c r="L1000" t="s">
        <v>3609</v>
      </c>
      <c r="M1000" t="s">
        <v>3609</v>
      </c>
      <c r="Q1000" t="s">
        <v>4249</v>
      </c>
      <c r="R1000" t="s">
        <v>4258</v>
      </c>
      <c r="U1000" t="s">
        <v>4267</v>
      </c>
      <c r="X1000">
        <v>0</v>
      </c>
      <c r="Y1000" t="s">
        <v>4351</v>
      </c>
      <c r="AA1000" t="s">
        <v>4396</v>
      </c>
      <c r="AB1000" t="s">
        <v>5178</v>
      </c>
      <c r="AD1000" t="s">
        <v>6544</v>
      </c>
      <c r="AE1000">
        <v>0</v>
      </c>
      <c r="AH1000">
        <v>0</v>
      </c>
      <c r="AI1000">
        <v>1</v>
      </c>
      <c r="AJ1000">
        <v>0</v>
      </c>
      <c r="AK1000">
        <v>128.5</v>
      </c>
      <c r="AN1000" t="s">
        <v>7138</v>
      </c>
      <c r="AO1000">
        <v>15600</v>
      </c>
      <c r="AU1000">
        <v>4.7</v>
      </c>
      <c r="AV1000" t="s">
        <v>131</v>
      </c>
      <c r="AW1000" t="s">
        <v>7340</v>
      </c>
    </row>
    <row r="1001" spans="1:50">
      <c r="A1001" s="1">
        <f>HYPERLINK("https://lsnyc.legalserver.org/matter/dynamic-profile/view/1870112","18-1870112")</f>
        <v>0</v>
      </c>
      <c r="B1001" t="s">
        <v>52</v>
      </c>
      <c r="C1001" t="s">
        <v>105</v>
      </c>
      <c r="D1001" t="s">
        <v>531</v>
      </c>
      <c r="F1001" t="s">
        <v>1241</v>
      </c>
      <c r="G1001" t="s">
        <v>1810</v>
      </c>
      <c r="H1001" t="s">
        <v>2978</v>
      </c>
      <c r="I1001">
        <v>54</v>
      </c>
      <c r="J1001" t="s">
        <v>3604</v>
      </c>
      <c r="K1001">
        <v>10034</v>
      </c>
      <c r="L1001" t="s">
        <v>3610</v>
      </c>
      <c r="M1001" t="s">
        <v>3609</v>
      </c>
      <c r="N1001" t="s">
        <v>3964</v>
      </c>
      <c r="O1001" t="s">
        <v>4213</v>
      </c>
      <c r="P1001" t="s">
        <v>4241</v>
      </c>
      <c r="R1001" t="s">
        <v>4258</v>
      </c>
      <c r="S1001" t="s">
        <v>3611</v>
      </c>
      <c r="U1001" t="s">
        <v>4268</v>
      </c>
      <c r="W1001" t="s">
        <v>4320</v>
      </c>
      <c r="X1001">
        <v>819.0700000000001</v>
      </c>
      <c r="Y1001" t="s">
        <v>4351</v>
      </c>
      <c r="Z1001" t="s">
        <v>4357</v>
      </c>
      <c r="AB1001" t="s">
        <v>5179</v>
      </c>
      <c r="AD1001" t="s">
        <v>6545</v>
      </c>
      <c r="AE1001">
        <v>53</v>
      </c>
      <c r="AF1001" t="s">
        <v>7101</v>
      </c>
      <c r="AG1001" t="s">
        <v>3745</v>
      </c>
      <c r="AH1001">
        <v>0</v>
      </c>
      <c r="AI1001">
        <v>1</v>
      </c>
      <c r="AJ1001">
        <v>0</v>
      </c>
      <c r="AK1001">
        <v>128.5</v>
      </c>
      <c r="AN1001" t="s">
        <v>7138</v>
      </c>
      <c r="AO1001">
        <v>15600</v>
      </c>
      <c r="AU1001">
        <v>25.7</v>
      </c>
      <c r="AV1001" t="s">
        <v>501</v>
      </c>
      <c r="AW1001" t="s">
        <v>7342</v>
      </c>
    </row>
    <row r="1002" spans="1:50">
      <c r="A1002" s="1">
        <f>HYPERLINK("https://lsnyc.legalserver.org/matter/dynamic-profile/view/1870852","18-1870852")</f>
        <v>0</v>
      </c>
      <c r="B1002" t="s">
        <v>52</v>
      </c>
      <c r="C1002" t="s">
        <v>105</v>
      </c>
      <c r="D1002" t="s">
        <v>552</v>
      </c>
      <c r="F1002" t="s">
        <v>1241</v>
      </c>
      <c r="G1002" t="s">
        <v>1810</v>
      </c>
      <c r="H1002" t="s">
        <v>2978</v>
      </c>
      <c r="I1002">
        <v>54</v>
      </c>
      <c r="J1002" t="s">
        <v>3604</v>
      </c>
      <c r="K1002">
        <v>10034</v>
      </c>
      <c r="L1002" t="s">
        <v>3610</v>
      </c>
      <c r="M1002" t="s">
        <v>3609</v>
      </c>
      <c r="N1002" t="s">
        <v>3965</v>
      </c>
      <c r="O1002" t="s">
        <v>4209</v>
      </c>
      <c r="P1002" t="s">
        <v>4241</v>
      </c>
      <c r="R1002" t="s">
        <v>4258</v>
      </c>
      <c r="S1002" t="s">
        <v>3611</v>
      </c>
      <c r="U1002" t="s">
        <v>4268</v>
      </c>
      <c r="W1002" t="s">
        <v>552</v>
      </c>
      <c r="X1002">
        <v>856.55</v>
      </c>
      <c r="Y1002" t="s">
        <v>4351</v>
      </c>
      <c r="Z1002" t="s">
        <v>4357</v>
      </c>
      <c r="AB1002" t="s">
        <v>5179</v>
      </c>
      <c r="AD1002" t="s">
        <v>6545</v>
      </c>
      <c r="AE1002">
        <v>53</v>
      </c>
      <c r="AF1002" t="s">
        <v>7101</v>
      </c>
      <c r="AG1002" t="s">
        <v>3745</v>
      </c>
      <c r="AH1002">
        <v>15</v>
      </c>
      <c r="AI1002">
        <v>1</v>
      </c>
      <c r="AJ1002">
        <v>0</v>
      </c>
      <c r="AK1002">
        <v>128.5</v>
      </c>
      <c r="AN1002" t="s">
        <v>7138</v>
      </c>
      <c r="AO1002">
        <v>15600</v>
      </c>
      <c r="AU1002">
        <v>96.33</v>
      </c>
      <c r="AV1002" t="s">
        <v>371</v>
      </c>
      <c r="AW1002" t="s">
        <v>73</v>
      </c>
    </row>
    <row r="1003" spans="1:50">
      <c r="A1003" s="1">
        <f>HYPERLINK("https://lsnyc.legalserver.org/matter/dynamic-profile/view/1873098","18-1873098")</f>
        <v>0</v>
      </c>
      <c r="B1003" t="s">
        <v>73</v>
      </c>
      <c r="C1003" t="s">
        <v>104</v>
      </c>
      <c r="D1003" t="s">
        <v>553</v>
      </c>
      <c r="E1003" t="s">
        <v>204</v>
      </c>
      <c r="F1003" t="s">
        <v>711</v>
      </c>
      <c r="G1003" t="s">
        <v>1582</v>
      </c>
      <c r="H1003" t="s">
        <v>2482</v>
      </c>
      <c r="I1003" t="s">
        <v>3289</v>
      </c>
      <c r="J1003" t="s">
        <v>3604</v>
      </c>
      <c r="K1003">
        <v>10034</v>
      </c>
      <c r="L1003" t="s">
        <v>3610</v>
      </c>
      <c r="M1003" t="s">
        <v>3610</v>
      </c>
      <c r="N1003" t="s">
        <v>3966</v>
      </c>
      <c r="O1003" t="s">
        <v>4209</v>
      </c>
      <c r="P1003" t="s">
        <v>4242</v>
      </c>
      <c r="Q1003" t="s">
        <v>4250</v>
      </c>
      <c r="R1003" t="s">
        <v>4258</v>
      </c>
      <c r="S1003" t="s">
        <v>3611</v>
      </c>
      <c r="U1003" t="s">
        <v>4268</v>
      </c>
      <c r="W1003" t="s">
        <v>287</v>
      </c>
      <c r="X1003">
        <v>1320</v>
      </c>
      <c r="Y1003" t="s">
        <v>4351</v>
      </c>
      <c r="Z1003" t="s">
        <v>4354</v>
      </c>
      <c r="AA1003" t="s">
        <v>4373</v>
      </c>
      <c r="AB1003" t="s">
        <v>4422</v>
      </c>
      <c r="AD1003" t="s">
        <v>5868</v>
      </c>
      <c r="AE1003">
        <v>200</v>
      </c>
      <c r="AF1003" t="s">
        <v>7101</v>
      </c>
      <c r="AG1003" t="s">
        <v>3745</v>
      </c>
      <c r="AH1003">
        <v>20</v>
      </c>
      <c r="AI1003">
        <v>1</v>
      </c>
      <c r="AJ1003">
        <v>0</v>
      </c>
      <c r="AK1003">
        <v>128.5</v>
      </c>
      <c r="AN1003" t="s">
        <v>7138</v>
      </c>
      <c r="AO1003">
        <v>15600</v>
      </c>
      <c r="AU1003">
        <v>2.5</v>
      </c>
      <c r="AV1003" t="s">
        <v>136</v>
      </c>
      <c r="AW1003" t="s">
        <v>7346</v>
      </c>
    </row>
    <row r="1004" spans="1:50">
      <c r="A1004" s="1">
        <f>HYPERLINK("https://lsnyc.legalserver.org/matter/dynamic-profile/view/1838603","17-1838603")</f>
        <v>0</v>
      </c>
      <c r="B1004" t="s">
        <v>64</v>
      </c>
      <c r="C1004" t="s">
        <v>105</v>
      </c>
      <c r="D1004" t="s">
        <v>189</v>
      </c>
      <c r="F1004" t="s">
        <v>1025</v>
      </c>
      <c r="G1004" t="s">
        <v>2100</v>
      </c>
      <c r="H1004" t="s">
        <v>2642</v>
      </c>
      <c r="I1004" t="s">
        <v>3489</v>
      </c>
      <c r="J1004" t="s">
        <v>3604</v>
      </c>
      <c r="K1004">
        <v>10034</v>
      </c>
      <c r="L1004" t="s">
        <v>3610</v>
      </c>
      <c r="M1004" t="s">
        <v>3609</v>
      </c>
      <c r="O1004" t="s">
        <v>4213</v>
      </c>
      <c r="P1004" t="s">
        <v>4244</v>
      </c>
      <c r="R1004" t="s">
        <v>4258</v>
      </c>
      <c r="S1004" t="s">
        <v>3610</v>
      </c>
      <c r="U1004" t="s">
        <v>4268</v>
      </c>
      <c r="W1004" t="s">
        <v>133</v>
      </c>
      <c r="X1004">
        <v>1052</v>
      </c>
      <c r="Y1004" t="s">
        <v>4351</v>
      </c>
      <c r="Z1004" t="s">
        <v>4352</v>
      </c>
      <c r="AB1004" t="s">
        <v>5180</v>
      </c>
      <c r="AD1004" t="s">
        <v>6546</v>
      </c>
      <c r="AE1004">
        <v>49</v>
      </c>
      <c r="AF1004" t="s">
        <v>7101</v>
      </c>
      <c r="AG1004" t="s">
        <v>3745</v>
      </c>
      <c r="AH1004">
        <v>28</v>
      </c>
      <c r="AI1004">
        <v>5</v>
      </c>
      <c r="AJ1004">
        <v>3</v>
      </c>
      <c r="AK1004">
        <v>128.52</v>
      </c>
      <c r="AN1004" t="s">
        <v>7139</v>
      </c>
      <c r="AO1004">
        <v>53104</v>
      </c>
      <c r="AU1004">
        <v>0.1</v>
      </c>
      <c r="AV1004" t="s">
        <v>626</v>
      </c>
      <c r="AW1004" t="s">
        <v>7341</v>
      </c>
    </row>
    <row r="1005" spans="1:50">
      <c r="A1005" s="1">
        <f>HYPERLINK("https://lsnyc.legalserver.org/matter/dynamic-profile/view/1856073","18-1856073")</f>
        <v>0</v>
      </c>
      <c r="B1005" t="s">
        <v>64</v>
      </c>
      <c r="C1005" t="s">
        <v>104</v>
      </c>
      <c r="D1005" t="s">
        <v>456</v>
      </c>
      <c r="E1005" t="s">
        <v>277</v>
      </c>
      <c r="F1005" t="s">
        <v>738</v>
      </c>
      <c r="G1005" t="s">
        <v>1855</v>
      </c>
      <c r="H1005" t="s">
        <v>2642</v>
      </c>
      <c r="I1005" t="s">
        <v>3490</v>
      </c>
      <c r="J1005" t="s">
        <v>3604</v>
      </c>
      <c r="K1005">
        <v>10034</v>
      </c>
      <c r="L1005" t="s">
        <v>3610</v>
      </c>
      <c r="M1005" t="s">
        <v>3609</v>
      </c>
      <c r="O1005" t="s">
        <v>4210</v>
      </c>
      <c r="P1005" t="s">
        <v>4241</v>
      </c>
      <c r="Q1005" t="s">
        <v>4248</v>
      </c>
      <c r="R1005" t="s">
        <v>4258</v>
      </c>
      <c r="S1005" t="s">
        <v>3610</v>
      </c>
      <c r="U1005" t="s">
        <v>4268</v>
      </c>
      <c r="W1005" t="s">
        <v>456</v>
      </c>
      <c r="X1005">
        <v>1144.27</v>
      </c>
      <c r="Y1005" t="s">
        <v>4351</v>
      </c>
      <c r="Z1005" t="s">
        <v>4228</v>
      </c>
      <c r="AA1005" t="s">
        <v>4379</v>
      </c>
      <c r="AB1005" t="s">
        <v>5181</v>
      </c>
      <c r="AD1005" t="s">
        <v>6547</v>
      </c>
      <c r="AE1005">
        <v>49</v>
      </c>
      <c r="AF1005" t="s">
        <v>7101</v>
      </c>
      <c r="AG1005" t="s">
        <v>3745</v>
      </c>
      <c r="AH1005">
        <v>15</v>
      </c>
      <c r="AI1005">
        <v>3</v>
      </c>
      <c r="AJ1005">
        <v>4</v>
      </c>
      <c r="AK1005">
        <v>128.7</v>
      </c>
      <c r="AN1005" t="s">
        <v>7139</v>
      </c>
      <c r="AO1005">
        <v>47800</v>
      </c>
      <c r="AU1005">
        <v>0.2</v>
      </c>
      <c r="AV1005" t="s">
        <v>335</v>
      </c>
      <c r="AW1005" t="s">
        <v>7342</v>
      </c>
    </row>
    <row r="1006" spans="1:50">
      <c r="A1006" s="1">
        <f>HYPERLINK("https://lsnyc.legalserver.org/matter/dynamic-profile/view/1864095","18-1864095")</f>
        <v>0</v>
      </c>
      <c r="B1006" t="s">
        <v>56</v>
      </c>
      <c r="C1006" t="s">
        <v>105</v>
      </c>
      <c r="D1006" t="s">
        <v>161</v>
      </c>
      <c r="F1006" t="s">
        <v>1212</v>
      </c>
      <c r="G1006" t="s">
        <v>1730</v>
      </c>
      <c r="H1006" t="s">
        <v>2534</v>
      </c>
      <c r="I1006" t="s">
        <v>3343</v>
      </c>
      <c r="J1006" t="s">
        <v>3604</v>
      </c>
      <c r="K1006">
        <v>10040</v>
      </c>
      <c r="L1006" t="s">
        <v>3610</v>
      </c>
      <c r="M1006" t="s">
        <v>3609</v>
      </c>
      <c r="N1006" t="s">
        <v>3656</v>
      </c>
      <c r="O1006" t="s">
        <v>4213</v>
      </c>
      <c r="P1006" t="s">
        <v>4241</v>
      </c>
      <c r="R1006" t="s">
        <v>4258</v>
      </c>
      <c r="S1006" t="s">
        <v>3610</v>
      </c>
      <c r="U1006" t="s">
        <v>4268</v>
      </c>
      <c r="W1006" t="s">
        <v>161</v>
      </c>
      <c r="X1006">
        <v>1494.26</v>
      </c>
      <c r="Y1006" t="s">
        <v>4351</v>
      </c>
      <c r="Z1006" t="s">
        <v>4357</v>
      </c>
      <c r="AB1006" t="s">
        <v>5182</v>
      </c>
      <c r="AE1006">
        <v>44</v>
      </c>
      <c r="AF1006" t="s">
        <v>7101</v>
      </c>
      <c r="AG1006" t="s">
        <v>3745</v>
      </c>
      <c r="AH1006">
        <v>29</v>
      </c>
      <c r="AI1006">
        <v>3</v>
      </c>
      <c r="AJ1006">
        <v>0</v>
      </c>
      <c r="AK1006">
        <v>128.91</v>
      </c>
      <c r="AL1006" t="s">
        <v>246</v>
      </c>
      <c r="AN1006" t="s">
        <v>7139</v>
      </c>
      <c r="AO1006">
        <v>44788</v>
      </c>
      <c r="AU1006">
        <v>0.01</v>
      </c>
      <c r="AV1006" t="s">
        <v>612</v>
      </c>
      <c r="AW1006" t="s">
        <v>7342</v>
      </c>
    </row>
    <row r="1007" spans="1:50">
      <c r="A1007" s="1">
        <f>HYPERLINK("https://lsnyc.legalserver.org/matter/dynamic-profile/view/0822895","16-0822895")</f>
        <v>0</v>
      </c>
      <c r="B1007" t="s">
        <v>79</v>
      </c>
      <c r="C1007" t="s">
        <v>104</v>
      </c>
      <c r="D1007" t="s">
        <v>554</v>
      </c>
      <c r="E1007" t="s">
        <v>209</v>
      </c>
      <c r="F1007" t="s">
        <v>733</v>
      </c>
      <c r="G1007" t="s">
        <v>1594</v>
      </c>
      <c r="H1007" t="s">
        <v>2714</v>
      </c>
      <c r="I1007">
        <v>43</v>
      </c>
      <c r="J1007" t="s">
        <v>3604</v>
      </c>
      <c r="K1007">
        <v>10031</v>
      </c>
      <c r="L1007" t="s">
        <v>3610</v>
      </c>
      <c r="M1007" t="s">
        <v>3609</v>
      </c>
      <c r="O1007" t="s">
        <v>4238</v>
      </c>
      <c r="P1007" t="s">
        <v>4241</v>
      </c>
      <c r="Q1007" t="s">
        <v>4248</v>
      </c>
      <c r="R1007" t="s">
        <v>4258</v>
      </c>
      <c r="S1007" t="s">
        <v>3610</v>
      </c>
      <c r="U1007" t="s">
        <v>4268</v>
      </c>
      <c r="W1007" t="s">
        <v>278</v>
      </c>
      <c r="X1007">
        <v>650</v>
      </c>
      <c r="Y1007" t="s">
        <v>4351</v>
      </c>
      <c r="AA1007" t="s">
        <v>4379</v>
      </c>
      <c r="AB1007" t="s">
        <v>5183</v>
      </c>
      <c r="AD1007" t="s">
        <v>5987</v>
      </c>
      <c r="AE1007">
        <v>24</v>
      </c>
      <c r="AF1007" t="s">
        <v>7101</v>
      </c>
      <c r="AH1007">
        <v>18</v>
      </c>
      <c r="AI1007">
        <v>3</v>
      </c>
      <c r="AJ1007">
        <v>0</v>
      </c>
      <c r="AK1007">
        <v>128.97</v>
      </c>
      <c r="AN1007" t="s">
        <v>7139</v>
      </c>
      <c r="AO1007">
        <v>26000</v>
      </c>
      <c r="AU1007">
        <v>3.75</v>
      </c>
      <c r="AV1007" t="s">
        <v>209</v>
      </c>
      <c r="AW1007" t="s">
        <v>7363</v>
      </c>
    </row>
    <row r="1008" spans="1:50">
      <c r="A1008" s="1">
        <f>HYPERLINK("https://lsnyc.legalserver.org/matter/dynamic-profile/view/1858478","18-1858478")</f>
        <v>0</v>
      </c>
      <c r="B1008" t="s">
        <v>80</v>
      </c>
      <c r="C1008" t="s">
        <v>104</v>
      </c>
      <c r="D1008" t="s">
        <v>453</v>
      </c>
      <c r="E1008" t="s">
        <v>220</v>
      </c>
      <c r="F1008" t="s">
        <v>1242</v>
      </c>
      <c r="G1008" t="s">
        <v>2101</v>
      </c>
      <c r="H1008" t="s">
        <v>2979</v>
      </c>
      <c r="I1008" t="s">
        <v>3338</v>
      </c>
      <c r="J1008" t="s">
        <v>3604</v>
      </c>
      <c r="K1008">
        <v>10009</v>
      </c>
      <c r="L1008" t="s">
        <v>3610</v>
      </c>
      <c r="M1008" t="s">
        <v>3609</v>
      </c>
      <c r="N1008" t="s">
        <v>3967</v>
      </c>
      <c r="O1008" t="s">
        <v>4209</v>
      </c>
      <c r="P1008" t="s">
        <v>4242</v>
      </c>
      <c r="Q1008" t="s">
        <v>4250</v>
      </c>
      <c r="R1008" t="s">
        <v>4258</v>
      </c>
      <c r="S1008" t="s">
        <v>3611</v>
      </c>
      <c r="T1008" t="s">
        <v>4259</v>
      </c>
      <c r="U1008" t="s">
        <v>4268</v>
      </c>
      <c r="W1008" t="s">
        <v>428</v>
      </c>
      <c r="X1008">
        <v>1091.39</v>
      </c>
      <c r="Y1008" t="s">
        <v>4351</v>
      </c>
      <c r="Z1008" t="s">
        <v>4353</v>
      </c>
      <c r="AA1008" t="s">
        <v>4373</v>
      </c>
      <c r="AB1008" t="s">
        <v>5184</v>
      </c>
      <c r="AD1008" t="s">
        <v>6548</v>
      </c>
      <c r="AE1008">
        <v>10</v>
      </c>
      <c r="AF1008" t="s">
        <v>7101</v>
      </c>
      <c r="AG1008" t="s">
        <v>3745</v>
      </c>
      <c r="AH1008">
        <v>27</v>
      </c>
      <c r="AI1008">
        <v>1</v>
      </c>
      <c r="AJ1008">
        <v>0</v>
      </c>
      <c r="AK1008">
        <v>129.35</v>
      </c>
      <c r="AN1008" t="s">
        <v>7138</v>
      </c>
      <c r="AO1008">
        <v>15600</v>
      </c>
      <c r="AU1008">
        <v>1.4</v>
      </c>
      <c r="AV1008" t="s">
        <v>366</v>
      </c>
      <c r="AW1008" t="s">
        <v>7344</v>
      </c>
    </row>
    <row r="1009" spans="1:50">
      <c r="A1009" s="1">
        <f>HYPERLINK("https://lsnyc.legalserver.org/matter/dynamic-profile/view/1854180","17-1854180")</f>
        <v>0</v>
      </c>
      <c r="B1009" t="s">
        <v>61</v>
      </c>
      <c r="C1009" t="s">
        <v>105</v>
      </c>
      <c r="D1009" t="s">
        <v>452</v>
      </c>
      <c r="F1009" t="s">
        <v>1243</v>
      </c>
      <c r="G1009" t="s">
        <v>2102</v>
      </c>
      <c r="H1009" t="s">
        <v>2980</v>
      </c>
      <c r="I1009" t="s">
        <v>3331</v>
      </c>
      <c r="J1009" t="s">
        <v>3604</v>
      </c>
      <c r="K1009">
        <v>10034</v>
      </c>
      <c r="L1009" t="s">
        <v>3610</v>
      </c>
      <c r="M1009" t="s">
        <v>3609</v>
      </c>
      <c r="O1009" t="s">
        <v>4211</v>
      </c>
      <c r="P1009" t="s">
        <v>4245</v>
      </c>
      <c r="R1009" t="s">
        <v>4258</v>
      </c>
      <c r="S1009" t="s">
        <v>3611</v>
      </c>
      <c r="U1009" t="s">
        <v>4268</v>
      </c>
      <c r="W1009" t="s">
        <v>125</v>
      </c>
      <c r="X1009">
        <v>2450</v>
      </c>
      <c r="Y1009" t="s">
        <v>4351</v>
      </c>
      <c r="Z1009" t="s">
        <v>4354</v>
      </c>
      <c r="AB1009" t="s">
        <v>5185</v>
      </c>
      <c r="AD1009" t="s">
        <v>6549</v>
      </c>
      <c r="AE1009">
        <v>108</v>
      </c>
      <c r="AF1009" t="s">
        <v>7101</v>
      </c>
      <c r="AG1009" t="s">
        <v>7121</v>
      </c>
      <c r="AH1009">
        <v>19</v>
      </c>
      <c r="AI1009">
        <v>1</v>
      </c>
      <c r="AJ1009">
        <v>0</v>
      </c>
      <c r="AK1009">
        <v>130.35</v>
      </c>
      <c r="AN1009" t="s">
        <v>7138</v>
      </c>
      <c r="AO1009">
        <v>15720</v>
      </c>
      <c r="AU1009">
        <v>3.5</v>
      </c>
      <c r="AV1009" t="s">
        <v>135</v>
      </c>
      <c r="AW1009" t="s">
        <v>7342</v>
      </c>
    </row>
    <row r="1010" spans="1:50">
      <c r="A1010" s="1">
        <f>HYPERLINK("https://lsnyc.legalserver.org/matter/dynamic-profile/view/1869644","18-1869644")</f>
        <v>0</v>
      </c>
      <c r="B1010" t="s">
        <v>67</v>
      </c>
      <c r="C1010" t="s">
        <v>104</v>
      </c>
      <c r="D1010" t="s">
        <v>531</v>
      </c>
      <c r="E1010" t="s">
        <v>159</v>
      </c>
      <c r="F1010" t="s">
        <v>1032</v>
      </c>
      <c r="G1010" t="s">
        <v>1913</v>
      </c>
      <c r="H1010" t="s">
        <v>2981</v>
      </c>
      <c r="I1010">
        <v>407</v>
      </c>
      <c r="J1010" t="s">
        <v>3604</v>
      </c>
      <c r="K1010">
        <v>10029</v>
      </c>
      <c r="L1010" t="s">
        <v>3610</v>
      </c>
      <c r="M1010" t="s">
        <v>3610</v>
      </c>
      <c r="O1010" t="s">
        <v>4211</v>
      </c>
      <c r="P1010" t="s">
        <v>4242</v>
      </c>
      <c r="Q1010" t="s">
        <v>4250</v>
      </c>
      <c r="R1010" t="s">
        <v>4258</v>
      </c>
      <c r="S1010" t="s">
        <v>3611</v>
      </c>
      <c r="U1010" t="s">
        <v>4268</v>
      </c>
      <c r="V1010" t="s">
        <v>4274</v>
      </c>
      <c r="W1010" t="s">
        <v>410</v>
      </c>
      <c r="X1010">
        <v>1412</v>
      </c>
      <c r="Y1010" t="s">
        <v>4351</v>
      </c>
      <c r="Z1010" t="s">
        <v>4371</v>
      </c>
      <c r="AA1010" t="s">
        <v>4373</v>
      </c>
      <c r="AB1010" t="s">
        <v>5186</v>
      </c>
      <c r="AD1010" t="s">
        <v>6550</v>
      </c>
      <c r="AE1010">
        <v>71</v>
      </c>
      <c r="AF1010" t="s">
        <v>7105</v>
      </c>
      <c r="AG1010" t="s">
        <v>7116</v>
      </c>
      <c r="AH1010">
        <v>20</v>
      </c>
      <c r="AI1010">
        <v>2</v>
      </c>
      <c r="AJ1010">
        <v>0</v>
      </c>
      <c r="AK1010">
        <v>130.57</v>
      </c>
      <c r="AN1010" t="s">
        <v>7139</v>
      </c>
      <c r="AO1010">
        <v>21492</v>
      </c>
      <c r="AU1010">
        <v>2.75</v>
      </c>
      <c r="AV1010" t="s">
        <v>198</v>
      </c>
      <c r="AW1010" t="s">
        <v>7351</v>
      </c>
    </row>
    <row r="1011" spans="1:50">
      <c r="A1011" s="1">
        <f>HYPERLINK("https://lsnyc.legalserver.org/matter/dynamic-profile/view/1845191","17-1845191")</f>
        <v>0</v>
      </c>
      <c r="B1011" t="s">
        <v>69</v>
      </c>
      <c r="C1011" t="s">
        <v>104</v>
      </c>
      <c r="D1011" t="s">
        <v>555</v>
      </c>
      <c r="E1011" t="s">
        <v>680</v>
      </c>
      <c r="F1011" t="s">
        <v>785</v>
      </c>
      <c r="G1011" t="s">
        <v>2103</v>
      </c>
      <c r="H1011" t="s">
        <v>2982</v>
      </c>
      <c r="I1011" t="s">
        <v>3316</v>
      </c>
      <c r="J1011" t="s">
        <v>3604</v>
      </c>
      <c r="K1011">
        <v>10035</v>
      </c>
      <c r="L1011" t="s">
        <v>3610</v>
      </c>
      <c r="M1011" t="s">
        <v>3609</v>
      </c>
      <c r="N1011" t="s">
        <v>3968</v>
      </c>
      <c r="O1011" t="s">
        <v>4209</v>
      </c>
      <c r="P1011" t="s">
        <v>4241</v>
      </c>
      <c r="Q1011" t="s">
        <v>4248</v>
      </c>
      <c r="R1011" t="s">
        <v>4258</v>
      </c>
      <c r="S1011" t="s">
        <v>3611</v>
      </c>
      <c r="U1011" t="s">
        <v>4268</v>
      </c>
      <c r="V1011" t="s">
        <v>4274</v>
      </c>
      <c r="W1011" t="s">
        <v>647</v>
      </c>
      <c r="X1011">
        <v>852.1900000000001</v>
      </c>
      <c r="Y1011" t="s">
        <v>4351</v>
      </c>
      <c r="Z1011" t="s">
        <v>4357</v>
      </c>
      <c r="AA1011" t="s">
        <v>4374</v>
      </c>
      <c r="AB1011" t="s">
        <v>5187</v>
      </c>
      <c r="AD1011" t="s">
        <v>6551</v>
      </c>
      <c r="AE1011">
        <v>10</v>
      </c>
      <c r="AF1011" t="s">
        <v>7101</v>
      </c>
      <c r="AG1011" t="s">
        <v>3745</v>
      </c>
      <c r="AH1011">
        <v>4</v>
      </c>
      <c r="AI1011">
        <v>1</v>
      </c>
      <c r="AJ1011">
        <v>0</v>
      </c>
      <c r="AK1011">
        <v>130.65</v>
      </c>
      <c r="AN1011" t="s">
        <v>7138</v>
      </c>
      <c r="AO1011">
        <v>15756</v>
      </c>
      <c r="AR1011" t="s">
        <v>7224</v>
      </c>
      <c r="AT1011" t="s">
        <v>7265</v>
      </c>
      <c r="AU1011">
        <v>124.5</v>
      </c>
      <c r="AV1011" t="s">
        <v>680</v>
      </c>
      <c r="AW1011" t="s">
        <v>7356</v>
      </c>
      <c r="AX1011" t="s">
        <v>7377</v>
      </c>
    </row>
    <row r="1012" spans="1:50">
      <c r="A1012" s="1">
        <f>HYPERLINK("https://lsnyc.legalserver.org/matter/dynamic-profile/view/1880914","18-1880914")</f>
        <v>0</v>
      </c>
      <c r="B1012" t="s">
        <v>64</v>
      </c>
      <c r="C1012" t="s">
        <v>104</v>
      </c>
      <c r="D1012" t="s">
        <v>236</v>
      </c>
      <c r="E1012" t="s">
        <v>306</v>
      </c>
      <c r="F1012" t="s">
        <v>797</v>
      </c>
      <c r="G1012" t="s">
        <v>2104</v>
      </c>
      <c r="H1012" t="s">
        <v>2983</v>
      </c>
      <c r="I1012" t="s">
        <v>3293</v>
      </c>
      <c r="J1012" t="s">
        <v>3604</v>
      </c>
      <c r="K1012">
        <v>10033</v>
      </c>
      <c r="L1012" t="s">
        <v>3610</v>
      </c>
      <c r="M1012" t="s">
        <v>3610</v>
      </c>
      <c r="P1012" t="s">
        <v>4242</v>
      </c>
      <c r="Q1012" t="s">
        <v>4250</v>
      </c>
      <c r="R1012" t="s">
        <v>4258</v>
      </c>
      <c r="S1012" t="s">
        <v>3611</v>
      </c>
      <c r="U1012" t="s">
        <v>4268</v>
      </c>
      <c r="W1012" t="s">
        <v>236</v>
      </c>
      <c r="X1012">
        <v>1519</v>
      </c>
      <c r="Y1012" t="s">
        <v>4351</v>
      </c>
      <c r="Z1012" t="s">
        <v>4359</v>
      </c>
      <c r="AA1012" t="s">
        <v>4373</v>
      </c>
      <c r="AB1012" t="s">
        <v>5188</v>
      </c>
      <c r="AD1012" t="s">
        <v>6552</v>
      </c>
      <c r="AE1012">
        <v>60</v>
      </c>
      <c r="AF1012" t="s">
        <v>7101</v>
      </c>
      <c r="AG1012" t="s">
        <v>3745</v>
      </c>
      <c r="AH1012">
        <v>10</v>
      </c>
      <c r="AI1012">
        <v>1</v>
      </c>
      <c r="AJ1012">
        <v>0</v>
      </c>
      <c r="AK1012">
        <v>130.68</v>
      </c>
      <c r="AN1012" t="s">
        <v>7138</v>
      </c>
      <c r="AO1012">
        <v>15864</v>
      </c>
      <c r="AU1012">
        <v>0.5</v>
      </c>
      <c r="AV1012" t="s">
        <v>306</v>
      </c>
      <c r="AW1012" t="s">
        <v>7342</v>
      </c>
    </row>
    <row r="1013" spans="1:50">
      <c r="A1013" s="1">
        <f>HYPERLINK("https://lsnyc.legalserver.org/matter/dynamic-profile/view/1843411","17-1843411")</f>
        <v>0</v>
      </c>
      <c r="B1013" t="s">
        <v>61</v>
      </c>
      <c r="C1013" t="s">
        <v>104</v>
      </c>
      <c r="D1013" t="s">
        <v>415</v>
      </c>
      <c r="E1013" t="s">
        <v>662</v>
      </c>
      <c r="F1013" t="s">
        <v>1244</v>
      </c>
      <c r="G1013" t="s">
        <v>2105</v>
      </c>
      <c r="H1013" t="s">
        <v>2984</v>
      </c>
      <c r="I1013" t="s">
        <v>3491</v>
      </c>
      <c r="J1013" t="s">
        <v>3604</v>
      </c>
      <c r="K1013">
        <v>10030</v>
      </c>
      <c r="L1013" t="s">
        <v>3610</v>
      </c>
      <c r="M1013" t="s">
        <v>3609</v>
      </c>
      <c r="O1013" t="s">
        <v>4228</v>
      </c>
      <c r="P1013" t="s">
        <v>4244</v>
      </c>
      <c r="Q1013" t="s">
        <v>4249</v>
      </c>
      <c r="R1013" t="s">
        <v>4258</v>
      </c>
      <c r="S1013" t="s">
        <v>3611</v>
      </c>
      <c r="T1013" t="s">
        <v>4265</v>
      </c>
      <c r="U1013" t="s">
        <v>4270</v>
      </c>
      <c r="W1013" t="s">
        <v>415</v>
      </c>
      <c r="X1013">
        <v>1305</v>
      </c>
      <c r="Y1013" t="s">
        <v>4351</v>
      </c>
      <c r="Z1013" t="s">
        <v>4353</v>
      </c>
      <c r="AA1013" t="s">
        <v>4392</v>
      </c>
      <c r="AB1013" t="s">
        <v>5189</v>
      </c>
      <c r="AD1013" t="s">
        <v>6553</v>
      </c>
      <c r="AE1013">
        <v>238</v>
      </c>
      <c r="AF1013" t="s">
        <v>7101</v>
      </c>
      <c r="AG1013" t="s">
        <v>7116</v>
      </c>
      <c r="AH1013">
        <v>2</v>
      </c>
      <c r="AI1013">
        <v>1</v>
      </c>
      <c r="AJ1013">
        <v>0</v>
      </c>
      <c r="AK1013">
        <v>130.85</v>
      </c>
      <c r="AN1013" t="s">
        <v>7151</v>
      </c>
      <c r="AO1013">
        <v>15780</v>
      </c>
      <c r="AU1013">
        <v>0.3</v>
      </c>
      <c r="AV1013" t="s">
        <v>615</v>
      </c>
      <c r="AW1013" t="s">
        <v>7342</v>
      </c>
    </row>
    <row r="1014" spans="1:50">
      <c r="A1014" s="1">
        <f>HYPERLINK("https://lsnyc.legalserver.org/matter/dynamic-profile/view/1860417","18-1860417")</f>
        <v>0</v>
      </c>
      <c r="B1014" t="s">
        <v>53</v>
      </c>
      <c r="C1014" t="s">
        <v>105</v>
      </c>
      <c r="D1014" t="s">
        <v>366</v>
      </c>
      <c r="F1014" t="s">
        <v>977</v>
      </c>
      <c r="G1014" t="s">
        <v>2106</v>
      </c>
      <c r="H1014" t="s">
        <v>2636</v>
      </c>
      <c r="I1014" t="s">
        <v>3295</v>
      </c>
      <c r="J1014" t="s">
        <v>3604</v>
      </c>
      <c r="K1014">
        <v>10031</v>
      </c>
      <c r="L1014" t="s">
        <v>3610</v>
      </c>
      <c r="M1014" t="s">
        <v>3610</v>
      </c>
      <c r="O1014" t="s">
        <v>4213</v>
      </c>
      <c r="P1014" t="s">
        <v>4245</v>
      </c>
      <c r="R1014" t="s">
        <v>4258</v>
      </c>
      <c r="S1014" t="s">
        <v>3610</v>
      </c>
      <c r="U1014" t="s">
        <v>4268</v>
      </c>
      <c r="V1014" t="s">
        <v>4274</v>
      </c>
      <c r="W1014" t="s">
        <v>4331</v>
      </c>
      <c r="X1014">
        <v>347</v>
      </c>
      <c r="Y1014" t="s">
        <v>4351</v>
      </c>
      <c r="Z1014" t="s">
        <v>4352</v>
      </c>
      <c r="AB1014" t="s">
        <v>5190</v>
      </c>
      <c r="AD1014" t="s">
        <v>6554</v>
      </c>
      <c r="AE1014">
        <v>42</v>
      </c>
      <c r="AF1014" t="s">
        <v>7106</v>
      </c>
      <c r="AG1014" t="s">
        <v>7116</v>
      </c>
      <c r="AH1014">
        <v>41</v>
      </c>
      <c r="AI1014">
        <v>1</v>
      </c>
      <c r="AJ1014">
        <v>0</v>
      </c>
      <c r="AK1014">
        <v>130.88</v>
      </c>
      <c r="AN1014" t="s">
        <v>7138</v>
      </c>
      <c r="AO1014">
        <v>15889</v>
      </c>
      <c r="AU1014">
        <v>0.25</v>
      </c>
      <c r="AV1014" t="s">
        <v>655</v>
      </c>
      <c r="AW1014" t="s">
        <v>7341</v>
      </c>
      <c r="AX1014" t="s">
        <v>7377</v>
      </c>
    </row>
    <row r="1015" spans="1:50">
      <c r="A1015" s="1">
        <f>HYPERLINK("https://lsnyc.legalserver.org/matter/dynamic-profile/view/0817272","16-0817272")</f>
        <v>0</v>
      </c>
      <c r="B1015" t="s">
        <v>61</v>
      </c>
      <c r="C1015" t="s">
        <v>104</v>
      </c>
      <c r="D1015" t="s">
        <v>556</v>
      </c>
      <c r="E1015" t="s">
        <v>109</v>
      </c>
      <c r="F1015" t="s">
        <v>1245</v>
      </c>
      <c r="G1015" t="s">
        <v>1642</v>
      </c>
      <c r="H1015" t="s">
        <v>2741</v>
      </c>
      <c r="I1015">
        <v>55</v>
      </c>
      <c r="J1015" t="s">
        <v>3604</v>
      </c>
      <c r="K1015">
        <v>10034</v>
      </c>
      <c r="L1015" t="s">
        <v>3610</v>
      </c>
      <c r="M1015" t="s">
        <v>3609</v>
      </c>
      <c r="N1015" t="s">
        <v>3969</v>
      </c>
      <c r="O1015" t="s">
        <v>4209</v>
      </c>
      <c r="P1015" t="s">
        <v>4241</v>
      </c>
      <c r="Q1015" t="s">
        <v>4248</v>
      </c>
      <c r="R1015" t="s">
        <v>4258</v>
      </c>
      <c r="S1015" t="s">
        <v>3611</v>
      </c>
      <c r="U1015" t="s">
        <v>4268</v>
      </c>
      <c r="W1015" t="s">
        <v>556</v>
      </c>
      <c r="X1015">
        <v>1369</v>
      </c>
      <c r="Y1015" t="s">
        <v>4351</v>
      </c>
      <c r="Z1015" t="s">
        <v>4354</v>
      </c>
      <c r="AA1015" t="s">
        <v>4374</v>
      </c>
      <c r="AB1015" t="s">
        <v>5191</v>
      </c>
      <c r="AD1015" t="s">
        <v>6555</v>
      </c>
      <c r="AE1015">
        <v>25</v>
      </c>
      <c r="AF1015" t="s">
        <v>7101</v>
      </c>
      <c r="AG1015" t="s">
        <v>3745</v>
      </c>
      <c r="AH1015">
        <v>8</v>
      </c>
      <c r="AI1015">
        <v>2</v>
      </c>
      <c r="AJ1015">
        <v>1</v>
      </c>
      <c r="AK1015">
        <v>130.89</v>
      </c>
      <c r="AN1015" t="s">
        <v>7139</v>
      </c>
      <c r="AO1015">
        <v>26388</v>
      </c>
      <c r="AU1015">
        <v>31.9</v>
      </c>
      <c r="AV1015" t="s">
        <v>109</v>
      </c>
      <c r="AW1015" t="s">
        <v>7341</v>
      </c>
    </row>
    <row r="1016" spans="1:50">
      <c r="A1016" s="1">
        <f>HYPERLINK("https://lsnyc.legalserver.org/matter/dynamic-profile/view/1866317","18-1866317")</f>
        <v>0</v>
      </c>
      <c r="B1016" t="s">
        <v>67</v>
      </c>
      <c r="C1016" t="s">
        <v>104</v>
      </c>
      <c r="D1016" t="s">
        <v>407</v>
      </c>
      <c r="E1016" t="s">
        <v>209</v>
      </c>
      <c r="F1016" t="s">
        <v>738</v>
      </c>
      <c r="G1016" t="s">
        <v>2107</v>
      </c>
      <c r="H1016" t="s">
        <v>2985</v>
      </c>
      <c r="I1016" t="s">
        <v>3397</v>
      </c>
      <c r="J1016" t="s">
        <v>3604</v>
      </c>
      <c r="K1016">
        <v>10035</v>
      </c>
      <c r="L1016" t="s">
        <v>3610</v>
      </c>
      <c r="M1016" t="s">
        <v>3610</v>
      </c>
      <c r="O1016" t="s">
        <v>4211</v>
      </c>
      <c r="P1016" t="s">
        <v>4245</v>
      </c>
      <c r="Q1016" t="s">
        <v>4249</v>
      </c>
      <c r="R1016" t="s">
        <v>4258</v>
      </c>
      <c r="S1016" t="s">
        <v>3611</v>
      </c>
      <c r="U1016" t="s">
        <v>4269</v>
      </c>
      <c r="V1016" t="s">
        <v>4274</v>
      </c>
      <c r="W1016" t="s">
        <v>407</v>
      </c>
      <c r="X1016">
        <v>568.27</v>
      </c>
      <c r="Y1016" t="s">
        <v>4351</v>
      </c>
      <c r="Z1016" t="s">
        <v>4371</v>
      </c>
      <c r="AA1016" t="s">
        <v>4373</v>
      </c>
      <c r="AB1016" t="s">
        <v>5192</v>
      </c>
      <c r="AD1016" t="s">
        <v>6556</v>
      </c>
      <c r="AE1016">
        <v>36</v>
      </c>
      <c r="AF1016" t="s">
        <v>7112</v>
      </c>
      <c r="AG1016" t="s">
        <v>3745</v>
      </c>
      <c r="AH1016">
        <v>25</v>
      </c>
      <c r="AI1016">
        <v>1</v>
      </c>
      <c r="AJ1016">
        <v>0</v>
      </c>
      <c r="AK1016">
        <v>131.17</v>
      </c>
      <c r="AN1016" t="s">
        <v>7138</v>
      </c>
      <c r="AO1016">
        <v>15924</v>
      </c>
      <c r="AU1016">
        <v>3</v>
      </c>
      <c r="AV1016" t="s">
        <v>209</v>
      </c>
      <c r="AW1016" t="s">
        <v>7341</v>
      </c>
    </row>
    <row r="1017" spans="1:50">
      <c r="A1017" s="1">
        <f>HYPERLINK("https://lsnyc.legalserver.org/matter/dynamic-profile/view/1894929","19-1894929")</f>
        <v>0</v>
      </c>
      <c r="B1017" t="s">
        <v>62</v>
      </c>
      <c r="C1017" t="s">
        <v>104</v>
      </c>
      <c r="D1017" t="s">
        <v>540</v>
      </c>
      <c r="E1017" t="s">
        <v>625</v>
      </c>
      <c r="F1017" t="s">
        <v>1246</v>
      </c>
      <c r="G1017" t="s">
        <v>2108</v>
      </c>
      <c r="H1017" t="s">
        <v>2986</v>
      </c>
      <c r="I1017" t="s">
        <v>3356</v>
      </c>
      <c r="J1017" t="s">
        <v>3604</v>
      </c>
      <c r="K1017">
        <v>10034</v>
      </c>
      <c r="L1017" t="s">
        <v>3610</v>
      </c>
      <c r="M1017" t="s">
        <v>3610</v>
      </c>
      <c r="N1017" t="s">
        <v>3970</v>
      </c>
      <c r="O1017" t="s">
        <v>4219</v>
      </c>
      <c r="P1017" t="s">
        <v>4242</v>
      </c>
      <c r="Q1017" t="s">
        <v>4250</v>
      </c>
      <c r="R1017" t="s">
        <v>4258</v>
      </c>
      <c r="S1017" t="s">
        <v>3611</v>
      </c>
      <c r="U1017" t="s">
        <v>4268</v>
      </c>
      <c r="W1017" t="s">
        <v>540</v>
      </c>
      <c r="X1017">
        <v>1475</v>
      </c>
      <c r="Y1017" t="s">
        <v>4351</v>
      </c>
      <c r="Z1017" t="s">
        <v>4354</v>
      </c>
      <c r="AA1017" t="s">
        <v>4373</v>
      </c>
      <c r="AB1017" t="s">
        <v>5193</v>
      </c>
      <c r="AE1017">
        <v>57</v>
      </c>
      <c r="AF1017" t="s">
        <v>7101</v>
      </c>
      <c r="AG1017" t="s">
        <v>3745</v>
      </c>
      <c r="AH1017">
        <v>14</v>
      </c>
      <c r="AI1017">
        <v>2</v>
      </c>
      <c r="AJ1017">
        <v>1</v>
      </c>
      <c r="AK1017">
        <v>131.65</v>
      </c>
      <c r="AO1017">
        <v>28080</v>
      </c>
      <c r="AU1017">
        <v>6.8</v>
      </c>
      <c r="AV1017" t="s">
        <v>285</v>
      </c>
      <c r="AW1017" t="s">
        <v>7359</v>
      </c>
      <c r="AX1017" t="s">
        <v>7377</v>
      </c>
    </row>
    <row r="1018" spans="1:50">
      <c r="A1018" s="1">
        <f>HYPERLINK("https://lsnyc.legalserver.org/matter/dynamic-profile/view/1894817","19-1894817")</f>
        <v>0</v>
      </c>
      <c r="B1018" t="s">
        <v>83</v>
      </c>
      <c r="C1018" t="s">
        <v>104</v>
      </c>
      <c r="D1018" t="s">
        <v>321</v>
      </c>
      <c r="E1018" t="s">
        <v>591</v>
      </c>
      <c r="F1018" t="s">
        <v>733</v>
      </c>
      <c r="G1018" t="s">
        <v>1693</v>
      </c>
      <c r="H1018" t="s">
        <v>2587</v>
      </c>
      <c r="I1018" t="s">
        <v>3397</v>
      </c>
      <c r="J1018" t="s">
        <v>3604</v>
      </c>
      <c r="K1018">
        <v>10029</v>
      </c>
      <c r="L1018" t="s">
        <v>3610</v>
      </c>
      <c r="M1018" t="s">
        <v>3610</v>
      </c>
      <c r="O1018" t="s">
        <v>4212</v>
      </c>
      <c r="P1018" t="s">
        <v>4244</v>
      </c>
      <c r="Q1018" t="s">
        <v>4254</v>
      </c>
      <c r="R1018" t="s">
        <v>4258</v>
      </c>
      <c r="S1018" t="s">
        <v>3611</v>
      </c>
      <c r="U1018" t="s">
        <v>4270</v>
      </c>
      <c r="V1018" t="s">
        <v>4274</v>
      </c>
      <c r="W1018" t="s">
        <v>321</v>
      </c>
      <c r="X1018">
        <v>1580</v>
      </c>
      <c r="Y1018" t="s">
        <v>4351</v>
      </c>
      <c r="Z1018" t="s">
        <v>4356</v>
      </c>
      <c r="AA1018" t="s">
        <v>4376</v>
      </c>
      <c r="AB1018" t="s">
        <v>5194</v>
      </c>
      <c r="AC1018" t="s">
        <v>5833</v>
      </c>
      <c r="AE1018">
        <v>0</v>
      </c>
      <c r="AF1018" t="s">
        <v>7101</v>
      </c>
      <c r="AH1018">
        <v>20</v>
      </c>
      <c r="AI1018">
        <v>4</v>
      </c>
      <c r="AJ1018">
        <v>2</v>
      </c>
      <c r="AK1018">
        <v>131.83</v>
      </c>
      <c r="AN1018" t="s">
        <v>7139</v>
      </c>
      <c r="AO1018">
        <v>45600</v>
      </c>
      <c r="AU1018">
        <v>10.75</v>
      </c>
      <c r="AV1018" t="s">
        <v>688</v>
      </c>
      <c r="AW1018" t="s">
        <v>7341</v>
      </c>
    </row>
    <row r="1019" spans="1:50">
      <c r="A1019" s="1">
        <f>HYPERLINK("https://lsnyc.legalserver.org/matter/dynamic-profile/view/1863853","18-1863853")</f>
        <v>0</v>
      </c>
      <c r="B1019" t="s">
        <v>53</v>
      </c>
      <c r="C1019" t="s">
        <v>105</v>
      </c>
      <c r="D1019" t="s">
        <v>160</v>
      </c>
      <c r="F1019" t="s">
        <v>725</v>
      </c>
      <c r="G1019" t="s">
        <v>1642</v>
      </c>
      <c r="H1019" t="s">
        <v>2508</v>
      </c>
      <c r="I1019">
        <v>815</v>
      </c>
      <c r="J1019" t="s">
        <v>3604</v>
      </c>
      <c r="K1019">
        <v>10029</v>
      </c>
      <c r="L1019" t="s">
        <v>3610</v>
      </c>
      <c r="M1019" t="s">
        <v>3610</v>
      </c>
      <c r="N1019" t="s">
        <v>3642</v>
      </c>
      <c r="O1019" t="s">
        <v>4213</v>
      </c>
      <c r="P1019" t="s">
        <v>4247</v>
      </c>
      <c r="R1019" t="s">
        <v>4258</v>
      </c>
      <c r="S1019" t="s">
        <v>3610</v>
      </c>
      <c r="U1019" t="s">
        <v>4268</v>
      </c>
      <c r="V1019" t="s">
        <v>4274</v>
      </c>
      <c r="W1019" t="s">
        <v>242</v>
      </c>
      <c r="X1019">
        <v>0</v>
      </c>
      <c r="Y1019" t="s">
        <v>4351</v>
      </c>
      <c r="Z1019" t="s">
        <v>4352</v>
      </c>
      <c r="AB1019" t="s">
        <v>5195</v>
      </c>
      <c r="AD1019" t="s">
        <v>6557</v>
      </c>
      <c r="AE1019">
        <v>108</v>
      </c>
      <c r="AF1019" t="s">
        <v>7106</v>
      </c>
      <c r="AG1019" t="s">
        <v>7116</v>
      </c>
      <c r="AH1019">
        <v>29</v>
      </c>
      <c r="AI1019">
        <v>1</v>
      </c>
      <c r="AJ1019">
        <v>0</v>
      </c>
      <c r="AK1019">
        <v>131.93</v>
      </c>
      <c r="AN1019" t="s">
        <v>7138</v>
      </c>
      <c r="AO1019">
        <v>16016</v>
      </c>
      <c r="AU1019">
        <v>0.5</v>
      </c>
      <c r="AV1019" t="s">
        <v>688</v>
      </c>
      <c r="AW1019" t="s">
        <v>7341</v>
      </c>
    </row>
    <row r="1020" spans="1:50">
      <c r="A1020" s="1">
        <f>HYPERLINK("https://lsnyc.legalserver.org/matter/dynamic-profile/view/1882747","18-1882747")</f>
        <v>0</v>
      </c>
      <c r="B1020" t="s">
        <v>63</v>
      </c>
      <c r="C1020" t="s">
        <v>104</v>
      </c>
      <c r="D1020" t="s">
        <v>192</v>
      </c>
      <c r="E1020" t="s">
        <v>192</v>
      </c>
      <c r="F1020" t="s">
        <v>1219</v>
      </c>
      <c r="G1020" t="s">
        <v>2085</v>
      </c>
      <c r="H1020" t="s">
        <v>2637</v>
      </c>
      <c r="I1020" t="s">
        <v>3306</v>
      </c>
      <c r="J1020" t="s">
        <v>3604</v>
      </c>
      <c r="K1020">
        <v>10034</v>
      </c>
      <c r="L1020" t="s">
        <v>3610</v>
      </c>
      <c r="M1020" t="s">
        <v>3610</v>
      </c>
      <c r="O1020" t="s">
        <v>4222</v>
      </c>
      <c r="P1020" t="s">
        <v>4241</v>
      </c>
      <c r="Q1020" t="s">
        <v>4248</v>
      </c>
      <c r="R1020" t="s">
        <v>4258</v>
      </c>
      <c r="S1020" t="s">
        <v>3611</v>
      </c>
      <c r="U1020" t="s">
        <v>4268</v>
      </c>
      <c r="W1020" t="s">
        <v>192</v>
      </c>
      <c r="X1020">
        <v>1795</v>
      </c>
      <c r="Y1020" t="s">
        <v>4351</v>
      </c>
      <c r="Z1020" t="s">
        <v>4357</v>
      </c>
      <c r="AA1020" t="s">
        <v>4388</v>
      </c>
      <c r="AB1020" t="s">
        <v>5153</v>
      </c>
      <c r="AD1020" t="s">
        <v>6523</v>
      </c>
      <c r="AE1020">
        <v>44</v>
      </c>
      <c r="AF1020" t="s">
        <v>7101</v>
      </c>
      <c r="AG1020" t="s">
        <v>3745</v>
      </c>
      <c r="AH1020">
        <v>3</v>
      </c>
      <c r="AI1020">
        <v>1</v>
      </c>
      <c r="AJ1020">
        <v>0</v>
      </c>
      <c r="AK1020">
        <v>132.05</v>
      </c>
      <c r="AN1020" t="s">
        <v>7138</v>
      </c>
      <c r="AO1020">
        <v>16031</v>
      </c>
      <c r="AU1020">
        <v>0.1</v>
      </c>
      <c r="AV1020" t="s">
        <v>192</v>
      </c>
      <c r="AW1020" t="s">
        <v>7342</v>
      </c>
    </row>
    <row r="1021" spans="1:50">
      <c r="A1021" s="1">
        <f>HYPERLINK("https://lsnyc.legalserver.org/matter/dynamic-profile/view/1865436","18-1865436")</f>
        <v>0</v>
      </c>
      <c r="B1021" t="s">
        <v>63</v>
      </c>
      <c r="C1021" t="s">
        <v>104</v>
      </c>
      <c r="D1021" t="s">
        <v>557</v>
      </c>
      <c r="E1021" t="s">
        <v>192</v>
      </c>
      <c r="F1021" t="s">
        <v>1219</v>
      </c>
      <c r="G1021" t="s">
        <v>2085</v>
      </c>
      <c r="H1021" t="s">
        <v>2637</v>
      </c>
      <c r="I1021" t="s">
        <v>3351</v>
      </c>
      <c r="J1021" t="s">
        <v>3604</v>
      </c>
      <c r="K1021">
        <v>10034</v>
      </c>
      <c r="L1021" t="s">
        <v>3610</v>
      </c>
      <c r="M1021" t="s">
        <v>3610</v>
      </c>
      <c r="N1021" t="s">
        <v>3971</v>
      </c>
      <c r="O1021" t="s">
        <v>4210</v>
      </c>
      <c r="P1021" t="s">
        <v>4241</v>
      </c>
      <c r="Q1021" t="s">
        <v>4253</v>
      </c>
      <c r="R1021" t="s">
        <v>4258</v>
      </c>
      <c r="S1021" t="s">
        <v>3611</v>
      </c>
      <c r="U1021" t="s">
        <v>4268</v>
      </c>
      <c r="W1021" t="s">
        <v>192</v>
      </c>
      <c r="X1021">
        <v>1795</v>
      </c>
      <c r="Y1021" t="s">
        <v>4351</v>
      </c>
      <c r="Z1021" t="s">
        <v>4357</v>
      </c>
      <c r="AA1021" t="s">
        <v>4388</v>
      </c>
      <c r="AB1021" t="s">
        <v>5153</v>
      </c>
      <c r="AD1021" t="s">
        <v>6523</v>
      </c>
      <c r="AE1021">
        <v>44</v>
      </c>
      <c r="AF1021" t="s">
        <v>7103</v>
      </c>
      <c r="AG1021" t="s">
        <v>3745</v>
      </c>
      <c r="AH1021">
        <v>3</v>
      </c>
      <c r="AI1021">
        <v>1</v>
      </c>
      <c r="AJ1021">
        <v>0</v>
      </c>
      <c r="AK1021">
        <v>132.05</v>
      </c>
      <c r="AN1021" t="s">
        <v>7138</v>
      </c>
      <c r="AO1021">
        <v>16031</v>
      </c>
      <c r="AU1021">
        <v>15.35</v>
      </c>
      <c r="AV1021" t="s">
        <v>262</v>
      </c>
      <c r="AW1021" t="s">
        <v>7342</v>
      </c>
    </row>
    <row r="1022" spans="1:50">
      <c r="A1022" s="1">
        <f>HYPERLINK("https://lsnyc.legalserver.org/matter/dynamic-profile/view/1863515","18-1863515")</f>
        <v>0</v>
      </c>
      <c r="B1022" t="s">
        <v>70</v>
      </c>
      <c r="C1022" t="s">
        <v>104</v>
      </c>
      <c r="D1022" t="s">
        <v>508</v>
      </c>
      <c r="E1022" t="s">
        <v>150</v>
      </c>
      <c r="F1022" t="s">
        <v>733</v>
      </c>
      <c r="G1022" t="s">
        <v>1693</v>
      </c>
      <c r="H1022" t="s">
        <v>2587</v>
      </c>
      <c r="I1022" t="s">
        <v>3397</v>
      </c>
      <c r="J1022" t="s">
        <v>3604</v>
      </c>
      <c r="K1022">
        <v>10029</v>
      </c>
      <c r="L1022" t="s">
        <v>3610</v>
      </c>
      <c r="M1022" t="s">
        <v>3610</v>
      </c>
      <c r="N1022" t="s">
        <v>3972</v>
      </c>
      <c r="O1022" t="s">
        <v>4209</v>
      </c>
      <c r="P1022" t="s">
        <v>4241</v>
      </c>
      <c r="Q1022" t="s">
        <v>4251</v>
      </c>
      <c r="R1022" t="s">
        <v>4258</v>
      </c>
      <c r="U1022" t="s">
        <v>4268</v>
      </c>
      <c r="W1022" t="s">
        <v>407</v>
      </c>
      <c r="X1022">
        <v>1380.27</v>
      </c>
      <c r="Y1022" t="s">
        <v>4351</v>
      </c>
      <c r="Z1022" t="s">
        <v>4353</v>
      </c>
      <c r="AA1022" t="s">
        <v>4387</v>
      </c>
      <c r="AB1022" t="s">
        <v>5194</v>
      </c>
      <c r="AC1022" t="s">
        <v>5834</v>
      </c>
      <c r="AE1022">
        <v>48</v>
      </c>
      <c r="AF1022" t="s">
        <v>7101</v>
      </c>
      <c r="AG1022" t="s">
        <v>3745</v>
      </c>
      <c r="AH1022">
        <v>20</v>
      </c>
      <c r="AI1022">
        <v>4</v>
      </c>
      <c r="AJ1022">
        <v>2</v>
      </c>
      <c r="AK1022">
        <v>132.13</v>
      </c>
      <c r="AN1022" t="s">
        <v>7139</v>
      </c>
      <c r="AO1022">
        <v>44579</v>
      </c>
      <c r="AU1022">
        <v>75.05</v>
      </c>
      <c r="AV1022" t="s">
        <v>371</v>
      </c>
      <c r="AW1022" t="s">
        <v>7344</v>
      </c>
    </row>
    <row r="1023" spans="1:50">
      <c r="A1023" s="1">
        <f>HYPERLINK("https://lsnyc.legalserver.org/matter/dynamic-profile/view/1837331","17-1837331")</f>
        <v>0</v>
      </c>
      <c r="B1023" t="s">
        <v>51</v>
      </c>
      <c r="C1023" t="s">
        <v>104</v>
      </c>
      <c r="D1023" t="s">
        <v>558</v>
      </c>
      <c r="E1023" t="s">
        <v>385</v>
      </c>
      <c r="F1023" t="s">
        <v>1247</v>
      </c>
      <c r="G1023" t="s">
        <v>2109</v>
      </c>
      <c r="H1023" t="s">
        <v>2794</v>
      </c>
      <c r="I1023" t="s">
        <v>3430</v>
      </c>
      <c r="J1023" t="s">
        <v>3604</v>
      </c>
      <c r="K1023">
        <v>10029</v>
      </c>
      <c r="L1023" t="s">
        <v>3610</v>
      </c>
      <c r="M1023" t="s">
        <v>3610</v>
      </c>
      <c r="N1023" t="s">
        <v>3973</v>
      </c>
      <c r="O1023" t="s">
        <v>4210</v>
      </c>
      <c r="P1023" t="s">
        <v>4242</v>
      </c>
      <c r="Q1023" t="s">
        <v>4250</v>
      </c>
      <c r="R1023" t="s">
        <v>4258</v>
      </c>
      <c r="S1023" t="s">
        <v>3611</v>
      </c>
      <c r="U1023" t="s">
        <v>4268</v>
      </c>
      <c r="W1023" t="s">
        <v>133</v>
      </c>
      <c r="X1023">
        <v>3125</v>
      </c>
      <c r="Y1023" t="s">
        <v>4351</v>
      </c>
      <c r="Z1023" t="s">
        <v>4228</v>
      </c>
      <c r="AA1023" t="s">
        <v>4373</v>
      </c>
      <c r="AB1023" t="s">
        <v>5196</v>
      </c>
      <c r="AD1023" t="s">
        <v>6558</v>
      </c>
      <c r="AE1023">
        <v>100</v>
      </c>
      <c r="AF1023" t="s">
        <v>7105</v>
      </c>
      <c r="AG1023" t="s">
        <v>3745</v>
      </c>
      <c r="AH1023">
        <v>5</v>
      </c>
      <c r="AI1023">
        <v>1</v>
      </c>
      <c r="AJ1023">
        <v>0</v>
      </c>
      <c r="AK1023">
        <v>132.14</v>
      </c>
      <c r="AN1023" t="s">
        <v>7138</v>
      </c>
      <c r="AO1023">
        <v>15936</v>
      </c>
      <c r="AU1023">
        <v>1.9</v>
      </c>
      <c r="AV1023" t="s">
        <v>265</v>
      </c>
      <c r="AW1023" t="s">
        <v>7361</v>
      </c>
    </row>
    <row r="1024" spans="1:50">
      <c r="A1024" s="1">
        <f>HYPERLINK("https://lsnyc.legalserver.org/matter/dynamic-profile/view/1838036","17-1838036")</f>
        <v>0</v>
      </c>
      <c r="B1024" t="s">
        <v>50</v>
      </c>
      <c r="C1024" t="s">
        <v>104</v>
      </c>
      <c r="D1024" t="s">
        <v>559</v>
      </c>
      <c r="E1024" t="s">
        <v>512</v>
      </c>
      <c r="F1024" t="s">
        <v>719</v>
      </c>
      <c r="G1024" t="s">
        <v>2110</v>
      </c>
      <c r="H1024" t="s">
        <v>2987</v>
      </c>
      <c r="I1024" t="s">
        <v>3492</v>
      </c>
      <c r="J1024" t="s">
        <v>3604</v>
      </c>
      <c r="K1024">
        <v>10029</v>
      </c>
      <c r="L1024" t="s">
        <v>3610</v>
      </c>
      <c r="M1024" t="s">
        <v>3609</v>
      </c>
      <c r="O1024" t="s">
        <v>4228</v>
      </c>
      <c r="P1024" t="s">
        <v>4244</v>
      </c>
      <c r="Q1024" t="s">
        <v>4249</v>
      </c>
      <c r="R1024" t="s">
        <v>4258</v>
      </c>
      <c r="S1024" t="s">
        <v>3611</v>
      </c>
      <c r="U1024" t="s">
        <v>4267</v>
      </c>
      <c r="W1024" t="s">
        <v>559</v>
      </c>
      <c r="X1024">
        <v>1040</v>
      </c>
      <c r="Y1024" t="s">
        <v>4351</v>
      </c>
      <c r="Z1024" t="s">
        <v>4354</v>
      </c>
      <c r="AA1024" t="s">
        <v>4396</v>
      </c>
      <c r="AB1024" t="s">
        <v>5197</v>
      </c>
      <c r="AD1024" t="s">
        <v>6559</v>
      </c>
      <c r="AE1024">
        <v>118</v>
      </c>
      <c r="AF1024" t="s">
        <v>7102</v>
      </c>
      <c r="AG1024" t="s">
        <v>7116</v>
      </c>
      <c r="AH1024">
        <v>10</v>
      </c>
      <c r="AI1024">
        <v>3</v>
      </c>
      <c r="AJ1024">
        <v>0</v>
      </c>
      <c r="AK1024">
        <v>132.22</v>
      </c>
      <c r="AN1024" t="s">
        <v>7138</v>
      </c>
      <c r="AO1024">
        <v>27000</v>
      </c>
      <c r="AU1024">
        <v>17.35</v>
      </c>
      <c r="AV1024" t="s">
        <v>659</v>
      </c>
      <c r="AW1024" t="s">
        <v>7341</v>
      </c>
    </row>
    <row r="1025" spans="1:50">
      <c r="A1025" s="1">
        <f>HYPERLINK("https://lsnyc.legalserver.org/matter/dynamic-profile/view/1865176","18-1865176")</f>
        <v>0</v>
      </c>
      <c r="B1025" t="s">
        <v>53</v>
      </c>
      <c r="C1025" t="s">
        <v>104</v>
      </c>
      <c r="D1025" t="s">
        <v>117</v>
      </c>
      <c r="E1025" t="s">
        <v>656</v>
      </c>
      <c r="F1025" t="s">
        <v>1222</v>
      </c>
      <c r="G1025" t="s">
        <v>1829</v>
      </c>
      <c r="H1025" t="s">
        <v>2988</v>
      </c>
      <c r="I1025">
        <v>104</v>
      </c>
      <c r="J1025" t="s">
        <v>3604</v>
      </c>
      <c r="K1025">
        <v>10035</v>
      </c>
      <c r="L1025" t="s">
        <v>3610</v>
      </c>
      <c r="M1025" t="s">
        <v>3610</v>
      </c>
      <c r="O1025" t="s">
        <v>4211</v>
      </c>
      <c r="P1025" t="s">
        <v>4245</v>
      </c>
      <c r="Q1025" t="s">
        <v>4249</v>
      </c>
      <c r="R1025" t="s">
        <v>4258</v>
      </c>
      <c r="S1025" t="s">
        <v>3611</v>
      </c>
      <c r="U1025" t="s">
        <v>4268</v>
      </c>
      <c r="V1025" t="s">
        <v>4274</v>
      </c>
      <c r="W1025" t="s">
        <v>616</v>
      </c>
      <c r="X1025">
        <v>1200</v>
      </c>
      <c r="Y1025" t="s">
        <v>4351</v>
      </c>
      <c r="Z1025" t="s">
        <v>4365</v>
      </c>
      <c r="AA1025" t="s">
        <v>4373</v>
      </c>
      <c r="AB1025" t="s">
        <v>5198</v>
      </c>
      <c r="AD1025" t="s">
        <v>6560</v>
      </c>
      <c r="AE1025">
        <v>76</v>
      </c>
      <c r="AF1025" t="s">
        <v>7105</v>
      </c>
      <c r="AG1025" t="s">
        <v>7116</v>
      </c>
      <c r="AH1025">
        <v>5</v>
      </c>
      <c r="AI1025">
        <v>2</v>
      </c>
      <c r="AJ1025">
        <v>1</v>
      </c>
      <c r="AK1025">
        <v>132.24</v>
      </c>
      <c r="AN1025" t="s">
        <v>7138</v>
      </c>
      <c r="AO1025">
        <v>27480</v>
      </c>
      <c r="AU1025">
        <v>2.45</v>
      </c>
      <c r="AV1025" t="s">
        <v>528</v>
      </c>
      <c r="AW1025" t="s">
        <v>7360</v>
      </c>
    </row>
    <row r="1026" spans="1:50">
      <c r="A1026" s="1">
        <f>HYPERLINK("https://lsnyc.legalserver.org/matter/dynamic-profile/view/0822317","16-0822317")</f>
        <v>0</v>
      </c>
      <c r="B1026" t="s">
        <v>63</v>
      </c>
      <c r="C1026" t="s">
        <v>105</v>
      </c>
      <c r="D1026" t="s">
        <v>560</v>
      </c>
      <c r="F1026" t="s">
        <v>1248</v>
      </c>
      <c r="G1026" t="s">
        <v>1830</v>
      </c>
      <c r="H1026" t="s">
        <v>2652</v>
      </c>
      <c r="I1026" t="s">
        <v>3286</v>
      </c>
      <c r="J1026" t="s">
        <v>3604</v>
      </c>
      <c r="K1026">
        <v>10034</v>
      </c>
      <c r="L1026" t="s">
        <v>3610</v>
      </c>
      <c r="M1026" t="s">
        <v>3609</v>
      </c>
      <c r="O1026" t="s">
        <v>4220</v>
      </c>
      <c r="P1026" t="s">
        <v>4243</v>
      </c>
      <c r="R1026" t="s">
        <v>4258</v>
      </c>
      <c r="S1026" t="s">
        <v>3610</v>
      </c>
      <c r="U1026" t="s">
        <v>4268</v>
      </c>
      <c r="W1026" t="s">
        <v>4295</v>
      </c>
      <c r="X1026">
        <v>1237</v>
      </c>
      <c r="Y1026" t="s">
        <v>4351</v>
      </c>
      <c r="Z1026" t="s">
        <v>4352</v>
      </c>
      <c r="AB1026" t="s">
        <v>5199</v>
      </c>
      <c r="AD1026" t="s">
        <v>6561</v>
      </c>
      <c r="AE1026">
        <v>22</v>
      </c>
      <c r="AF1026" t="s">
        <v>7101</v>
      </c>
      <c r="AG1026" t="s">
        <v>7118</v>
      </c>
      <c r="AH1026">
        <v>7</v>
      </c>
      <c r="AI1026">
        <v>2</v>
      </c>
      <c r="AJ1026">
        <v>2</v>
      </c>
      <c r="AK1026">
        <v>132.3</v>
      </c>
      <c r="AN1026" t="s">
        <v>7139</v>
      </c>
      <c r="AO1026">
        <v>41208</v>
      </c>
      <c r="AU1026">
        <v>0.1</v>
      </c>
      <c r="AV1026" t="s">
        <v>350</v>
      </c>
      <c r="AW1026" t="s">
        <v>7341</v>
      </c>
    </row>
    <row r="1027" spans="1:50">
      <c r="A1027" s="1">
        <f>HYPERLINK("https://lsnyc.legalserver.org/matter/dynamic-profile/view/1903020","19-1903020")</f>
        <v>0</v>
      </c>
      <c r="B1027" t="s">
        <v>53</v>
      </c>
      <c r="C1027" t="s">
        <v>105</v>
      </c>
      <c r="D1027" t="s">
        <v>477</v>
      </c>
      <c r="F1027" t="s">
        <v>1249</v>
      </c>
      <c r="G1027" t="s">
        <v>1897</v>
      </c>
      <c r="H1027" t="s">
        <v>2508</v>
      </c>
      <c r="I1027">
        <v>709</v>
      </c>
      <c r="J1027" t="s">
        <v>3604</v>
      </c>
      <c r="K1027">
        <v>10029</v>
      </c>
      <c r="L1027" t="s">
        <v>3610</v>
      </c>
      <c r="M1027" t="s">
        <v>3609</v>
      </c>
      <c r="O1027" t="s">
        <v>4213</v>
      </c>
      <c r="P1027" t="s">
        <v>4241</v>
      </c>
      <c r="R1027" t="s">
        <v>4258</v>
      </c>
      <c r="S1027" t="s">
        <v>3610</v>
      </c>
      <c r="U1027" t="s">
        <v>4268</v>
      </c>
      <c r="V1027" t="s">
        <v>4274</v>
      </c>
      <c r="W1027" t="s">
        <v>512</v>
      </c>
      <c r="X1027">
        <v>0</v>
      </c>
      <c r="Y1027" t="s">
        <v>4351</v>
      </c>
      <c r="Z1027" t="s">
        <v>4357</v>
      </c>
      <c r="AB1027" t="s">
        <v>5200</v>
      </c>
      <c r="AD1027" t="s">
        <v>6562</v>
      </c>
      <c r="AE1027">
        <v>108</v>
      </c>
      <c r="AF1027" t="s">
        <v>7106</v>
      </c>
      <c r="AG1027" t="s">
        <v>7116</v>
      </c>
      <c r="AH1027">
        <v>32</v>
      </c>
      <c r="AI1027">
        <v>2</v>
      </c>
      <c r="AJ1027">
        <v>0</v>
      </c>
      <c r="AK1027">
        <v>132.42</v>
      </c>
      <c r="AN1027" t="s">
        <v>7139</v>
      </c>
      <c r="AO1027">
        <v>22392</v>
      </c>
      <c r="AU1027">
        <v>9.5</v>
      </c>
      <c r="AV1027" t="s">
        <v>7304</v>
      </c>
      <c r="AW1027" t="s">
        <v>7341</v>
      </c>
      <c r="AX1027" t="s">
        <v>7377</v>
      </c>
    </row>
    <row r="1028" spans="1:50">
      <c r="A1028" s="1">
        <f>HYPERLINK("https://lsnyc.legalserver.org/matter/dynamic-profile/view/1856852","18-1856852")</f>
        <v>0</v>
      </c>
      <c r="B1028" t="s">
        <v>62</v>
      </c>
      <c r="C1028" t="s">
        <v>105</v>
      </c>
      <c r="D1028" t="s">
        <v>381</v>
      </c>
      <c r="F1028" t="s">
        <v>1131</v>
      </c>
      <c r="G1028" t="s">
        <v>2000</v>
      </c>
      <c r="H1028" t="s">
        <v>2712</v>
      </c>
      <c r="I1028" t="s">
        <v>3316</v>
      </c>
      <c r="J1028" t="s">
        <v>3604</v>
      </c>
      <c r="K1028">
        <v>10040</v>
      </c>
      <c r="L1028" t="s">
        <v>3610</v>
      </c>
      <c r="M1028" t="s">
        <v>3609</v>
      </c>
      <c r="O1028" t="s">
        <v>4213</v>
      </c>
      <c r="P1028" t="s">
        <v>4244</v>
      </c>
      <c r="R1028" t="s">
        <v>4258</v>
      </c>
      <c r="S1028" t="s">
        <v>3610</v>
      </c>
      <c r="U1028" t="s">
        <v>4268</v>
      </c>
      <c r="W1028" t="s">
        <v>381</v>
      </c>
      <c r="X1028">
        <v>1165.99</v>
      </c>
      <c r="Y1028" t="s">
        <v>4351</v>
      </c>
      <c r="Z1028" t="s">
        <v>4357</v>
      </c>
      <c r="AB1028" t="s">
        <v>5002</v>
      </c>
      <c r="AD1028" t="s">
        <v>6378</v>
      </c>
      <c r="AE1028">
        <v>42</v>
      </c>
      <c r="AF1028" t="s">
        <v>7101</v>
      </c>
      <c r="AG1028" t="s">
        <v>3745</v>
      </c>
      <c r="AH1028">
        <v>29</v>
      </c>
      <c r="AI1028">
        <v>1</v>
      </c>
      <c r="AJ1028">
        <v>0</v>
      </c>
      <c r="AK1028">
        <v>132.64</v>
      </c>
      <c r="AL1028" t="s">
        <v>183</v>
      </c>
      <c r="AN1028" t="s">
        <v>7138</v>
      </c>
      <c r="AO1028">
        <v>15996</v>
      </c>
      <c r="AU1028">
        <v>1.2</v>
      </c>
      <c r="AV1028" t="s">
        <v>426</v>
      </c>
      <c r="AW1028" t="s">
        <v>7342</v>
      </c>
    </row>
    <row r="1029" spans="1:50">
      <c r="A1029" s="1">
        <f>HYPERLINK("https://lsnyc.legalserver.org/matter/dynamic-profile/view/1840240","17-1840240")</f>
        <v>0</v>
      </c>
      <c r="B1029" t="s">
        <v>53</v>
      </c>
      <c r="C1029" t="s">
        <v>104</v>
      </c>
      <c r="D1029" t="s">
        <v>258</v>
      </c>
      <c r="E1029" t="s">
        <v>348</v>
      </c>
      <c r="F1029" t="s">
        <v>1131</v>
      </c>
      <c r="G1029" t="s">
        <v>2000</v>
      </c>
      <c r="H1029" t="s">
        <v>2712</v>
      </c>
      <c r="I1029" t="s">
        <v>3316</v>
      </c>
      <c r="J1029" t="s">
        <v>3604</v>
      </c>
      <c r="K1029">
        <v>10040</v>
      </c>
      <c r="L1029" t="s">
        <v>3610</v>
      </c>
      <c r="M1029" t="s">
        <v>3610</v>
      </c>
      <c r="N1029" t="s">
        <v>3974</v>
      </c>
      <c r="O1029" t="s">
        <v>4209</v>
      </c>
      <c r="P1029" t="s">
        <v>4241</v>
      </c>
      <c r="Q1029" t="s">
        <v>4248</v>
      </c>
      <c r="R1029" t="s">
        <v>4258</v>
      </c>
      <c r="S1029" t="s">
        <v>3611</v>
      </c>
      <c r="U1029" t="s">
        <v>4268</v>
      </c>
      <c r="V1029" t="s">
        <v>4274</v>
      </c>
      <c r="W1029" t="s">
        <v>354</v>
      </c>
      <c r="X1029">
        <v>1165.99</v>
      </c>
      <c r="Y1029" t="s">
        <v>4351</v>
      </c>
      <c r="Z1029" t="s">
        <v>4354</v>
      </c>
      <c r="AA1029" t="s">
        <v>4374</v>
      </c>
      <c r="AB1029" t="s">
        <v>5002</v>
      </c>
      <c r="AD1029" t="s">
        <v>6378</v>
      </c>
      <c r="AE1029">
        <v>42</v>
      </c>
      <c r="AF1029" t="s">
        <v>7101</v>
      </c>
      <c r="AG1029" t="s">
        <v>3745</v>
      </c>
      <c r="AH1029">
        <v>29</v>
      </c>
      <c r="AI1029">
        <v>1</v>
      </c>
      <c r="AJ1029">
        <v>0</v>
      </c>
      <c r="AK1029">
        <v>132.64</v>
      </c>
      <c r="AL1029" t="s">
        <v>183</v>
      </c>
      <c r="AN1029" t="s">
        <v>7138</v>
      </c>
      <c r="AO1029">
        <v>15996</v>
      </c>
      <c r="AU1029">
        <v>8.25</v>
      </c>
      <c r="AV1029" t="s">
        <v>211</v>
      </c>
      <c r="AW1029" t="s">
        <v>7342</v>
      </c>
    </row>
    <row r="1030" spans="1:50">
      <c r="A1030" s="1">
        <f>HYPERLINK("https://lsnyc.legalserver.org/matter/dynamic-profile/view/1840246","17-1840246")</f>
        <v>0</v>
      </c>
      <c r="B1030" t="s">
        <v>53</v>
      </c>
      <c r="C1030" t="s">
        <v>104</v>
      </c>
      <c r="D1030" t="s">
        <v>258</v>
      </c>
      <c r="E1030" t="s">
        <v>348</v>
      </c>
      <c r="F1030" t="s">
        <v>1131</v>
      </c>
      <c r="G1030" t="s">
        <v>2000</v>
      </c>
      <c r="H1030" t="s">
        <v>2712</v>
      </c>
      <c r="I1030" t="s">
        <v>3316</v>
      </c>
      <c r="J1030" t="s">
        <v>3604</v>
      </c>
      <c r="K1030">
        <v>10040</v>
      </c>
      <c r="L1030" t="s">
        <v>3610</v>
      </c>
      <c r="M1030" t="s">
        <v>3609</v>
      </c>
      <c r="N1030" t="s">
        <v>3974</v>
      </c>
      <c r="O1030" t="s">
        <v>4209</v>
      </c>
      <c r="P1030" t="s">
        <v>4241</v>
      </c>
      <c r="Q1030" t="s">
        <v>4249</v>
      </c>
      <c r="R1030" t="s">
        <v>4258</v>
      </c>
      <c r="S1030" t="s">
        <v>3610</v>
      </c>
      <c r="U1030" t="s">
        <v>4268</v>
      </c>
      <c r="V1030" t="s">
        <v>4274</v>
      </c>
      <c r="W1030" t="s">
        <v>379</v>
      </c>
      <c r="X1030">
        <v>1165.99</v>
      </c>
      <c r="Y1030" t="s">
        <v>4351</v>
      </c>
      <c r="Z1030" t="s">
        <v>4354</v>
      </c>
      <c r="AA1030" t="s">
        <v>4377</v>
      </c>
      <c r="AB1030" t="s">
        <v>5002</v>
      </c>
      <c r="AD1030" t="s">
        <v>6378</v>
      </c>
      <c r="AE1030">
        <v>42</v>
      </c>
      <c r="AF1030" t="s">
        <v>7101</v>
      </c>
      <c r="AG1030" t="s">
        <v>3745</v>
      </c>
      <c r="AH1030">
        <v>29</v>
      </c>
      <c r="AI1030">
        <v>1</v>
      </c>
      <c r="AJ1030">
        <v>0</v>
      </c>
      <c r="AK1030">
        <v>132.64</v>
      </c>
      <c r="AL1030" t="s">
        <v>183</v>
      </c>
      <c r="AN1030" t="s">
        <v>7138</v>
      </c>
      <c r="AO1030">
        <v>15996</v>
      </c>
      <c r="AU1030">
        <v>16</v>
      </c>
      <c r="AV1030" t="s">
        <v>443</v>
      </c>
      <c r="AW1030" t="s">
        <v>7342</v>
      </c>
    </row>
    <row r="1031" spans="1:50">
      <c r="A1031" s="1">
        <f>HYPERLINK("https://lsnyc.legalserver.org/matter/dynamic-profile/view/1867804","18-1867804")</f>
        <v>0</v>
      </c>
      <c r="B1031" t="s">
        <v>50</v>
      </c>
      <c r="C1031" t="s">
        <v>104</v>
      </c>
      <c r="D1031" t="s">
        <v>106</v>
      </c>
      <c r="E1031" t="s">
        <v>548</v>
      </c>
      <c r="F1031" t="s">
        <v>983</v>
      </c>
      <c r="G1031" t="s">
        <v>2111</v>
      </c>
      <c r="H1031" t="s">
        <v>2711</v>
      </c>
      <c r="I1031">
        <v>25</v>
      </c>
      <c r="J1031" t="s">
        <v>3604</v>
      </c>
      <c r="K1031">
        <v>10034</v>
      </c>
      <c r="L1031" t="s">
        <v>3609</v>
      </c>
      <c r="M1031" t="s">
        <v>3609</v>
      </c>
      <c r="O1031" t="s">
        <v>4209</v>
      </c>
      <c r="Q1031" t="s">
        <v>4248</v>
      </c>
      <c r="R1031" t="s">
        <v>4258</v>
      </c>
      <c r="U1031" t="s">
        <v>4267</v>
      </c>
      <c r="X1031">
        <v>613</v>
      </c>
      <c r="Y1031" t="s">
        <v>4351</v>
      </c>
      <c r="AA1031" t="s">
        <v>4372</v>
      </c>
      <c r="AB1031" t="s">
        <v>5201</v>
      </c>
      <c r="AD1031" t="s">
        <v>6563</v>
      </c>
      <c r="AE1031">
        <v>0</v>
      </c>
      <c r="AH1031">
        <v>17</v>
      </c>
      <c r="AI1031">
        <v>2</v>
      </c>
      <c r="AJ1031">
        <v>0</v>
      </c>
      <c r="AK1031">
        <v>132.69</v>
      </c>
      <c r="AN1031" t="s">
        <v>7139</v>
      </c>
      <c r="AO1031">
        <v>21840</v>
      </c>
      <c r="AU1031">
        <v>20.1</v>
      </c>
      <c r="AV1031" t="s">
        <v>213</v>
      </c>
      <c r="AW1031" t="s">
        <v>7340</v>
      </c>
    </row>
    <row r="1032" spans="1:50">
      <c r="A1032" s="1">
        <f>HYPERLINK("https://lsnyc.legalserver.org/matter/dynamic-profile/view/1855264","18-1855264")</f>
        <v>0</v>
      </c>
      <c r="B1032" t="s">
        <v>56</v>
      </c>
      <c r="C1032" t="s">
        <v>104</v>
      </c>
      <c r="D1032" t="s">
        <v>484</v>
      </c>
      <c r="E1032" t="s">
        <v>669</v>
      </c>
      <c r="F1032" t="s">
        <v>1250</v>
      </c>
      <c r="G1032" t="s">
        <v>844</v>
      </c>
      <c r="H1032" t="s">
        <v>2575</v>
      </c>
      <c r="I1032" t="s">
        <v>3493</v>
      </c>
      <c r="J1032" t="s">
        <v>3604</v>
      </c>
      <c r="K1032">
        <v>10029</v>
      </c>
      <c r="L1032" t="s">
        <v>3610</v>
      </c>
      <c r="M1032" t="s">
        <v>3610</v>
      </c>
      <c r="N1032" t="s">
        <v>3975</v>
      </c>
      <c r="O1032" t="s">
        <v>4211</v>
      </c>
      <c r="P1032" t="s">
        <v>4241</v>
      </c>
      <c r="Q1032" t="s">
        <v>4248</v>
      </c>
      <c r="R1032" t="s">
        <v>4258</v>
      </c>
      <c r="S1032" t="s">
        <v>3611</v>
      </c>
      <c r="U1032" t="s">
        <v>4268</v>
      </c>
      <c r="W1032" t="s">
        <v>421</v>
      </c>
      <c r="X1032">
        <v>1800</v>
      </c>
      <c r="Y1032" t="s">
        <v>4351</v>
      </c>
      <c r="Z1032" t="s">
        <v>4358</v>
      </c>
      <c r="AA1032" t="s">
        <v>4374</v>
      </c>
      <c r="AB1032" t="s">
        <v>5202</v>
      </c>
      <c r="AD1032" t="s">
        <v>6564</v>
      </c>
      <c r="AE1032">
        <v>80</v>
      </c>
      <c r="AF1032" t="s">
        <v>7106</v>
      </c>
      <c r="AG1032" t="s">
        <v>7116</v>
      </c>
      <c r="AH1032">
        <v>5</v>
      </c>
      <c r="AI1032">
        <v>2</v>
      </c>
      <c r="AJ1032">
        <v>2</v>
      </c>
      <c r="AK1032">
        <v>132.89</v>
      </c>
      <c r="AN1032" t="s">
        <v>7138</v>
      </c>
      <c r="AO1032">
        <v>32692</v>
      </c>
      <c r="AU1032">
        <v>37.9</v>
      </c>
      <c r="AV1032" t="s">
        <v>144</v>
      </c>
      <c r="AW1032" t="s">
        <v>7358</v>
      </c>
    </row>
    <row r="1033" spans="1:50">
      <c r="A1033" s="1">
        <f>HYPERLINK("https://lsnyc.legalserver.org/matter/dynamic-profile/view/0831529","17-0831529")</f>
        <v>0</v>
      </c>
      <c r="B1033" t="s">
        <v>63</v>
      </c>
      <c r="C1033" t="s">
        <v>104</v>
      </c>
      <c r="D1033" t="s">
        <v>327</v>
      </c>
      <c r="E1033" t="s">
        <v>192</v>
      </c>
      <c r="F1033" t="s">
        <v>1219</v>
      </c>
      <c r="G1033" t="s">
        <v>2085</v>
      </c>
      <c r="H1033" t="s">
        <v>2637</v>
      </c>
      <c r="I1033" t="s">
        <v>3351</v>
      </c>
      <c r="J1033" t="s">
        <v>3604</v>
      </c>
      <c r="K1033">
        <v>10034</v>
      </c>
      <c r="L1033" t="s">
        <v>3610</v>
      </c>
      <c r="M1033" t="s">
        <v>3610</v>
      </c>
      <c r="N1033" t="s">
        <v>3976</v>
      </c>
      <c r="O1033" t="s">
        <v>4225</v>
      </c>
      <c r="P1033" t="s">
        <v>4241</v>
      </c>
      <c r="Q1033" t="s">
        <v>4248</v>
      </c>
      <c r="R1033" t="s">
        <v>4258</v>
      </c>
      <c r="S1033" t="s">
        <v>3611</v>
      </c>
      <c r="U1033" t="s">
        <v>4268</v>
      </c>
      <c r="W1033" t="s">
        <v>327</v>
      </c>
      <c r="X1033">
        <v>1795</v>
      </c>
      <c r="Y1033" t="s">
        <v>4351</v>
      </c>
      <c r="Z1033" t="s">
        <v>4356</v>
      </c>
      <c r="AA1033" t="s">
        <v>4388</v>
      </c>
      <c r="AB1033" t="s">
        <v>5153</v>
      </c>
      <c r="AD1033" t="s">
        <v>6523</v>
      </c>
      <c r="AE1033">
        <v>44</v>
      </c>
      <c r="AF1033" t="s">
        <v>7103</v>
      </c>
      <c r="AG1033" t="s">
        <v>3745</v>
      </c>
      <c r="AH1033">
        <v>3</v>
      </c>
      <c r="AI1033">
        <v>1</v>
      </c>
      <c r="AJ1033">
        <v>0</v>
      </c>
      <c r="AK1033">
        <v>132.93</v>
      </c>
      <c r="AN1033" t="s">
        <v>7138</v>
      </c>
      <c r="AO1033">
        <v>16031</v>
      </c>
      <c r="AU1033">
        <v>152.3</v>
      </c>
      <c r="AV1033" t="s">
        <v>262</v>
      </c>
      <c r="AW1033" t="s">
        <v>63</v>
      </c>
    </row>
    <row r="1034" spans="1:50">
      <c r="A1034" s="1">
        <f>HYPERLINK("https://lsnyc.legalserver.org/matter/dynamic-profile/view/1851523","17-1851523")</f>
        <v>0</v>
      </c>
      <c r="B1034" t="s">
        <v>102</v>
      </c>
      <c r="C1034" t="s">
        <v>104</v>
      </c>
      <c r="D1034" t="s">
        <v>124</v>
      </c>
      <c r="E1034" t="s">
        <v>139</v>
      </c>
      <c r="F1034" t="s">
        <v>1118</v>
      </c>
      <c r="G1034" t="s">
        <v>2112</v>
      </c>
      <c r="H1034" t="s">
        <v>2989</v>
      </c>
      <c r="J1034" t="s">
        <v>3604</v>
      </c>
      <c r="K1034">
        <v>10040</v>
      </c>
      <c r="L1034" t="s">
        <v>3610</v>
      </c>
      <c r="M1034" t="s">
        <v>3609</v>
      </c>
      <c r="O1034" t="s">
        <v>4211</v>
      </c>
      <c r="P1034" t="s">
        <v>4242</v>
      </c>
      <c r="Q1034" t="s">
        <v>4250</v>
      </c>
      <c r="R1034" t="s">
        <v>4257</v>
      </c>
      <c r="U1034" t="s">
        <v>4269</v>
      </c>
      <c r="X1034">
        <v>0</v>
      </c>
      <c r="Y1034" t="s">
        <v>4351</v>
      </c>
      <c r="Z1034" t="s">
        <v>4355</v>
      </c>
      <c r="AA1034" t="s">
        <v>4394</v>
      </c>
      <c r="AB1034" t="s">
        <v>5203</v>
      </c>
      <c r="AD1034" t="s">
        <v>6565</v>
      </c>
      <c r="AE1034">
        <v>0</v>
      </c>
      <c r="AH1034">
        <v>0</v>
      </c>
      <c r="AI1034">
        <v>1</v>
      </c>
      <c r="AJ1034">
        <v>1</v>
      </c>
      <c r="AK1034">
        <v>133</v>
      </c>
      <c r="AL1034" t="s">
        <v>369</v>
      </c>
      <c r="AO1034">
        <v>21600</v>
      </c>
      <c r="AU1034">
        <v>0</v>
      </c>
      <c r="AW1034" t="s">
        <v>102</v>
      </c>
    </row>
    <row r="1035" spans="1:50">
      <c r="A1035" s="1">
        <f>HYPERLINK("https://lsnyc.legalserver.org/matter/dynamic-profile/view/1880351","18-1880351")</f>
        <v>0</v>
      </c>
      <c r="B1035" t="s">
        <v>64</v>
      </c>
      <c r="C1035" t="s">
        <v>105</v>
      </c>
      <c r="D1035" t="s">
        <v>561</v>
      </c>
      <c r="F1035" t="s">
        <v>1152</v>
      </c>
      <c r="G1035" t="s">
        <v>1594</v>
      </c>
      <c r="H1035" t="s">
        <v>2990</v>
      </c>
      <c r="I1035" t="s">
        <v>3348</v>
      </c>
      <c r="J1035" t="s">
        <v>3604</v>
      </c>
      <c r="K1035">
        <v>10032</v>
      </c>
      <c r="L1035" t="s">
        <v>3610</v>
      </c>
      <c r="M1035" t="s">
        <v>3610</v>
      </c>
      <c r="O1035" t="s">
        <v>4209</v>
      </c>
      <c r="P1035" t="s">
        <v>4241</v>
      </c>
      <c r="R1035" t="s">
        <v>4258</v>
      </c>
      <c r="S1035" t="s">
        <v>3611</v>
      </c>
      <c r="U1035" t="s">
        <v>4268</v>
      </c>
      <c r="W1035" t="s">
        <v>561</v>
      </c>
      <c r="X1035">
        <v>2450</v>
      </c>
      <c r="Y1035" t="s">
        <v>4351</v>
      </c>
      <c r="Z1035" t="s">
        <v>4353</v>
      </c>
      <c r="AB1035" t="s">
        <v>5204</v>
      </c>
      <c r="AD1035" t="s">
        <v>6566</v>
      </c>
      <c r="AE1035">
        <v>25</v>
      </c>
      <c r="AF1035" t="s">
        <v>7101</v>
      </c>
      <c r="AG1035" t="s">
        <v>3745</v>
      </c>
      <c r="AH1035">
        <v>2</v>
      </c>
      <c r="AI1035">
        <v>3</v>
      </c>
      <c r="AJ1035">
        <v>0</v>
      </c>
      <c r="AK1035">
        <v>133.4</v>
      </c>
      <c r="AN1035" t="s">
        <v>7139</v>
      </c>
      <c r="AO1035">
        <v>27720</v>
      </c>
      <c r="AU1035">
        <v>101.69</v>
      </c>
      <c r="AV1035" t="s">
        <v>529</v>
      </c>
      <c r="AW1035" t="s">
        <v>7342</v>
      </c>
    </row>
    <row r="1036" spans="1:50">
      <c r="A1036" s="1">
        <f>HYPERLINK("https://lsnyc.legalserver.org/matter/dynamic-profile/view/1863779","18-1863779")</f>
        <v>0</v>
      </c>
      <c r="B1036" t="s">
        <v>59</v>
      </c>
      <c r="C1036" t="s">
        <v>105</v>
      </c>
      <c r="D1036" t="s">
        <v>160</v>
      </c>
      <c r="F1036" t="s">
        <v>1251</v>
      </c>
      <c r="G1036" t="s">
        <v>2113</v>
      </c>
      <c r="H1036" t="s">
        <v>2991</v>
      </c>
      <c r="I1036" t="s">
        <v>3316</v>
      </c>
      <c r="J1036" t="s">
        <v>3604</v>
      </c>
      <c r="K1036">
        <v>10039</v>
      </c>
      <c r="L1036" t="s">
        <v>3610</v>
      </c>
      <c r="M1036" t="s">
        <v>3609</v>
      </c>
      <c r="N1036" t="s">
        <v>3977</v>
      </c>
      <c r="O1036" t="s">
        <v>4209</v>
      </c>
      <c r="P1036" t="s">
        <v>4242</v>
      </c>
      <c r="R1036" t="s">
        <v>4258</v>
      </c>
      <c r="U1036" t="s">
        <v>4268</v>
      </c>
      <c r="W1036" t="s">
        <v>278</v>
      </c>
      <c r="X1036">
        <v>813.37</v>
      </c>
      <c r="Y1036" t="s">
        <v>4351</v>
      </c>
      <c r="Z1036" t="s">
        <v>4357</v>
      </c>
      <c r="AB1036" t="s">
        <v>5205</v>
      </c>
      <c r="AD1036" t="s">
        <v>6567</v>
      </c>
      <c r="AE1036">
        <v>0</v>
      </c>
      <c r="AF1036" t="s">
        <v>7101</v>
      </c>
      <c r="AG1036" t="s">
        <v>7117</v>
      </c>
      <c r="AH1036">
        <v>11</v>
      </c>
      <c r="AI1036">
        <v>1</v>
      </c>
      <c r="AJ1036">
        <v>1</v>
      </c>
      <c r="AK1036">
        <v>133.95</v>
      </c>
      <c r="AN1036" t="s">
        <v>7138</v>
      </c>
      <c r="AO1036">
        <v>22048</v>
      </c>
      <c r="AU1036">
        <v>1.2</v>
      </c>
      <c r="AV1036" t="s">
        <v>460</v>
      </c>
      <c r="AW1036" t="s">
        <v>7344</v>
      </c>
    </row>
    <row r="1037" spans="1:50">
      <c r="A1037" s="1">
        <f>HYPERLINK("https://lsnyc.legalserver.org/matter/dynamic-profile/view/1863909","18-1863909")</f>
        <v>0</v>
      </c>
      <c r="B1037" t="s">
        <v>53</v>
      </c>
      <c r="C1037" t="s">
        <v>105</v>
      </c>
      <c r="D1037" t="s">
        <v>347</v>
      </c>
      <c r="F1037" t="s">
        <v>1249</v>
      </c>
      <c r="G1037" t="s">
        <v>1897</v>
      </c>
      <c r="H1037" t="s">
        <v>2508</v>
      </c>
      <c r="I1037">
        <v>709</v>
      </c>
      <c r="J1037" t="s">
        <v>3604</v>
      </c>
      <c r="K1037">
        <v>10029</v>
      </c>
      <c r="L1037" t="s">
        <v>3610</v>
      </c>
      <c r="M1037" t="s">
        <v>3610</v>
      </c>
      <c r="N1037" t="s">
        <v>3642</v>
      </c>
      <c r="O1037" t="s">
        <v>4213</v>
      </c>
      <c r="P1037" t="s">
        <v>4241</v>
      </c>
      <c r="R1037" t="s">
        <v>4258</v>
      </c>
      <c r="S1037" t="s">
        <v>3610</v>
      </c>
      <c r="U1037" t="s">
        <v>4268</v>
      </c>
      <c r="V1037" t="s">
        <v>4274</v>
      </c>
      <c r="W1037" t="s">
        <v>347</v>
      </c>
      <c r="X1037">
        <v>0</v>
      </c>
      <c r="Y1037" t="s">
        <v>4351</v>
      </c>
      <c r="Z1037" t="s">
        <v>4352</v>
      </c>
      <c r="AB1037" t="s">
        <v>5200</v>
      </c>
      <c r="AD1037" t="s">
        <v>6562</v>
      </c>
      <c r="AE1037">
        <v>108</v>
      </c>
      <c r="AF1037" t="s">
        <v>7106</v>
      </c>
      <c r="AG1037" t="s">
        <v>7116</v>
      </c>
      <c r="AH1037">
        <v>32</v>
      </c>
      <c r="AI1037">
        <v>2</v>
      </c>
      <c r="AJ1037">
        <v>0</v>
      </c>
      <c r="AK1037">
        <v>134</v>
      </c>
      <c r="AN1037" t="s">
        <v>7139</v>
      </c>
      <c r="AO1037">
        <v>22056</v>
      </c>
      <c r="AU1037">
        <v>1.1</v>
      </c>
      <c r="AV1037" t="s">
        <v>512</v>
      </c>
      <c r="AW1037" t="s">
        <v>7341</v>
      </c>
    </row>
    <row r="1038" spans="1:50">
      <c r="A1038" s="1">
        <f>HYPERLINK("https://lsnyc.legalserver.org/matter/dynamic-profile/view/1869858","18-1869858")</f>
        <v>0</v>
      </c>
      <c r="B1038" t="s">
        <v>63</v>
      </c>
      <c r="C1038" t="s">
        <v>105</v>
      </c>
      <c r="D1038" t="s">
        <v>128</v>
      </c>
      <c r="F1038" t="s">
        <v>1210</v>
      </c>
      <c r="G1038" t="s">
        <v>1746</v>
      </c>
      <c r="H1038" t="s">
        <v>2836</v>
      </c>
      <c r="I1038">
        <v>25</v>
      </c>
      <c r="J1038" t="s">
        <v>3604</v>
      </c>
      <c r="K1038">
        <v>10034</v>
      </c>
      <c r="L1038" t="s">
        <v>3610</v>
      </c>
      <c r="M1038" t="s">
        <v>3609</v>
      </c>
      <c r="O1038" t="s">
        <v>4220</v>
      </c>
      <c r="P1038" t="s">
        <v>4241</v>
      </c>
      <c r="R1038" t="s">
        <v>4258</v>
      </c>
      <c r="S1038" t="s">
        <v>3611</v>
      </c>
      <c r="U1038" t="s">
        <v>4268</v>
      </c>
      <c r="W1038" t="s">
        <v>128</v>
      </c>
      <c r="X1038">
        <v>906.26</v>
      </c>
      <c r="Y1038" t="s">
        <v>4351</v>
      </c>
      <c r="Z1038" t="s">
        <v>4354</v>
      </c>
      <c r="AB1038" t="s">
        <v>5206</v>
      </c>
      <c r="AE1038">
        <v>0</v>
      </c>
      <c r="AF1038" t="s">
        <v>7101</v>
      </c>
      <c r="AG1038" t="s">
        <v>3745</v>
      </c>
      <c r="AH1038">
        <v>20</v>
      </c>
      <c r="AI1038">
        <v>2</v>
      </c>
      <c r="AJ1038">
        <v>0</v>
      </c>
      <c r="AK1038">
        <v>134.26</v>
      </c>
      <c r="AN1038" t="s">
        <v>7138</v>
      </c>
      <c r="AO1038">
        <v>22100</v>
      </c>
      <c r="AU1038">
        <v>34.3</v>
      </c>
      <c r="AV1038" t="s">
        <v>310</v>
      </c>
      <c r="AW1038" t="s">
        <v>7342</v>
      </c>
    </row>
    <row r="1039" spans="1:50">
      <c r="A1039" s="1">
        <f>HYPERLINK("https://lsnyc.legalserver.org/matter/dynamic-profile/view/1864440","18-1864440")</f>
        <v>0</v>
      </c>
      <c r="B1039" t="s">
        <v>53</v>
      </c>
      <c r="C1039" t="s">
        <v>105</v>
      </c>
      <c r="D1039" t="s">
        <v>157</v>
      </c>
      <c r="F1039" t="s">
        <v>1252</v>
      </c>
      <c r="G1039" t="s">
        <v>2025</v>
      </c>
      <c r="H1039" t="s">
        <v>2508</v>
      </c>
      <c r="I1039">
        <v>412</v>
      </c>
      <c r="J1039" t="s">
        <v>3604</v>
      </c>
      <c r="K1039">
        <v>10029</v>
      </c>
      <c r="L1039" t="s">
        <v>3610</v>
      </c>
      <c r="M1039" t="s">
        <v>3610</v>
      </c>
      <c r="N1039" t="s">
        <v>3773</v>
      </c>
      <c r="O1039" t="s">
        <v>4213</v>
      </c>
      <c r="P1039" t="s">
        <v>4241</v>
      </c>
      <c r="R1039" t="s">
        <v>4258</v>
      </c>
      <c r="S1039" t="s">
        <v>3610</v>
      </c>
      <c r="U1039" t="s">
        <v>4268</v>
      </c>
      <c r="V1039" t="s">
        <v>4274</v>
      </c>
      <c r="W1039" t="s">
        <v>157</v>
      </c>
      <c r="X1039">
        <v>0</v>
      </c>
      <c r="Y1039" t="s">
        <v>4351</v>
      </c>
      <c r="Z1039" t="s">
        <v>4352</v>
      </c>
      <c r="AB1039" t="s">
        <v>5207</v>
      </c>
      <c r="AE1039">
        <v>108</v>
      </c>
      <c r="AF1039" t="s">
        <v>7106</v>
      </c>
      <c r="AG1039" t="s">
        <v>7116</v>
      </c>
      <c r="AH1039">
        <v>4</v>
      </c>
      <c r="AI1039">
        <v>2</v>
      </c>
      <c r="AJ1039">
        <v>0</v>
      </c>
      <c r="AK1039">
        <v>134.26</v>
      </c>
      <c r="AN1039" t="s">
        <v>7138</v>
      </c>
      <c r="AO1039">
        <v>22100</v>
      </c>
      <c r="AU1039">
        <v>0</v>
      </c>
      <c r="AW1039" t="s">
        <v>7341</v>
      </c>
    </row>
    <row r="1040" spans="1:50">
      <c r="A1040" s="1">
        <f>HYPERLINK("https://lsnyc.legalserver.org/matter/dynamic-profile/view/1898822","19-1898822")</f>
        <v>0</v>
      </c>
      <c r="B1040" t="s">
        <v>52</v>
      </c>
      <c r="C1040" t="s">
        <v>105</v>
      </c>
      <c r="D1040" t="s">
        <v>273</v>
      </c>
      <c r="F1040" t="s">
        <v>1253</v>
      </c>
      <c r="G1040" t="s">
        <v>2114</v>
      </c>
      <c r="H1040" t="s">
        <v>2992</v>
      </c>
      <c r="I1040">
        <v>41</v>
      </c>
      <c r="J1040" t="s">
        <v>3604</v>
      </c>
      <c r="K1040">
        <v>10033</v>
      </c>
      <c r="L1040" t="s">
        <v>3610</v>
      </c>
      <c r="M1040" t="s">
        <v>3610</v>
      </c>
      <c r="P1040" t="s">
        <v>4242</v>
      </c>
      <c r="R1040" t="s">
        <v>4258</v>
      </c>
      <c r="S1040" t="s">
        <v>3611</v>
      </c>
      <c r="U1040" t="s">
        <v>4268</v>
      </c>
      <c r="W1040" t="s">
        <v>273</v>
      </c>
      <c r="X1040">
        <v>796.84</v>
      </c>
      <c r="Y1040" t="s">
        <v>4351</v>
      </c>
      <c r="Z1040" t="s">
        <v>4354</v>
      </c>
      <c r="AB1040" t="s">
        <v>5208</v>
      </c>
      <c r="AD1040" t="s">
        <v>6568</v>
      </c>
      <c r="AE1040">
        <v>25</v>
      </c>
      <c r="AF1040" t="s">
        <v>7101</v>
      </c>
      <c r="AG1040" t="s">
        <v>3745</v>
      </c>
      <c r="AH1040">
        <v>38</v>
      </c>
      <c r="AI1040">
        <v>1</v>
      </c>
      <c r="AJ1040">
        <v>0</v>
      </c>
      <c r="AK1040">
        <v>134.32</v>
      </c>
      <c r="AN1040" t="s">
        <v>7138</v>
      </c>
      <c r="AO1040">
        <v>16776</v>
      </c>
      <c r="AU1040">
        <v>3.1</v>
      </c>
      <c r="AV1040" t="s">
        <v>330</v>
      </c>
      <c r="AW1040" t="s">
        <v>7342</v>
      </c>
    </row>
    <row r="1041" spans="1:49">
      <c r="A1041" s="1">
        <f>HYPERLINK("https://lsnyc.legalserver.org/matter/dynamic-profile/view/1855139","18-1855139")</f>
        <v>0</v>
      </c>
      <c r="B1041" t="s">
        <v>103</v>
      </c>
      <c r="C1041" t="s">
        <v>104</v>
      </c>
      <c r="D1041" t="s">
        <v>221</v>
      </c>
      <c r="E1041" t="s">
        <v>655</v>
      </c>
      <c r="F1041" t="s">
        <v>1254</v>
      </c>
      <c r="G1041" t="s">
        <v>2115</v>
      </c>
      <c r="H1041" t="s">
        <v>2993</v>
      </c>
      <c r="I1041">
        <v>203</v>
      </c>
      <c r="J1041" t="s">
        <v>3604</v>
      </c>
      <c r="K1041">
        <v>10035</v>
      </c>
      <c r="L1041" t="s">
        <v>3610</v>
      </c>
      <c r="M1041" t="s">
        <v>3610</v>
      </c>
      <c r="O1041" t="s">
        <v>4211</v>
      </c>
      <c r="P1041" t="s">
        <v>4244</v>
      </c>
      <c r="Q1041" t="s">
        <v>4251</v>
      </c>
      <c r="R1041" t="s">
        <v>4258</v>
      </c>
      <c r="S1041" t="s">
        <v>3611</v>
      </c>
      <c r="U1041" t="s">
        <v>4268</v>
      </c>
      <c r="W1041" t="s">
        <v>4299</v>
      </c>
      <c r="X1041">
        <v>1089</v>
      </c>
      <c r="Y1041" t="s">
        <v>4351</v>
      </c>
      <c r="Z1041" t="s">
        <v>4354</v>
      </c>
      <c r="AA1041" t="s">
        <v>4384</v>
      </c>
      <c r="AB1041" t="s">
        <v>5209</v>
      </c>
      <c r="AD1041" t="s">
        <v>6569</v>
      </c>
      <c r="AE1041">
        <v>56</v>
      </c>
      <c r="AF1041" t="s">
        <v>7101</v>
      </c>
      <c r="AG1041" t="s">
        <v>3745</v>
      </c>
      <c r="AH1041">
        <v>5</v>
      </c>
      <c r="AI1041">
        <v>1</v>
      </c>
      <c r="AJ1041">
        <v>2</v>
      </c>
      <c r="AK1041">
        <v>134.46</v>
      </c>
      <c r="AN1041" t="s">
        <v>7138</v>
      </c>
      <c r="AO1041">
        <v>27456</v>
      </c>
      <c r="AU1041">
        <v>29.25</v>
      </c>
      <c r="AV1041" t="s">
        <v>302</v>
      </c>
      <c r="AW1041" t="s">
        <v>7366</v>
      </c>
    </row>
    <row r="1042" spans="1:49">
      <c r="A1042" s="1">
        <f>HYPERLINK("https://lsnyc.legalserver.org/matter/dynamic-profile/view/1849148","17-1849148")</f>
        <v>0</v>
      </c>
      <c r="B1042" t="s">
        <v>57</v>
      </c>
      <c r="C1042" t="s">
        <v>105</v>
      </c>
      <c r="D1042" t="s">
        <v>562</v>
      </c>
      <c r="F1042" t="s">
        <v>1050</v>
      </c>
      <c r="G1042" t="s">
        <v>1936</v>
      </c>
      <c r="H1042" t="s">
        <v>2808</v>
      </c>
      <c r="I1042" t="s">
        <v>3294</v>
      </c>
      <c r="J1042" t="s">
        <v>3604</v>
      </c>
      <c r="K1042">
        <v>10035</v>
      </c>
      <c r="L1042" t="s">
        <v>3610</v>
      </c>
      <c r="M1042" t="s">
        <v>3609</v>
      </c>
      <c r="O1042" t="s">
        <v>4212</v>
      </c>
      <c r="P1042" t="s">
        <v>4243</v>
      </c>
      <c r="R1042" t="s">
        <v>4258</v>
      </c>
      <c r="S1042" t="s">
        <v>3611</v>
      </c>
      <c r="U1042" t="s">
        <v>4270</v>
      </c>
      <c r="W1042" t="s">
        <v>562</v>
      </c>
      <c r="X1042">
        <v>0</v>
      </c>
      <c r="Y1042" t="s">
        <v>4351</v>
      </c>
      <c r="Z1042" t="s">
        <v>4356</v>
      </c>
      <c r="AB1042" t="s">
        <v>4872</v>
      </c>
      <c r="AD1042" t="s">
        <v>6256</v>
      </c>
      <c r="AE1042">
        <v>42</v>
      </c>
      <c r="AF1042" t="s">
        <v>7106</v>
      </c>
      <c r="AG1042" t="s">
        <v>7116</v>
      </c>
      <c r="AH1042">
        <v>40</v>
      </c>
      <c r="AI1042">
        <v>3</v>
      </c>
      <c r="AJ1042">
        <v>1</v>
      </c>
      <c r="AK1042">
        <v>134.73</v>
      </c>
      <c r="AN1042" t="s">
        <v>7138</v>
      </c>
      <c r="AO1042">
        <v>42840</v>
      </c>
      <c r="AU1042">
        <v>24.25</v>
      </c>
      <c r="AV1042" t="s">
        <v>7130</v>
      </c>
      <c r="AW1042" t="s">
        <v>7341</v>
      </c>
    </row>
    <row r="1043" spans="1:49">
      <c r="A1043" s="1">
        <f>HYPERLINK("https://lsnyc.legalserver.org/matter/dynamic-profile/view/1881134","18-1881134")</f>
        <v>0</v>
      </c>
      <c r="B1043" t="s">
        <v>53</v>
      </c>
      <c r="C1043" t="s">
        <v>104</v>
      </c>
      <c r="D1043" t="s">
        <v>348</v>
      </c>
      <c r="E1043" t="s">
        <v>656</v>
      </c>
      <c r="F1043" t="s">
        <v>1255</v>
      </c>
      <c r="G1043" t="s">
        <v>2116</v>
      </c>
      <c r="H1043" t="s">
        <v>2994</v>
      </c>
      <c r="I1043" t="s">
        <v>3494</v>
      </c>
      <c r="J1043" t="s">
        <v>3604</v>
      </c>
      <c r="K1043">
        <v>10029</v>
      </c>
      <c r="L1043" t="s">
        <v>3610</v>
      </c>
      <c r="M1043" t="s">
        <v>3610</v>
      </c>
      <c r="O1043" t="s">
        <v>4211</v>
      </c>
      <c r="P1043" t="s">
        <v>4242</v>
      </c>
      <c r="Q1043" t="s">
        <v>4250</v>
      </c>
      <c r="R1043" t="s">
        <v>4258</v>
      </c>
      <c r="S1043" t="s">
        <v>3611</v>
      </c>
      <c r="U1043" t="s">
        <v>4268</v>
      </c>
      <c r="V1043" t="s">
        <v>4274</v>
      </c>
      <c r="W1043" t="s">
        <v>348</v>
      </c>
      <c r="X1043">
        <v>600</v>
      </c>
      <c r="Y1043" t="s">
        <v>4351</v>
      </c>
      <c r="Z1043" t="s">
        <v>4354</v>
      </c>
      <c r="AA1043" t="s">
        <v>4373</v>
      </c>
      <c r="AB1043" t="s">
        <v>5210</v>
      </c>
      <c r="AD1043" t="s">
        <v>6570</v>
      </c>
      <c r="AE1043">
        <v>154</v>
      </c>
      <c r="AF1043" t="s">
        <v>7101</v>
      </c>
      <c r="AG1043" t="s">
        <v>3745</v>
      </c>
      <c r="AH1043">
        <v>2</v>
      </c>
      <c r="AI1043">
        <v>2</v>
      </c>
      <c r="AJ1043">
        <v>1</v>
      </c>
      <c r="AK1043">
        <v>134.84</v>
      </c>
      <c r="AN1043" t="s">
        <v>7138</v>
      </c>
      <c r="AO1043">
        <v>28020</v>
      </c>
      <c r="AU1043">
        <v>1.8</v>
      </c>
      <c r="AV1043" t="s">
        <v>169</v>
      </c>
      <c r="AW1043" t="s">
        <v>7341</v>
      </c>
    </row>
    <row r="1044" spans="1:49">
      <c r="A1044" s="1">
        <f>HYPERLINK("https://lsnyc.legalserver.org/matter/dynamic-profile/view/1878816","18-1878816")</f>
        <v>0</v>
      </c>
      <c r="B1044" t="s">
        <v>64</v>
      </c>
      <c r="C1044" t="s">
        <v>104</v>
      </c>
      <c r="D1044" t="s">
        <v>342</v>
      </c>
      <c r="E1044" t="s">
        <v>342</v>
      </c>
      <c r="F1044" t="s">
        <v>1167</v>
      </c>
      <c r="G1044" t="s">
        <v>1838</v>
      </c>
      <c r="H1044" t="s">
        <v>2556</v>
      </c>
      <c r="I1044">
        <v>31</v>
      </c>
      <c r="J1044" t="s">
        <v>3604</v>
      </c>
      <c r="K1044">
        <v>10034</v>
      </c>
      <c r="L1044" t="s">
        <v>3610</v>
      </c>
      <c r="M1044" t="s">
        <v>3610</v>
      </c>
      <c r="O1044" t="s">
        <v>4219</v>
      </c>
      <c r="P1044" t="s">
        <v>4242</v>
      </c>
      <c r="Q1044" t="s">
        <v>4250</v>
      </c>
      <c r="R1044" t="s">
        <v>4258</v>
      </c>
      <c r="S1044" t="s">
        <v>3611</v>
      </c>
      <c r="U1044" t="s">
        <v>4268</v>
      </c>
      <c r="W1044" t="s">
        <v>342</v>
      </c>
      <c r="X1044">
        <v>1013.58</v>
      </c>
      <c r="Y1044" t="s">
        <v>4351</v>
      </c>
      <c r="Z1044" t="s">
        <v>4354</v>
      </c>
      <c r="AA1044" t="s">
        <v>4373</v>
      </c>
      <c r="AB1044" t="s">
        <v>5063</v>
      </c>
      <c r="AD1044" t="s">
        <v>6437</v>
      </c>
      <c r="AE1044">
        <v>25</v>
      </c>
      <c r="AF1044" t="s">
        <v>7101</v>
      </c>
      <c r="AG1044" t="s">
        <v>7116</v>
      </c>
      <c r="AH1044">
        <v>50</v>
      </c>
      <c r="AI1044">
        <v>2</v>
      </c>
      <c r="AJ1044">
        <v>0</v>
      </c>
      <c r="AK1044">
        <v>135.24</v>
      </c>
      <c r="AN1044" t="s">
        <v>7139</v>
      </c>
      <c r="AO1044">
        <v>22260</v>
      </c>
      <c r="AU1044">
        <v>1</v>
      </c>
      <c r="AV1044" t="s">
        <v>342</v>
      </c>
      <c r="AW1044" t="s">
        <v>7342</v>
      </c>
    </row>
    <row r="1045" spans="1:49">
      <c r="A1045" s="1">
        <f>HYPERLINK("https://lsnyc.legalserver.org/matter/dynamic-profile/view/1840979","17-1840979")</f>
        <v>0</v>
      </c>
      <c r="B1045" t="s">
        <v>64</v>
      </c>
      <c r="C1045" t="s">
        <v>104</v>
      </c>
      <c r="D1045" t="s">
        <v>563</v>
      </c>
      <c r="E1045" t="s">
        <v>108</v>
      </c>
      <c r="F1045" t="s">
        <v>1256</v>
      </c>
      <c r="G1045" t="s">
        <v>1922</v>
      </c>
      <c r="H1045" t="s">
        <v>2995</v>
      </c>
      <c r="I1045" t="s">
        <v>3495</v>
      </c>
      <c r="J1045" t="s">
        <v>3604</v>
      </c>
      <c r="K1045">
        <v>10034</v>
      </c>
      <c r="L1045" t="s">
        <v>3610</v>
      </c>
      <c r="M1045" t="s">
        <v>3609</v>
      </c>
      <c r="N1045" t="s">
        <v>3978</v>
      </c>
      <c r="O1045" t="s">
        <v>4210</v>
      </c>
      <c r="P1045" t="s">
        <v>4241</v>
      </c>
      <c r="Q1045" t="s">
        <v>4255</v>
      </c>
      <c r="R1045" t="s">
        <v>4258</v>
      </c>
      <c r="S1045" t="s">
        <v>3611</v>
      </c>
      <c r="U1045" t="s">
        <v>4268</v>
      </c>
      <c r="W1045" t="s">
        <v>133</v>
      </c>
      <c r="X1045">
        <v>660</v>
      </c>
      <c r="Y1045" t="s">
        <v>4351</v>
      </c>
      <c r="Z1045" t="s">
        <v>4354</v>
      </c>
      <c r="AA1045" t="s">
        <v>4387</v>
      </c>
      <c r="AB1045" t="s">
        <v>5211</v>
      </c>
      <c r="AD1045" t="s">
        <v>6571</v>
      </c>
      <c r="AE1045">
        <v>228</v>
      </c>
      <c r="AF1045" t="s">
        <v>7101</v>
      </c>
      <c r="AG1045" t="s">
        <v>3745</v>
      </c>
      <c r="AH1045">
        <v>11</v>
      </c>
      <c r="AI1045">
        <v>2</v>
      </c>
      <c r="AJ1045">
        <v>0</v>
      </c>
      <c r="AK1045">
        <v>135.47</v>
      </c>
      <c r="AN1045" t="s">
        <v>7138</v>
      </c>
      <c r="AO1045">
        <v>22000</v>
      </c>
      <c r="AU1045">
        <v>79.84999999999999</v>
      </c>
      <c r="AV1045" t="s">
        <v>108</v>
      </c>
      <c r="AW1045" t="s">
        <v>7342</v>
      </c>
    </row>
    <row r="1046" spans="1:49">
      <c r="A1046" s="1">
        <f>HYPERLINK("https://lsnyc.legalserver.org/matter/dynamic-profile/view/1835656","17-1835656")</f>
        <v>0</v>
      </c>
      <c r="B1046" t="s">
        <v>61</v>
      </c>
      <c r="C1046" t="s">
        <v>104</v>
      </c>
      <c r="D1046" t="s">
        <v>121</v>
      </c>
      <c r="E1046" t="s">
        <v>662</v>
      </c>
      <c r="F1046" t="s">
        <v>1175</v>
      </c>
      <c r="G1046" t="s">
        <v>1746</v>
      </c>
      <c r="H1046" t="s">
        <v>2918</v>
      </c>
      <c r="I1046" t="s">
        <v>3345</v>
      </c>
      <c r="J1046" t="s">
        <v>3604</v>
      </c>
      <c r="K1046">
        <v>10034</v>
      </c>
      <c r="L1046" t="s">
        <v>3610</v>
      </c>
      <c r="M1046" t="s">
        <v>3609</v>
      </c>
      <c r="N1046" t="s">
        <v>3979</v>
      </c>
      <c r="O1046" t="s">
        <v>4209</v>
      </c>
      <c r="P1046" t="s">
        <v>4241</v>
      </c>
      <c r="Q1046" t="s">
        <v>4248</v>
      </c>
      <c r="R1046" t="s">
        <v>4258</v>
      </c>
      <c r="S1046" t="s">
        <v>3611</v>
      </c>
      <c r="U1046" t="s">
        <v>4268</v>
      </c>
      <c r="W1046" t="s">
        <v>4282</v>
      </c>
      <c r="X1046">
        <v>1207</v>
      </c>
      <c r="Y1046" t="s">
        <v>4351</v>
      </c>
      <c r="Z1046" t="s">
        <v>4354</v>
      </c>
      <c r="AA1046" t="s">
        <v>4374</v>
      </c>
      <c r="AB1046" t="s">
        <v>5076</v>
      </c>
      <c r="AD1046" t="s">
        <v>6450</v>
      </c>
      <c r="AE1046">
        <v>120</v>
      </c>
      <c r="AF1046" t="s">
        <v>7101</v>
      </c>
      <c r="AG1046" t="s">
        <v>7118</v>
      </c>
      <c r="AH1046">
        <v>20</v>
      </c>
      <c r="AI1046">
        <v>3</v>
      </c>
      <c r="AJ1046">
        <v>0</v>
      </c>
      <c r="AK1046">
        <v>135.51</v>
      </c>
      <c r="AN1046" t="s">
        <v>7139</v>
      </c>
      <c r="AO1046">
        <v>27672</v>
      </c>
      <c r="AU1046">
        <v>27.8</v>
      </c>
      <c r="AV1046" t="s">
        <v>519</v>
      </c>
      <c r="AW1046" t="s">
        <v>7341</v>
      </c>
    </row>
    <row r="1047" spans="1:49">
      <c r="A1047" s="1">
        <f>HYPERLINK("https://lsnyc.legalserver.org/matter/dynamic-profile/view/1846030","17-1846030")</f>
        <v>0</v>
      </c>
      <c r="B1047" t="s">
        <v>64</v>
      </c>
      <c r="C1047" t="s">
        <v>104</v>
      </c>
      <c r="D1047" t="s">
        <v>180</v>
      </c>
      <c r="E1047" t="s">
        <v>271</v>
      </c>
      <c r="F1047" t="s">
        <v>712</v>
      </c>
      <c r="G1047" t="s">
        <v>1735</v>
      </c>
      <c r="H1047" t="s">
        <v>2996</v>
      </c>
      <c r="I1047">
        <v>214</v>
      </c>
      <c r="J1047" t="s">
        <v>3604</v>
      </c>
      <c r="K1047">
        <v>10034</v>
      </c>
      <c r="L1047" t="s">
        <v>3610</v>
      </c>
      <c r="M1047" t="s">
        <v>3609</v>
      </c>
      <c r="P1047" t="s">
        <v>4244</v>
      </c>
      <c r="Q1047" t="s">
        <v>4254</v>
      </c>
      <c r="R1047" t="s">
        <v>4258</v>
      </c>
      <c r="S1047" t="s">
        <v>3611</v>
      </c>
      <c r="U1047" t="s">
        <v>4268</v>
      </c>
      <c r="W1047" t="s">
        <v>4323</v>
      </c>
      <c r="X1047">
        <v>1119.13</v>
      </c>
      <c r="Y1047" t="s">
        <v>4351</v>
      </c>
      <c r="Z1047" t="s">
        <v>4354</v>
      </c>
      <c r="AA1047" t="s">
        <v>4377</v>
      </c>
      <c r="AB1047" t="s">
        <v>5212</v>
      </c>
      <c r="AD1047" t="s">
        <v>6572</v>
      </c>
      <c r="AE1047">
        <v>80</v>
      </c>
      <c r="AF1047" t="s">
        <v>7101</v>
      </c>
      <c r="AG1047" t="s">
        <v>3745</v>
      </c>
      <c r="AH1047">
        <v>40</v>
      </c>
      <c r="AI1047">
        <v>2</v>
      </c>
      <c r="AJ1047">
        <v>0</v>
      </c>
      <c r="AK1047">
        <v>135.59</v>
      </c>
      <c r="AN1047" t="s">
        <v>7139</v>
      </c>
      <c r="AO1047">
        <v>22020</v>
      </c>
      <c r="AU1047">
        <v>14.5</v>
      </c>
      <c r="AV1047" t="s">
        <v>280</v>
      </c>
      <c r="AW1047" t="s">
        <v>7342</v>
      </c>
    </row>
    <row r="1048" spans="1:49">
      <c r="A1048" s="1">
        <f>HYPERLINK("https://lsnyc.legalserver.org/matter/dynamic-profile/view/0787860","15-0787860")</f>
        <v>0</v>
      </c>
      <c r="B1048" t="s">
        <v>67</v>
      </c>
      <c r="C1048" t="s">
        <v>104</v>
      </c>
      <c r="D1048" t="s">
        <v>564</v>
      </c>
      <c r="E1048" t="s">
        <v>642</v>
      </c>
      <c r="F1048" t="s">
        <v>1257</v>
      </c>
      <c r="G1048" t="s">
        <v>2117</v>
      </c>
      <c r="H1048" t="s">
        <v>2929</v>
      </c>
      <c r="I1048" t="s">
        <v>3285</v>
      </c>
      <c r="J1048" t="s">
        <v>3604</v>
      </c>
      <c r="K1048">
        <v>10029</v>
      </c>
      <c r="L1048" t="s">
        <v>3610</v>
      </c>
      <c r="M1048" t="s">
        <v>3610</v>
      </c>
      <c r="N1048" t="s">
        <v>3980</v>
      </c>
      <c r="O1048" t="s">
        <v>4213</v>
      </c>
      <c r="P1048" t="s">
        <v>4241</v>
      </c>
      <c r="Q1048" t="s">
        <v>4248</v>
      </c>
      <c r="R1048" t="s">
        <v>4258</v>
      </c>
      <c r="S1048" t="s">
        <v>3610</v>
      </c>
      <c r="U1048" t="s">
        <v>4268</v>
      </c>
      <c r="V1048" t="s">
        <v>4274</v>
      </c>
      <c r="W1048" t="s">
        <v>4332</v>
      </c>
      <c r="X1048">
        <v>550</v>
      </c>
      <c r="Y1048" t="s">
        <v>4351</v>
      </c>
      <c r="Z1048" t="s">
        <v>4371</v>
      </c>
      <c r="AA1048" t="s">
        <v>4379</v>
      </c>
      <c r="AB1048" t="s">
        <v>5213</v>
      </c>
      <c r="AD1048" t="s">
        <v>6573</v>
      </c>
      <c r="AE1048">
        <v>9</v>
      </c>
      <c r="AH1048">
        <v>20</v>
      </c>
      <c r="AI1048">
        <v>1</v>
      </c>
      <c r="AJ1048">
        <v>0</v>
      </c>
      <c r="AK1048">
        <v>135.94</v>
      </c>
      <c r="AN1048" t="s">
        <v>7138</v>
      </c>
      <c r="AO1048">
        <v>16000</v>
      </c>
      <c r="AU1048">
        <v>25.75</v>
      </c>
      <c r="AV1048" t="s">
        <v>526</v>
      </c>
      <c r="AW1048" t="s">
        <v>7364</v>
      </c>
    </row>
    <row r="1049" spans="1:49">
      <c r="A1049" s="1">
        <f>HYPERLINK("https://lsnyc.legalserver.org/matter/dynamic-profile/view/1898384","19-1898384")</f>
        <v>0</v>
      </c>
      <c r="B1049" t="s">
        <v>53</v>
      </c>
      <c r="C1049" t="s">
        <v>105</v>
      </c>
      <c r="D1049" t="s">
        <v>156</v>
      </c>
      <c r="F1049" t="s">
        <v>1258</v>
      </c>
      <c r="G1049" t="s">
        <v>2118</v>
      </c>
      <c r="H1049" t="s">
        <v>2565</v>
      </c>
      <c r="I1049" t="s">
        <v>3334</v>
      </c>
      <c r="J1049" t="s">
        <v>3604</v>
      </c>
      <c r="K1049">
        <v>10031</v>
      </c>
      <c r="L1049" t="s">
        <v>3610</v>
      </c>
      <c r="M1049" t="s">
        <v>3610</v>
      </c>
      <c r="O1049" t="s">
        <v>4211</v>
      </c>
      <c r="P1049" t="s">
        <v>4245</v>
      </c>
      <c r="R1049" t="s">
        <v>4258</v>
      </c>
      <c r="S1049" t="s">
        <v>3610</v>
      </c>
      <c r="U1049" t="s">
        <v>4268</v>
      </c>
      <c r="V1049" t="s">
        <v>4274</v>
      </c>
      <c r="W1049" t="s">
        <v>319</v>
      </c>
      <c r="X1049">
        <v>2100</v>
      </c>
      <c r="Y1049" t="s">
        <v>4351</v>
      </c>
      <c r="Z1049" t="s">
        <v>4361</v>
      </c>
      <c r="AB1049" t="s">
        <v>5214</v>
      </c>
      <c r="AD1049" t="s">
        <v>6574</v>
      </c>
      <c r="AE1049">
        <v>44</v>
      </c>
      <c r="AF1049" t="s">
        <v>7101</v>
      </c>
      <c r="AG1049" t="s">
        <v>7116</v>
      </c>
      <c r="AH1049">
        <v>40</v>
      </c>
      <c r="AI1049">
        <v>2</v>
      </c>
      <c r="AJ1049">
        <v>0</v>
      </c>
      <c r="AK1049">
        <v>136.01</v>
      </c>
      <c r="AN1049" t="s">
        <v>7138</v>
      </c>
      <c r="AO1049">
        <v>23000</v>
      </c>
      <c r="AU1049">
        <v>0.25</v>
      </c>
      <c r="AV1049" t="s">
        <v>7304</v>
      </c>
      <c r="AW1049" t="s">
        <v>7341</v>
      </c>
    </row>
    <row r="1050" spans="1:49">
      <c r="A1050" s="1">
        <f>HYPERLINK("https://lsnyc.legalserver.org/matter/dynamic-profile/view/1835055","17-1835055")</f>
        <v>0</v>
      </c>
      <c r="B1050" t="s">
        <v>51</v>
      </c>
      <c r="C1050" t="s">
        <v>104</v>
      </c>
      <c r="D1050" t="s">
        <v>545</v>
      </c>
      <c r="E1050" t="s">
        <v>293</v>
      </c>
      <c r="F1050" t="s">
        <v>784</v>
      </c>
      <c r="G1050" t="s">
        <v>887</v>
      </c>
      <c r="H1050" t="s">
        <v>2592</v>
      </c>
      <c r="I1050">
        <v>2004</v>
      </c>
      <c r="J1050" t="s">
        <v>3604</v>
      </c>
      <c r="K1050">
        <v>10029</v>
      </c>
      <c r="L1050" t="s">
        <v>3610</v>
      </c>
      <c r="M1050" t="s">
        <v>3610</v>
      </c>
      <c r="N1050" t="s">
        <v>3981</v>
      </c>
      <c r="O1050" t="s">
        <v>4209</v>
      </c>
      <c r="P1050" t="s">
        <v>4241</v>
      </c>
      <c r="Q1050" t="s">
        <v>4249</v>
      </c>
      <c r="R1050" t="s">
        <v>4258</v>
      </c>
      <c r="S1050" t="s">
        <v>3611</v>
      </c>
      <c r="U1050" t="s">
        <v>4268</v>
      </c>
      <c r="V1050" t="s">
        <v>4274</v>
      </c>
      <c r="W1050" t="s">
        <v>4283</v>
      </c>
      <c r="X1050">
        <v>1237</v>
      </c>
      <c r="Y1050" t="s">
        <v>4351</v>
      </c>
      <c r="Z1050" t="s">
        <v>4361</v>
      </c>
      <c r="AA1050" t="s">
        <v>4377</v>
      </c>
      <c r="AB1050" t="s">
        <v>5215</v>
      </c>
      <c r="AD1050" t="s">
        <v>6575</v>
      </c>
      <c r="AE1050">
        <v>426</v>
      </c>
      <c r="AF1050" t="s">
        <v>7102</v>
      </c>
      <c r="AG1050" t="s">
        <v>3745</v>
      </c>
      <c r="AH1050">
        <v>4</v>
      </c>
      <c r="AI1050">
        <v>1</v>
      </c>
      <c r="AJ1050">
        <v>1</v>
      </c>
      <c r="AK1050">
        <v>136.33</v>
      </c>
      <c r="AN1050" t="s">
        <v>7138</v>
      </c>
      <c r="AO1050">
        <v>22140</v>
      </c>
      <c r="AU1050">
        <v>6</v>
      </c>
      <c r="AV1050" t="s">
        <v>496</v>
      </c>
      <c r="AW1050" t="s">
        <v>7341</v>
      </c>
    </row>
    <row r="1051" spans="1:49">
      <c r="A1051" s="1">
        <f>HYPERLINK("https://lsnyc.legalserver.org/matter/dynamic-profile/view/0823982","17-0823982")</f>
        <v>0</v>
      </c>
      <c r="B1051" t="s">
        <v>66</v>
      </c>
      <c r="C1051" t="s">
        <v>105</v>
      </c>
      <c r="D1051" t="s">
        <v>565</v>
      </c>
      <c r="F1051" t="s">
        <v>1259</v>
      </c>
      <c r="G1051" t="s">
        <v>2119</v>
      </c>
      <c r="H1051" t="s">
        <v>2997</v>
      </c>
      <c r="I1051" t="s">
        <v>3496</v>
      </c>
      <c r="J1051" t="s">
        <v>3604</v>
      </c>
      <c r="K1051">
        <v>10028</v>
      </c>
      <c r="L1051" t="s">
        <v>3610</v>
      </c>
      <c r="M1051" t="s">
        <v>3609</v>
      </c>
      <c r="O1051" t="s">
        <v>4210</v>
      </c>
      <c r="P1051" t="s">
        <v>4241</v>
      </c>
      <c r="R1051" t="s">
        <v>4258</v>
      </c>
      <c r="S1051" t="s">
        <v>3611</v>
      </c>
      <c r="U1051" t="s">
        <v>4268</v>
      </c>
      <c r="W1051" t="s">
        <v>473</v>
      </c>
      <c r="X1051">
        <v>1850</v>
      </c>
      <c r="Y1051" t="s">
        <v>4351</v>
      </c>
      <c r="Z1051" t="s">
        <v>4354</v>
      </c>
      <c r="AB1051" t="s">
        <v>5216</v>
      </c>
      <c r="AD1051" t="s">
        <v>6576</v>
      </c>
      <c r="AE1051">
        <v>0</v>
      </c>
      <c r="AF1051" t="s">
        <v>7101</v>
      </c>
      <c r="AG1051" t="s">
        <v>3745</v>
      </c>
      <c r="AH1051">
        <v>27</v>
      </c>
      <c r="AI1051">
        <v>1</v>
      </c>
      <c r="AJ1051">
        <v>0</v>
      </c>
      <c r="AK1051">
        <v>136.46</v>
      </c>
      <c r="AN1051" t="s">
        <v>7138</v>
      </c>
      <c r="AO1051">
        <v>16212</v>
      </c>
      <c r="AU1051">
        <v>55</v>
      </c>
      <c r="AV1051" t="s">
        <v>659</v>
      </c>
      <c r="AW1051" t="s">
        <v>7345</v>
      </c>
    </row>
    <row r="1052" spans="1:49">
      <c r="A1052" s="1">
        <f>HYPERLINK("https://lsnyc.legalserver.org/matter/dynamic-profile/view/1855152","18-1855152")</f>
        <v>0</v>
      </c>
      <c r="B1052" t="s">
        <v>61</v>
      </c>
      <c r="C1052" t="s">
        <v>105</v>
      </c>
      <c r="D1052" t="s">
        <v>221</v>
      </c>
      <c r="F1052" t="s">
        <v>1049</v>
      </c>
      <c r="G1052" t="s">
        <v>1935</v>
      </c>
      <c r="H1052" t="s">
        <v>2807</v>
      </c>
      <c r="I1052" t="s">
        <v>3325</v>
      </c>
      <c r="J1052" t="s">
        <v>3604</v>
      </c>
      <c r="K1052">
        <v>10034</v>
      </c>
      <c r="L1052" t="s">
        <v>3610</v>
      </c>
      <c r="M1052" t="s">
        <v>3609</v>
      </c>
      <c r="N1052" t="s">
        <v>3982</v>
      </c>
      <c r="O1052" t="s">
        <v>4219</v>
      </c>
      <c r="P1052" t="s">
        <v>4241</v>
      </c>
      <c r="R1052" t="s">
        <v>4258</v>
      </c>
      <c r="S1052" t="s">
        <v>3611</v>
      </c>
      <c r="U1052" t="s">
        <v>4268</v>
      </c>
      <c r="W1052" t="s">
        <v>221</v>
      </c>
      <c r="X1052">
        <v>2300</v>
      </c>
      <c r="Y1052" t="s">
        <v>4351</v>
      </c>
      <c r="Z1052" t="s">
        <v>4357</v>
      </c>
      <c r="AB1052" t="s">
        <v>4871</v>
      </c>
      <c r="AD1052" t="s">
        <v>6255</v>
      </c>
      <c r="AE1052">
        <v>22</v>
      </c>
      <c r="AF1052" t="s">
        <v>7101</v>
      </c>
      <c r="AG1052" t="s">
        <v>7118</v>
      </c>
      <c r="AH1052">
        <v>11</v>
      </c>
      <c r="AI1052">
        <v>1</v>
      </c>
      <c r="AJ1052">
        <v>1</v>
      </c>
      <c r="AK1052">
        <v>136.55</v>
      </c>
      <c r="AN1052" t="s">
        <v>7138</v>
      </c>
      <c r="AO1052">
        <v>22176</v>
      </c>
      <c r="AU1052">
        <v>86.59999999999999</v>
      </c>
      <c r="AV1052" t="s">
        <v>340</v>
      </c>
      <c r="AW1052" t="s">
        <v>7342</v>
      </c>
    </row>
    <row r="1053" spans="1:49">
      <c r="A1053" s="1">
        <f>HYPERLINK("https://lsnyc.legalserver.org/matter/dynamic-profile/view/1885279","18-1885279")</f>
        <v>0</v>
      </c>
      <c r="B1053" t="s">
        <v>53</v>
      </c>
      <c r="C1053" t="s">
        <v>105</v>
      </c>
      <c r="D1053" t="s">
        <v>485</v>
      </c>
      <c r="F1053" t="s">
        <v>1260</v>
      </c>
      <c r="G1053" t="s">
        <v>2120</v>
      </c>
      <c r="H1053" t="s">
        <v>2998</v>
      </c>
      <c r="I1053">
        <v>3</v>
      </c>
      <c r="J1053" t="s">
        <v>3604</v>
      </c>
      <c r="K1053">
        <v>10029</v>
      </c>
      <c r="L1053" t="s">
        <v>3610</v>
      </c>
      <c r="M1053" t="s">
        <v>3610</v>
      </c>
      <c r="N1053" t="s">
        <v>3983</v>
      </c>
      <c r="O1053" t="s">
        <v>4213</v>
      </c>
      <c r="P1053" t="s">
        <v>4241</v>
      </c>
      <c r="R1053" t="s">
        <v>4258</v>
      </c>
      <c r="S1053" t="s">
        <v>3610</v>
      </c>
      <c r="U1053" t="s">
        <v>4268</v>
      </c>
      <c r="V1053" t="s">
        <v>4274</v>
      </c>
      <c r="W1053" t="s">
        <v>485</v>
      </c>
      <c r="X1053">
        <v>1542</v>
      </c>
      <c r="Y1053" t="s">
        <v>4351</v>
      </c>
      <c r="Z1053" t="s">
        <v>4352</v>
      </c>
      <c r="AB1053" t="s">
        <v>5217</v>
      </c>
      <c r="AD1053" t="s">
        <v>6577</v>
      </c>
      <c r="AE1053">
        <v>6</v>
      </c>
      <c r="AF1053" t="s">
        <v>7101</v>
      </c>
      <c r="AG1053" t="s">
        <v>3745</v>
      </c>
      <c r="AH1053">
        <v>10</v>
      </c>
      <c r="AI1053">
        <v>3</v>
      </c>
      <c r="AJ1053">
        <v>2</v>
      </c>
      <c r="AK1053">
        <v>136.98</v>
      </c>
      <c r="AN1053" t="s">
        <v>7138</v>
      </c>
      <c r="AO1053">
        <v>40300</v>
      </c>
      <c r="AU1053">
        <v>2</v>
      </c>
      <c r="AV1053" t="s">
        <v>689</v>
      </c>
      <c r="AW1053" t="s">
        <v>7341</v>
      </c>
    </row>
    <row r="1054" spans="1:49">
      <c r="A1054" s="1">
        <f>HYPERLINK("https://lsnyc.legalserver.org/matter/dynamic-profile/view/1870631","18-1870631")</f>
        <v>0</v>
      </c>
      <c r="B1054" t="s">
        <v>53</v>
      </c>
      <c r="C1054" t="s">
        <v>104</v>
      </c>
      <c r="D1054" t="s">
        <v>566</v>
      </c>
      <c r="E1054" t="s">
        <v>335</v>
      </c>
      <c r="F1054" t="s">
        <v>790</v>
      </c>
      <c r="G1054" t="s">
        <v>2121</v>
      </c>
      <c r="H1054" t="s">
        <v>2550</v>
      </c>
      <c r="I1054">
        <v>510</v>
      </c>
      <c r="J1054" t="s">
        <v>3604</v>
      </c>
      <c r="K1054">
        <v>10035</v>
      </c>
      <c r="L1054" t="s">
        <v>3610</v>
      </c>
      <c r="M1054" t="s">
        <v>3610</v>
      </c>
      <c r="N1054" t="s">
        <v>3984</v>
      </c>
      <c r="O1054" t="s">
        <v>4209</v>
      </c>
      <c r="P1054" t="s">
        <v>4241</v>
      </c>
      <c r="Q1054" t="s">
        <v>4248</v>
      </c>
      <c r="R1054" t="s">
        <v>4258</v>
      </c>
      <c r="S1054" t="s">
        <v>3611</v>
      </c>
      <c r="U1054" t="s">
        <v>4268</v>
      </c>
      <c r="V1054" t="s">
        <v>4277</v>
      </c>
      <c r="W1054" t="s">
        <v>566</v>
      </c>
      <c r="X1054">
        <v>1361</v>
      </c>
      <c r="Y1054" t="s">
        <v>4351</v>
      </c>
      <c r="Z1054" t="s">
        <v>4354</v>
      </c>
      <c r="AA1054" t="s">
        <v>4374</v>
      </c>
      <c r="AB1054" t="s">
        <v>4498</v>
      </c>
      <c r="AD1054" t="s">
        <v>5928</v>
      </c>
      <c r="AE1054">
        <v>87</v>
      </c>
      <c r="AF1054" t="s">
        <v>7101</v>
      </c>
      <c r="AG1054" t="s">
        <v>7116</v>
      </c>
      <c r="AH1054">
        <v>3</v>
      </c>
      <c r="AI1054">
        <v>2</v>
      </c>
      <c r="AJ1054">
        <v>0</v>
      </c>
      <c r="AK1054">
        <v>137.18</v>
      </c>
      <c r="AN1054" t="s">
        <v>7138</v>
      </c>
      <c r="AO1054">
        <v>22580</v>
      </c>
      <c r="AR1054" t="s">
        <v>7205</v>
      </c>
      <c r="AS1054" t="s">
        <v>7231</v>
      </c>
      <c r="AT1054" t="s">
        <v>7240</v>
      </c>
      <c r="AU1054">
        <v>16.15</v>
      </c>
      <c r="AV1054" t="s">
        <v>342</v>
      </c>
      <c r="AW1054" t="s">
        <v>7341</v>
      </c>
    </row>
    <row r="1055" spans="1:49">
      <c r="A1055" s="1">
        <f>HYPERLINK("https://lsnyc.legalserver.org/matter/dynamic-profile/view/0820182","16-0820182")</f>
        <v>0</v>
      </c>
      <c r="B1055" t="s">
        <v>64</v>
      </c>
      <c r="C1055" t="s">
        <v>104</v>
      </c>
      <c r="D1055" t="s">
        <v>361</v>
      </c>
      <c r="E1055" t="s">
        <v>169</v>
      </c>
      <c r="F1055" t="s">
        <v>982</v>
      </c>
      <c r="G1055" t="s">
        <v>2122</v>
      </c>
      <c r="H1055" t="s">
        <v>2730</v>
      </c>
      <c r="I1055" t="s">
        <v>3316</v>
      </c>
      <c r="J1055" t="s">
        <v>3604</v>
      </c>
      <c r="K1055">
        <v>10034</v>
      </c>
      <c r="L1055" t="s">
        <v>3610</v>
      </c>
      <c r="M1055" t="s">
        <v>3609</v>
      </c>
      <c r="N1055" t="s">
        <v>3896</v>
      </c>
      <c r="O1055" t="s">
        <v>4213</v>
      </c>
      <c r="P1055" t="s">
        <v>4241</v>
      </c>
      <c r="Q1055" t="s">
        <v>4248</v>
      </c>
      <c r="R1055" t="s">
        <v>4258</v>
      </c>
      <c r="S1055" t="s">
        <v>3610</v>
      </c>
      <c r="U1055" t="s">
        <v>4268</v>
      </c>
      <c r="W1055" t="s">
        <v>4333</v>
      </c>
      <c r="X1055">
        <v>1565</v>
      </c>
      <c r="Y1055" t="s">
        <v>4351</v>
      </c>
      <c r="Z1055" t="s">
        <v>4352</v>
      </c>
      <c r="AA1055" t="s">
        <v>4379</v>
      </c>
      <c r="AB1055" t="s">
        <v>5218</v>
      </c>
      <c r="AD1055" t="s">
        <v>6578</v>
      </c>
      <c r="AE1055">
        <v>65</v>
      </c>
      <c r="AF1055" t="s">
        <v>7101</v>
      </c>
      <c r="AG1055" t="s">
        <v>3745</v>
      </c>
      <c r="AH1055">
        <v>10</v>
      </c>
      <c r="AI1055">
        <v>2</v>
      </c>
      <c r="AJ1055">
        <v>0</v>
      </c>
      <c r="AK1055">
        <v>137.3</v>
      </c>
      <c r="AN1055" t="s">
        <v>7139</v>
      </c>
      <c r="AO1055">
        <v>21996</v>
      </c>
      <c r="AU1055">
        <v>32.35</v>
      </c>
      <c r="AV1055" t="s">
        <v>287</v>
      </c>
      <c r="AW1055" t="s">
        <v>7341</v>
      </c>
    </row>
    <row r="1056" spans="1:49">
      <c r="A1056" s="1">
        <f>HYPERLINK("https://lsnyc.legalserver.org/matter/dynamic-profile/view/1891213","19-1891213")</f>
        <v>0</v>
      </c>
      <c r="B1056" t="s">
        <v>63</v>
      </c>
      <c r="C1056" t="s">
        <v>104</v>
      </c>
      <c r="D1056" t="s">
        <v>567</v>
      </c>
      <c r="E1056" t="s">
        <v>681</v>
      </c>
      <c r="F1056" t="s">
        <v>1261</v>
      </c>
      <c r="G1056" t="s">
        <v>1754</v>
      </c>
      <c r="H1056" t="s">
        <v>2999</v>
      </c>
      <c r="I1056" t="s">
        <v>3304</v>
      </c>
      <c r="J1056" t="s">
        <v>3604</v>
      </c>
      <c r="K1056">
        <v>10034</v>
      </c>
      <c r="L1056" t="s">
        <v>3610</v>
      </c>
      <c r="M1056" t="s">
        <v>3610</v>
      </c>
      <c r="P1056" t="s">
        <v>4242</v>
      </c>
      <c r="Q1056" t="s">
        <v>4250</v>
      </c>
      <c r="R1056" t="s">
        <v>4258</v>
      </c>
      <c r="S1056" t="s">
        <v>3611</v>
      </c>
      <c r="U1056" t="s">
        <v>4268</v>
      </c>
      <c r="W1056" t="s">
        <v>567</v>
      </c>
      <c r="X1056">
        <v>1281.5</v>
      </c>
      <c r="Y1056" t="s">
        <v>4351</v>
      </c>
      <c r="Z1056" t="s">
        <v>4354</v>
      </c>
      <c r="AA1056" t="s">
        <v>4373</v>
      </c>
      <c r="AB1056" t="s">
        <v>5219</v>
      </c>
      <c r="AD1056" t="s">
        <v>6579</v>
      </c>
      <c r="AE1056">
        <v>0</v>
      </c>
      <c r="AF1056" t="s">
        <v>7101</v>
      </c>
      <c r="AG1056" t="s">
        <v>7118</v>
      </c>
      <c r="AH1056">
        <v>10</v>
      </c>
      <c r="AI1056">
        <v>1</v>
      </c>
      <c r="AJ1056">
        <v>0</v>
      </c>
      <c r="AK1056">
        <v>137.39</v>
      </c>
      <c r="AN1056" t="s">
        <v>7138</v>
      </c>
      <c r="AO1056">
        <v>17160</v>
      </c>
      <c r="AU1056">
        <v>0.2</v>
      </c>
      <c r="AV1056" t="s">
        <v>681</v>
      </c>
      <c r="AW1056" t="s">
        <v>7342</v>
      </c>
    </row>
    <row r="1057" spans="1:50">
      <c r="A1057" s="1">
        <f>HYPERLINK("https://lsnyc.legalserver.org/matter/dynamic-profile/view/1874460","18-1874460")</f>
        <v>0</v>
      </c>
      <c r="B1057" t="s">
        <v>73</v>
      </c>
      <c r="C1057" t="s">
        <v>104</v>
      </c>
      <c r="D1057" t="s">
        <v>393</v>
      </c>
      <c r="E1057" t="s">
        <v>204</v>
      </c>
      <c r="F1057" t="s">
        <v>1262</v>
      </c>
      <c r="G1057" t="s">
        <v>2123</v>
      </c>
      <c r="H1057" t="s">
        <v>2616</v>
      </c>
      <c r="I1057" t="s">
        <v>3331</v>
      </c>
      <c r="J1057" t="s">
        <v>3604</v>
      </c>
      <c r="K1057">
        <v>10033</v>
      </c>
      <c r="L1057" t="s">
        <v>3610</v>
      </c>
      <c r="M1057" t="s">
        <v>3610</v>
      </c>
      <c r="O1057" t="s">
        <v>4211</v>
      </c>
      <c r="P1057" t="s">
        <v>4242</v>
      </c>
      <c r="Q1057" t="s">
        <v>4250</v>
      </c>
      <c r="R1057" t="s">
        <v>4258</v>
      </c>
      <c r="S1057" t="s">
        <v>3611</v>
      </c>
      <c r="U1057" t="s">
        <v>4268</v>
      </c>
      <c r="W1057" t="s">
        <v>393</v>
      </c>
      <c r="X1057">
        <v>934.15</v>
      </c>
      <c r="Y1057" t="s">
        <v>4351</v>
      </c>
      <c r="Z1057" t="s">
        <v>4354</v>
      </c>
      <c r="AA1057" t="s">
        <v>4373</v>
      </c>
      <c r="AB1057" t="s">
        <v>5220</v>
      </c>
      <c r="AD1057" t="s">
        <v>6580</v>
      </c>
      <c r="AE1057">
        <v>39</v>
      </c>
      <c r="AF1057" t="s">
        <v>7101</v>
      </c>
      <c r="AG1057" t="s">
        <v>3745</v>
      </c>
      <c r="AH1057">
        <v>6</v>
      </c>
      <c r="AI1057">
        <v>1</v>
      </c>
      <c r="AJ1057">
        <v>0</v>
      </c>
      <c r="AK1057">
        <v>137.4</v>
      </c>
      <c r="AN1057" t="s">
        <v>7139</v>
      </c>
      <c r="AO1057">
        <v>16680</v>
      </c>
      <c r="AU1057">
        <v>4.4</v>
      </c>
      <c r="AV1057" t="s">
        <v>600</v>
      </c>
      <c r="AW1057" t="s">
        <v>7342</v>
      </c>
    </row>
    <row r="1058" spans="1:50">
      <c r="A1058" s="1">
        <f>HYPERLINK("https://lsnyc.legalserver.org/matter/dynamic-profile/view/1840077","17-1840077")</f>
        <v>0</v>
      </c>
      <c r="B1058" t="s">
        <v>53</v>
      </c>
      <c r="C1058" t="s">
        <v>104</v>
      </c>
      <c r="D1058" t="s">
        <v>498</v>
      </c>
      <c r="E1058" t="s">
        <v>488</v>
      </c>
      <c r="F1058" t="s">
        <v>727</v>
      </c>
      <c r="G1058" t="s">
        <v>1694</v>
      </c>
      <c r="H1058" t="s">
        <v>2833</v>
      </c>
      <c r="I1058">
        <v>47</v>
      </c>
      <c r="J1058" t="s">
        <v>3604</v>
      </c>
      <c r="K1058">
        <v>10040</v>
      </c>
      <c r="L1058" t="s">
        <v>3610</v>
      </c>
      <c r="M1058" t="s">
        <v>3609</v>
      </c>
      <c r="N1058" t="s">
        <v>3883</v>
      </c>
      <c r="O1058" t="s">
        <v>4213</v>
      </c>
      <c r="P1058" t="s">
        <v>4241</v>
      </c>
      <c r="Q1058" t="s">
        <v>4248</v>
      </c>
      <c r="R1058" t="s">
        <v>4258</v>
      </c>
      <c r="S1058" t="s">
        <v>3610</v>
      </c>
      <c r="U1058" t="s">
        <v>4268</v>
      </c>
      <c r="W1058" t="s">
        <v>379</v>
      </c>
      <c r="X1058">
        <v>1303.4</v>
      </c>
      <c r="Y1058" t="s">
        <v>4351</v>
      </c>
      <c r="Z1058" t="s">
        <v>4352</v>
      </c>
      <c r="AA1058" t="s">
        <v>4379</v>
      </c>
      <c r="AB1058" t="s">
        <v>5221</v>
      </c>
      <c r="AD1058" t="s">
        <v>6581</v>
      </c>
      <c r="AE1058">
        <v>45</v>
      </c>
      <c r="AF1058" t="s">
        <v>7101</v>
      </c>
      <c r="AG1058" t="s">
        <v>3745</v>
      </c>
      <c r="AH1058">
        <v>25</v>
      </c>
      <c r="AI1058">
        <v>4</v>
      </c>
      <c r="AJ1058">
        <v>1</v>
      </c>
      <c r="AK1058">
        <v>137.6</v>
      </c>
      <c r="AL1058" t="s">
        <v>183</v>
      </c>
      <c r="AN1058" t="s">
        <v>7139</v>
      </c>
      <c r="AO1058">
        <v>39600</v>
      </c>
      <c r="AQ1058" t="s">
        <v>7197</v>
      </c>
      <c r="AR1058" t="s">
        <v>7220</v>
      </c>
      <c r="AS1058" t="s">
        <v>7231</v>
      </c>
      <c r="AT1058" t="s">
        <v>7260</v>
      </c>
      <c r="AU1058">
        <v>14.55</v>
      </c>
      <c r="AV1058" t="s">
        <v>488</v>
      </c>
      <c r="AW1058" t="s">
        <v>7342</v>
      </c>
    </row>
    <row r="1059" spans="1:50">
      <c r="A1059" s="1">
        <f>HYPERLINK("https://lsnyc.legalserver.org/matter/dynamic-profile/view/1901242","19-1901242")</f>
        <v>0</v>
      </c>
      <c r="B1059" t="s">
        <v>98</v>
      </c>
      <c r="C1059" t="s">
        <v>104</v>
      </c>
      <c r="D1059" t="s">
        <v>426</v>
      </c>
      <c r="E1059" t="s">
        <v>396</v>
      </c>
      <c r="F1059" t="s">
        <v>977</v>
      </c>
      <c r="G1059" t="s">
        <v>1884</v>
      </c>
      <c r="H1059" t="s">
        <v>3000</v>
      </c>
      <c r="I1059" t="s">
        <v>3405</v>
      </c>
      <c r="J1059" t="s">
        <v>3604</v>
      </c>
      <c r="K1059">
        <v>10033</v>
      </c>
      <c r="L1059" t="s">
        <v>3610</v>
      </c>
      <c r="M1059" t="s">
        <v>3609</v>
      </c>
      <c r="N1059" t="s">
        <v>3985</v>
      </c>
      <c r="O1059" t="s">
        <v>4209</v>
      </c>
      <c r="P1059" t="s">
        <v>4242</v>
      </c>
      <c r="Q1059" t="s">
        <v>4250</v>
      </c>
      <c r="R1059" t="s">
        <v>4258</v>
      </c>
      <c r="S1059" t="s">
        <v>3611</v>
      </c>
      <c r="U1059" t="s">
        <v>4268</v>
      </c>
      <c r="V1059" t="s">
        <v>4274</v>
      </c>
      <c r="W1059" t="s">
        <v>426</v>
      </c>
      <c r="X1059">
        <v>1807.17</v>
      </c>
      <c r="Y1059" t="s">
        <v>4351</v>
      </c>
      <c r="Z1059" t="s">
        <v>4353</v>
      </c>
      <c r="AA1059" t="s">
        <v>4373</v>
      </c>
      <c r="AB1059" t="s">
        <v>5222</v>
      </c>
      <c r="AC1059" t="s">
        <v>5835</v>
      </c>
      <c r="AD1059" t="s">
        <v>6582</v>
      </c>
      <c r="AE1059">
        <v>0</v>
      </c>
      <c r="AF1059" t="s">
        <v>7101</v>
      </c>
      <c r="AG1059" t="s">
        <v>3745</v>
      </c>
      <c r="AH1059">
        <v>6</v>
      </c>
      <c r="AI1059">
        <v>2</v>
      </c>
      <c r="AJ1059">
        <v>0</v>
      </c>
      <c r="AK1059">
        <v>138.38</v>
      </c>
      <c r="AN1059" t="s">
        <v>7139</v>
      </c>
      <c r="AO1059">
        <v>23400</v>
      </c>
      <c r="AU1059">
        <v>1.4</v>
      </c>
      <c r="AV1059" t="s">
        <v>512</v>
      </c>
      <c r="AW1059" t="s">
        <v>7347</v>
      </c>
      <c r="AX1059" t="s">
        <v>7378</v>
      </c>
    </row>
    <row r="1060" spans="1:50">
      <c r="A1060" s="1">
        <f>HYPERLINK("https://lsnyc.legalserver.org/matter/dynamic-profile/view/1836770","17-1836770")</f>
        <v>0</v>
      </c>
      <c r="B1060" t="s">
        <v>64</v>
      </c>
      <c r="C1060" t="s">
        <v>105</v>
      </c>
      <c r="D1060" t="s">
        <v>524</v>
      </c>
      <c r="F1060" t="s">
        <v>978</v>
      </c>
      <c r="G1060" t="s">
        <v>2124</v>
      </c>
      <c r="H1060" t="s">
        <v>2642</v>
      </c>
      <c r="I1060" t="s">
        <v>3497</v>
      </c>
      <c r="J1060" t="s">
        <v>3604</v>
      </c>
      <c r="K1060">
        <v>10034</v>
      </c>
      <c r="L1060" t="s">
        <v>3610</v>
      </c>
      <c r="M1060" t="s">
        <v>3609</v>
      </c>
      <c r="O1060" t="s">
        <v>4213</v>
      </c>
      <c r="P1060" t="s">
        <v>4241</v>
      </c>
      <c r="R1060" t="s">
        <v>4258</v>
      </c>
      <c r="S1060" t="s">
        <v>3610</v>
      </c>
      <c r="U1060" t="s">
        <v>4268</v>
      </c>
      <c r="W1060" t="s">
        <v>4282</v>
      </c>
      <c r="X1060">
        <v>940</v>
      </c>
      <c r="Y1060" t="s">
        <v>4351</v>
      </c>
      <c r="Z1060" t="s">
        <v>4352</v>
      </c>
      <c r="AB1060" t="s">
        <v>5223</v>
      </c>
      <c r="AD1060" t="s">
        <v>6583</v>
      </c>
      <c r="AE1060">
        <v>0</v>
      </c>
      <c r="AF1060" t="s">
        <v>7101</v>
      </c>
      <c r="AG1060" t="s">
        <v>3745</v>
      </c>
      <c r="AH1060">
        <v>16</v>
      </c>
      <c r="AI1060">
        <v>2</v>
      </c>
      <c r="AJ1060">
        <v>1</v>
      </c>
      <c r="AK1060">
        <v>138.49</v>
      </c>
      <c r="AN1060" t="s">
        <v>7139</v>
      </c>
      <c r="AO1060">
        <v>28280</v>
      </c>
      <c r="AU1060">
        <v>126.25</v>
      </c>
      <c r="AV1060" t="s">
        <v>335</v>
      </c>
      <c r="AW1060" t="s">
        <v>7341</v>
      </c>
    </row>
    <row r="1061" spans="1:50">
      <c r="A1061" s="1">
        <f>HYPERLINK("https://lsnyc.legalserver.org/matter/dynamic-profile/view/1861515","18-1861515")</f>
        <v>0</v>
      </c>
      <c r="B1061" t="s">
        <v>57</v>
      </c>
      <c r="C1061" t="s">
        <v>104</v>
      </c>
      <c r="D1061" t="s">
        <v>397</v>
      </c>
      <c r="E1061" t="s">
        <v>329</v>
      </c>
      <c r="F1061" t="s">
        <v>727</v>
      </c>
      <c r="G1061" t="s">
        <v>2125</v>
      </c>
      <c r="H1061" t="s">
        <v>3001</v>
      </c>
      <c r="I1061" t="s">
        <v>3285</v>
      </c>
      <c r="J1061" t="s">
        <v>3604</v>
      </c>
      <c r="K1061">
        <v>10035</v>
      </c>
      <c r="L1061" t="s">
        <v>3610</v>
      </c>
      <c r="M1061" t="s">
        <v>3610</v>
      </c>
      <c r="O1061" t="s">
        <v>4217</v>
      </c>
      <c r="P1061" t="s">
        <v>4245</v>
      </c>
      <c r="Q1061" t="s">
        <v>4249</v>
      </c>
      <c r="R1061" t="s">
        <v>4258</v>
      </c>
      <c r="S1061" t="s">
        <v>3611</v>
      </c>
      <c r="U1061" t="s">
        <v>4268</v>
      </c>
      <c r="V1061" t="s">
        <v>4274</v>
      </c>
      <c r="W1061" t="s">
        <v>397</v>
      </c>
      <c r="X1061">
        <v>1063</v>
      </c>
      <c r="Y1061" t="s">
        <v>4351</v>
      </c>
      <c r="Z1061" t="s">
        <v>4357</v>
      </c>
      <c r="AA1061" t="s">
        <v>4384</v>
      </c>
      <c r="AB1061" t="s">
        <v>5224</v>
      </c>
      <c r="AD1061" t="s">
        <v>6584</v>
      </c>
      <c r="AE1061">
        <v>16</v>
      </c>
      <c r="AF1061" t="s">
        <v>7101</v>
      </c>
      <c r="AG1061" t="s">
        <v>3745</v>
      </c>
      <c r="AH1061">
        <v>24</v>
      </c>
      <c r="AI1061">
        <v>2</v>
      </c>
      <c r="AJ1061">
        <v>0</v>
      </c>
      <c r="AK1061">
        <v>138.74</v>
      </c>
      <c r="AN1061" t="s">
        <v>7138</v>
      </c>
      <c r="AO1061">
        <v>30406.8</v>
      </c>
      <c r="AU1061">
        <v>1.75</v>
      </c>
      <c r="AV1061" t="s">
        <v>302</v>
      </c>
      <c r="AW1061" t="s">
        <v>7341</v>
      </c>
    </row>
    <row r="1062" spans="1:50">
      <c r="A1062" s="1">
        <f>HYPERLINK("https://lsnyc.legalserver.org/matter/dynamic-profile/view/1847161","17-1847161")</f>
        <v>0</v>
      </c>
      <c r="B1062" t="s">
        <v>53</v>
      </c>
      <c r="C1062" t="s">
        <v>105</v>
      </c>
      <c r="D1062" t="s">
        <v>265</v>
      </c>
      <c r="F1062" t="s">
        <v>1263</v>
      </c>
      <c r="G1062" t="s">
        <v>1599</v>
      </c>
      <c r="H1062" t="s">
        <v>2734</v>
      </c>
      <c r="I1062" t="s">
        <v>3406</v>
      </c>
      <c r="J1062" t="s">
        <v>3604</v>
      </c>
      <c r="K1062">
        <v>10040</v>
      </c>
      <c r="L1062" t="s">
        <v>3610</v>
      </c>
      <c r="M1062" t="s">
        <v>3609</v>
      </c>
      <c r="N1062" t="s">
        <v>3986</v>
      </c>
      <c r="O1062" t="s">
        <v>4220</v>
      </c>
      <c r="P1062" t="s">
        <v>4244</v>
      </c>
      <c r="R1062" t="s">
        <v>4258</v>
      </c>
      <c r="S1062" t="s">
        <v>3611</v>
      </c>
      <c r="U1062" t="s">
        <v>4268</v>
      </c>
      <c r="W1062" t="s">
        <v>265</v>
      </c>
      <c r="X1062">
        <v>1323</v>
      </c>
      <c r="Y1062" t="s">
        <v>4351</v>
      </c>
      <c r="Z1062" t="s">
        <v>4357</v>
      </c>
      <c r="AB1062" t="s">
        <v>5225</v>
      </c>
      <c r="AD1062" t="s">
        <v>6585</v>
      </c>
      <c r="AE1062">
        <v>43</v>
      </c>
      <c r="AF1062" t="s">
        <v>7101</v>
      </c>
      <c r="AG1062" t="s">
        <v>7116</v>
      </c>
      <c r="AH1062">
        <v>11</v>
      </c>
      <c r="AI1062">
        <v>1</v>
      </c>
      <c r="AJ1062">
        <v>0</v>
      </c>
      <c r="AK1062">
        <v>138.81</v>
      </c>
      <c r="AL1062" t="s">
        <v>7125</v>
      </c>
      <c r="AN1062" t="s">
        <v>7138</v>
      </c>
      <c r="AO1062">
        <v>16740</v>
      </c>
      <c r="AU1062">
        <v>1.61</v>
      </c>
      <c r="AV1062" t="s">
        <v>153</v>
      </c>
      <c r="AW1062" t="s">
        <v>7342</v>
      </c>
    </row>
    <row r="1063" spans="1:50">
      <c r="A1063" s="1">
        <f>HYPERLINK("https://lsnyc.legalserver.org/matter/dynamic-profile/view/0831337","17-0831337")</f>
        <v>0</v>
      </c>
      <c r="B1063" t="s">
        <v>63</v>
      </c>
      <c r="C1063" t="s">
        <v>105</v>
      </c>
      <c r="D1063" t="s">
        <v>568</v>
      </c>
      <c r="F1063" t="s">
        <v>1263</v>
      </c>
      <c r="G1063" t="s">
        <v>1599</v>
      </c>
      <c r="H1063" t="s">
        <v>2734</v>
      </c>
      <c r="I1063" t="s">
        <v>3406</v>
      </c>
      <c r="J1063" t="s">
        <v>3604</v>
      </c>
      <c r="K1063">
        <v>10040</v>
      </c>
      <c r="L1063" t="s">
        <v>3610</v>
      </c>
      <c r="M1063" t="s">
        <v>3609</v>
      </c>
      <c r="P1063" t="s">
        <v>4244</v>
      </c>
      <c r="R1063" t="s">
        <v>4258</v>
      </c>
      <c r="S1063" t="s">
        <v>3611</v>
      </c>
      <c r="U1063" t="s">
        <v>4268</v>
      </c>
      <c r="W1063" t="s">
        <v>4282</v>
      </c>
      <c r="X1063">
        <v>1323</v>
      </c>
      <c r="Y1063" t="s">
        <v>4351</v>
      </c>
      <c r="Z1063" t="s">
        <v>4356</v>
      </c>
      <c r="AB1063" t="s">
        <v>5225</v>
      </c>
      <c r="AD1063" t="s">
        <v>6585</v>
      </c>
      <c r="AE1063">
        <v>43</v>
      </c>
      <c r="AG1063" t="s">
        <v>7116</v>
      </c>
      <c r="AH1063">
        <v>11</v>
      </c>
      <c r="AI1063">
        <v>1</v>
      </c>
      <c r="AJ1063">
        <v>0</v>
      </c>
      <c r="AK1063">
        <v>138.81</v>
      </c>
      <c r="AL1063" t="s">
        <v>7125</v>
      </c>
      <c r="AN1063" t="s">
        <v>7138</v>
      </c>
      <c r="AO1063">
        <v>16740</v>
      </c>
      <c r="AU1063">
        <v>1.2</v>
      </c>
      <c r="AV1063" t="s">
        <v>7299</v>
      </c>
      <c r="AW1063" t="s">
        <v>63</v>
      </c>
    </row>
    <row r="1064" spans="1:50">
      <c r="A1064" s="1">
        <f>HYPERLINK("https://lsnyc.legalserver.org/matter/dynamic-profile/view/1890794","19-1890794")</f>
        <v>0</v>
      </c>
      <c r="B1064" t="s">
        <v>52</v>
      </c>
      <c r="C1064" t="s">
        <v>105</v>
      </c>
      <c r="D1064" t="s">
        <v>569</v>
      </c>
      <c r="F1064" t="s">
        <v>1264</v>
      </c>
      <c r="G1064" t="s">
        <v>1735</v>
      </c>
      <c r="H1064" t="s">
        <v>2657</v>
      </c>
      <c r="I1064" t="s">
        <v>3397</v>
      </c>
      <c r="J1064" t="s">
        <v>3604</v>
      </c>
      <c r="K1064">
        <v>10032</v>
      </c>
      <c r="L1064" t="s">
        <v>3610</v>
      </c>
      <c r="M1064" t="s">
        <v>3610</v>
      </c>
      <c r="P1064" t="s">
        <v>4242</v>
      </c>
      <c r="R1064" t="s">
        <v>4258</v>
      </c>
      <c r="S1064" t="s">
        <v>3610</v>
      </c>
      <c r="U1064" t="s">
        <v>4268</v>
      </c>
      <c r="W1064" t="s">
        <v>569</v>
      </c>
      <c r="X1064">
        <v>650</v>
      </c>
      <c r="Y1064" t="s">
        <v>4351</v>
      </c>
      <c r="Z1064" t="s">
        <v>4354</v>
      </c>
      <c r="AB1064" t="s">
        <v>5226</v>
      </c>
      <c r="AD1064" t="s">
        <v>6586</v>
      </c>
      <c r="AE1064">
        <v>42</v>
      </c>
      <c r="AF1064" t="s">
        <v>7101</v>
      </c>
      <c r="AG1064" t="s">
        <v>3745</v>
      </c>
      <c r="AH1064">
        <v>25</v>
      </c>
      <c r="AI1064">
        <v>3</v>
      </c>
      <c r="AJ1064">
        <v>1</v>
      </c>
      <c r="AK1064">
        <v>139.04</v>
      </c>
      <c r="AN1064" t="s">
        <v>7139</v>
      </c>
      <c r="AO1064">
        <v>35804</v>
      </c>
      <c r="AU1064">
        <v>0</v>
      </c>
      <c r="AW1064" t="s">
        <v>7342</v>
      </c>
    </row>
    <row r="1065" spans="1:50">
      <c r="A1065" s="1">
        <f>HYPERLINK("https://lsnyc.legalserver.org/matter/dynamic-profile/view/1874611","18-1874611")</f>
        <v>0</v>
      </c>
      <c r="B1065" t="s">
        <v>63</v>
      </c>
      <c r="C1065" t="s">
        <v>104</v>
      </c>
      <c r="D1065" t="s">
        <v>248</v>
      </c>
      <c r="E1065" t="s">
        <v>561</v>
      </c>
      <c r="F1065" t="s">
        <v>1265</v>
      </c>
      <c r="G1065" t="s">
        <v>2126</v>
      </c>
      <c r="H1065" t="s">
        <v>3002</v>
      </c>
      <c r="J1065" t="s">
        <v>3604</v>
      </c>
      <c r="K1065">
        <v>10034</v>
      </c>
      <c r="L1065" t="s">
        <v>3610</v>
      </c>
      <c r="M1065" t="s">
        <v>3611</v>
      </c>
      <c r="O1065" t="s">
        <v>4218</v>
      </c>
      <c r="P1065" t="s">
        <v>4245</v>
      </c>
      <c r="Q1065" t="s">
        <v>4249</v>
      </c>
      <c r="R1065" t="s">
        <v>4258</v>
      </c>
      <c r="S1065" t="s">
        <v>3611</v>
      </c>
      <c r="U1065" t="s">
        <v>4268</v>
      </c>
      <c r="W1065" t="s">
        <v>248</v>
      </c>
      <c r="X1065">
        <v>900</v>
      </c>
      <c r="Y1065" t="s">
        <v>4351</v>
      </c>
      <c r="Z1065" t="s">
        <v>4352</v>
      </c>
      <c r="AA1065" t="s">
        <v>4377</v>
      </c>
      <c r="AB1065" t="s">
        <v>5227</v>
      </c>
      <c r="AD1065" t="s">
        <v>6587</v>
      </c>
      <c r="AE1065">
        <v>74</v>
      </c>
      <c r="AF1065" t="s">
        <v>7101</v>
      </c>
      <c r="AG1065" t="s">
        <v>3745</v>
      </c>
      <c r="AH1065">
        <v>38</v>
      </c>
      <c r="AI1065">
        <v>4</v>
      </c>
      <c r="AJ1065">
        <v>0</v>
      </c>
      <c r="AK1065">
        <v>139.7</v>
      </c>
      <c r="AN1065" t="s">
        <v>7138</v>
      </c>
      <c r="AO1065">
        <v>35064</v>
      </c>
      <c r="AU1065">
        <v>0.1</v>
      </c>
      <c r="AV1065" t="s">
        <v>561</v>
      </c>
      <c r="AW1065" t="s">
        <v>7342</v>
      </c>
    </row>
    <row r="1066" spans="1:50">
      <c r="A1066" s="1">
        <f>HYPERLINK("https://lsnyc.legalserver.org/matter/dynamic-profile/view/0799735","16-0799735")</f>
        <v>0</v>
      </c>
      <c r="B1066" t="s">
        <v>72</v>
      </c>
      <c r="C1066" t="s">
        <v>104</v>
      </c>
      <c r="D1066" t="s">
        <v>570</v>
      </c>
      <c r="E1066" t="s">
        <v>426</v>
      </c>
      <c r="F1066" t="s">
        <v>1266</v>
      </c>
      <c r="G1066" t="s">
        <v>1802</v>
      </c>
      <c r="H1066" t="s">
        <v>3003</v>
      </c>
      <c r="I1066" t="s">
        <v>3368</v>
      </c>
      <c r="J1066" t="s">
        <v>3604</v>
      </c>
      <c r="K1066">
        <v>10029</v>
      </c>
      <c r="L1066" t="s">
        <v>3610</v>
      </c>
      <c r="M1066" t="s">
        <v>3609</v>
      </c>
      <c r="O1066" t="s">
        <v>4211</v>
      </c>
      <c r="P1066" t="s">
        <v>4244</v>
      </c>
      <c r="Q1066" t="s">
        <v>4249</v>
      </c>
      <c r="R1066" t="s">
        <v>4258</v>
      </c>
      <c r="S1066" t="s">
        <v>3611</v>
      </c>
      <c r="U1066" t="s">
        <v>4268</v>
      </c>
      <c r="V1066" t="s">
        <v>4274</v>
      </c>
      <c r="W1066" t="s">
        <v>133</v>
      </c>
      <c r="X1066">
        <v>886</v>
      </c>
      <c r="Y1066" t="s">
        <v>4351</v>
      </c>
      <c r="Z1066" t="s">
        <v>4354</v>
      </c>
      <c r="AA1066" t="s">
        <v>4377</v>
      </c>
      <c r="AB1066" t="s">
        <v>5228</v>
      </c>
      <c r="AD1066" t="s">
        <v>6588</v>
      </c>
      <c r="AE1066">
        <v>50</v>
      </c>
      <c r="AF1066" t="s">
        <v>7101</v>
      </c>
      <c r="AG1066" t="s">
        <v>7116</v>
      </c>
      <c r="AH1066">
        <v>40</v>
      </c>
      <c r="AI1066">
        <v>2</v>
      </c>
      <c r="AJ1066">
        <v>1</v>
      </c>
      <c r="AK1066">
        <v>139.74</v>
      </c>
      <c r="AN1066" t="s">
        <v>7138</v>
      </c>
      <c r="AO1066">
        <v>28170.72</v>
      </c>
      <c r="AU1066">
        <v>4.1</v>
      </c>
      <c r="AV1066" t="s">
        <v>242</v>
      </c>
      <c r="AW1066" t="s">
        <v>7341</v>
      </c>
    </row>
    <row r="1067" spans="1:50">
      <c r="A1067" s="1">
        <f>HYPERLINK("https://lsnyc.legalserver.org/matter/dynamic-profile/view/1840410","17-1840410")</f>
        <v>0</v>
      </c>
      <c r="B1067" t="s">
        <v>63</v>
      </c>
      <c r="C1067" t="s">
        <v>104</v>
      </c>
      <c r="D1067" t="s">
        <v>297</v>
      </c>
      <c r="E1067" t="s">
        <v>561</v>
      </c>
      <c r="F1067" t="s">
        <v>1267</v>
      </c>
      <c r="G1067" t="s">
        <v>2127</v>
      </c>
      <c r="H1067" t="s">
        <v>2647</v>
      </c>
      <c r="I1067" t="s">
        <v>3498</v>
      </c>
      <c r="J1067" t="s">
        <v>3604</v>
      </c>
      <c r="K1067">
        <v>10033</v>
      </c>
      <c r="L1067" t="s">
        <v>3610</v>
      </c>
      <c r="M1067" t="s">
        <v>3609</v>
      </c>
      <c r="N1067" t="s">
        <v>3736</v>
      </c>
      <c r="O1067" t="s">
        <v>4225</v>
      </c>
      <c r="P1067" t="s">
        <v>4241</v>
      </c>
      <c r="Q1067" t="s">
        <v>4248</v>
      </c>
      <c r="R1067" t="s">
        <v>4258</v>
      </c>
      <c r="S1067" t="s">
        <v>3610</v>
      </c>
      <c r="U1067" t="s">
        <v>4268</v>
      </c>
      <c r="W1067" t="s">
        <v>133</v>
      </c>
      <c r="X1067">
        <v>589</v>
      </c>
      <c r="Y1067" t="s">
        <v>4351</v>
      </c>
      <c r="Z1067" t="s">
        <v>4354</v>
      </c>
      <c r="AA1067" t="s">
        <v>4378</v>
      </c>
      <c r="AB1067" t="s">
        <v>5229</v>
      </c>
      <c r="AE1067">
        <v>33</v>
      </c>
      <c r="AF1067" t="s">
        <v>7101</v>
      </c>
      <c r="AG1067" t="s">
        <v>7118</v>
      </c>
      <c r="AH1067">
        <v>35</v>
      </c>
      <c r="AI1067">
        <v>1</v>
      </c>
      <c r="AJ1067">
        <v>0</v>
      </c>
      <c r="AK1067">
        <v>139.8</v>
      </c>
      <c r="AL1067" t="s">
        <v>7124</v>
      </c>
      <c r="AN1067" t="s">
        <v>7138</v>
      </c>
      <c r="AO1067">
        <v>16860</v>
      </c>
      <c r="AU1067">
        <v>0.3</v>
      </c>
      <c r="AV1067" t="s">
        <v>111</v>
      </c>
      <c r="AW1067" t="s">
        <v>7342</v>
      </c>
    </row>
    <row r="1068" spans="1:50">
      <c r="A1068" s="1">
        <f>HYPERLINK("https://lsnyc.legalserver.org/matter/dynamic-profile/view/1881961","18-1881961")</f>
        <v>0</v>
      </c>
      <c r="B1068" t="s">
        <v>64</v>
      </c>
      <c r="C1068" t="s">
        <v>104</v>
      </c>
      <c r="D1068" t="s">
        <v>203</v>
      </c>
      <c r="E1068" t="s">
        <v>276</v>
      </c>
      <c r="F1068" t="s">
        <v>1268</v>
      </c>
      <c r="G1068" t="s">
        <v>2128</v>
      </c>
      <c r="H1068" t="s">
        <v>2642</v>
      </c>
      <c r="I1068" t="s">
        <v>3499</v>
      </c>
      <c r="J1068" t="s">
        <v>3604</v>
      </c>
      <c r="K1068">
        <v>10034</v>
      </c>
      <c r="L1068" t="s">
        <v>3610</v>
      </c>
      <c r="M1068" t="s">
        <v>3610</v>
      </c>
      <c r="O1068" t="s">
        <v>4210</v>
      </c>
      <c r="P1068" t="s">
        <v>4245</v>
      </c>
      <c r="Q1068" t="s">
        <v>4254</v>
      </c>
      <c r="R1068" t="s">
        <v>4258</v>
      </c>
      <c r="S1068" t="s">
        <v>3611</v>
      </c>
      <c r="U1068" t="s">
        <v>4268</v>
      </c>
      <c r="V1068" t="s">
        <v>4274</v>
      </c>
      <c r="W1068" t="s">
        <v>4334</v>
      </c>
      <c r="X1068">
        <v>947</v>
      </c>
      <c r="Y1068" t="s">
        <v>4351</v>
      </c>
      <c r="Z1068" t="s">
        <v>4354</v>
      </c>
      <c r="AA1068" t="s">
        <v>4373</v>
      </c>
      <c r="AB1068" t="s">
        <v>4946</v>
      </c>
      <c r="AD1068" t="s">
        <v>6589</v>
      </c>
      <c r="AE1068">
        <v>50</v>
      </c>
      <c r="AF1068" t="s">
        <v>7101</v>
      </c>
      <c r="AH1068">
        <v>15</v>
      </c>
      <c r="AI1068">
        <v>1</v>
      </c>
      <c r="AJ1068">
        <v>0</v>
      </c>
      <c r="AK1068">
        <v>140.03</v>
      </c>
      <c r="AN1068" t="s">
        <v>7138</v>
      </c>
      <c r="AO1068">
        <v>17000</v>
      </c>
      <c r="AU1068">
        <v>1.5</v>
      </c>
      <c r="AV1068" t="s">
        <v>276</v>
      </c>
      <c r="AW1068" t="s">
        <v>64</v>
      </c>
    </row>
    <row r="1069" spans="1:50">
      <c r="A1069" s="1">
        <f>HYPERLINK("https://lsnyc.legalserver.org/matter/dynamic-profile/view/1867444","18-1867444")</f>
        <v>0</v>
      </c>
      <c r="B1069" t="s">
        <v>64</v>
      </c>
      <c r="C1069" t="s">
        <v>104</v>
      </c>
      <c r="D1069" t="s">
        <v>225</v>
      </c>
      <c r="E1069" t="s">
        <v>276</v>
      </c>
      <c r="F1069" t="s">
        <v>1268</v>
      </c>
      <c r="G1069" t="s">
        <v>2128</v>
      </c>
      <c r="H1069" t="s">
        <v>2642</v>
      </c>
      <c r="I1069" t="s">
        <v>3499</v>
      </c>
      <c r="J1069" t="s">
        <v>3604</v>
      </c>
      <c r="K1069">
        <v>10034</v>
      </c>
      <c r="L1069" t="s">
        <v>3610</v>
      </c>
      <c r="M1069" t="s">
        <v>3609</v>
      </c>
      <c r="O1069" t="s">
        <v>4209</v>
      </c>
      <c r="P1069" t="s">
        <v>4241</v>
      </c>
      <c r="Q1069" t="s">
        <v>4248</v>
      </c>
      <c r="R1069" t="s">
        <v>4258</v>
      </c>
      <c r="S1069" t="s">
        <v>3611</v>
      </c>
      <c r="U1069" t="s">
        <v>4268</v>
      </c>
      <c r="W1069" t="s">
        <v>225</v>
      </c>
      <c r="X1069">
        <v>947</v>
      </c>
      <c r="Y1069" t="s">
        <v>4351</v>
      </c>
      <c r="Z1069" t="s">
        <v>4357</v>
      </c>
      <c r="AA1069" t="s">
        <v>4374</v>
      </c>
      <c r="AB1069" t="s">
        <v>4946</v>
      </c>
      <c r="AD1069" t="s">
        <v>6589</v>
      </c>
      <c r="AE1069">
        <v>50</v>
      </c>
      <c r="AF1069" t="s">
        <v>7101</v>
      </c>
      <c r="AG1069" t="s">
        <v>3745</v>
      </c>
      <c r="AH1069">
        <v>15</v>
      </c>
      <c r="AI1069">
        <v>1</v>
      </c>
      <c r="AJ1069">
        <v>0</v>
      </c>
      <c r="AK1069">
        <v>140.03</v>
      </c>
      <c r="AN1069" t="s">
        <v>7138</v>
      </c>
      <c r="AO1069">
        <v>17000</v>
      </c>
      <c r="AU1069">
        <v>11.95</v>
      </c>
      <c r="AV1069" t="s">
        <v>203</v>
      </c>
      <c r="AW1069" t="s">
        <v>7342</v>
      </c>
    </row>
    <row r="1070" spans="1:50">
      <c r="A1070" s="1">
        <f>HYPERLINK("https://lsnyc.legalserver.org/matter/dynamic-profile/view/1863816","18-1863816")</f>
        <v>0</v>
      </c>
      <c r="B1070" t="s">
        <v>63</v>
      </c>
      <c r="C1070" t="s">
        <v>105</v>
      </c>
      <c r="D1070" t="s">
        <v>160</v>
      </c>
      <c r="F1070" t="s">
        <v>995</v>
      </c>
      <c r="G1070" t="s">
        <v>1834</v>
      </c>
      <c r="H1070" t="s">
        <v>2487</v>
      </c>
      <c r="I1070" t="s">
        <v>3335</v>
      </c>
      <c r="J1070" t="s">
        <v>3604</v>
      </c>
      <c r="K1070">
        <v>10033</v>
      </c>
      <c r="L1070" t="s">
        <v>3610</v>
      </c>
      <c r="M1070" t="s">
        <v>3609</v>
      </c>
      <c r="O1070" t="s">
        <v>4220</v>
      </c>
      <c r="P1070" t="s">
        <v>4243</v>
      </c>
      <c r="R1070" t="s">
        <v>4258</v>
      </c>
      <c r="S1070" t="s">
        <v>3610</v>
      </c>
      <c r="U1070" t="s">
        <v>4268</v>
      </c>
      <c r="W1070" t="s">
        <v>160</v>
      </c>
      <c r="X1070">
        <v>1432.54</v>
      </c>
      <c r="Y1070" t="s">
        <v>4351</v>
      </c>
      <c r="Z1070" t="s">
        <v>4357</v>
      </c>
      <c r="AB1070" t="s">
        <v>5230</v>
      </c>
      <c r="AD1070" t="s">
        <v>6590</v>
      </c>
      <c r="AE1070">
        <v>20</v>
      </c>
      <c r="AF1070" t="s">
        <v>7101</v>
      </c>
      <c r="AG1070" t="s">
        <v>3745</v>
      </c>
      <c r="AH1070">
        <v>11</v>
      </c>
      <c r="AI1070">
        <v>1</v>
      </c>
      <c r="AJ1070">
        <v>0</v>
      </c>
      <c r="AK1070">
        <v>140.03</v>
      </c>
      <c r="AL1070" t="s">
        <v>496</v>
      </c>
      <c r="AN1070" t="s">
        <v>7138</v>
      </c>
      <c r="AO1070">
        <v>17000</v>
      </c>
      <c r="AU1070">
        <v>18.6</v>
      </c>
      <c r="AV1070" t="s">
        <v>674</v>
      </c>
      <c r="AW1070" t="s">
        <v>7342</v>
      </c>
      <c r="AX1070" t="s">
        <v>7377</v>
      </c>
    </row>
    <row r="1071" spans="1:50">
      <c r="A1071" s="1">
        <f>HYPERLINK("https://lsnyc.legalserver.org/matter/dynamic-profile/view/1863990","18-1863990")</f>
        <v>0</v>
      </c>
      <c r="B1071" t="s">
        <v>53</v>
      </c>
      <c r="C1071" t="s">
        <v>105</v>
      </c>
      <c r="D1071" t="s">
        <v>347</v>
      </c>
      <c r="F1071" t="s">
        <v>733</v>
      </c>
      <c r="G1071" t="s">
        <v>1867</v>
      </c>
      <c r="H1071" t="s">
        <v>2508</v>
      </c>
      <c r="I1071">
        <v>312</v>
      </c>
      <c r="J1071" t="s">
        <v>3604</v>
      </c>
      <c r="K1071">
        <v>10029</v>
      </c>
      <c r="L1071" t="s">
        <v>3610</v>
      </c>
      <c r="M1071" t="s">
        <v>3610</v>
      </c>
      <c r="N1071" t="s">
        <v>3642</v>
      </c>
      <c r="O1071" t="s">
        <v>4213</v>
      </c>
      <c r="P1071" t="s">
        <v>4241</v>
      </c>
      <c r="R1071" t="s">
        <v>4258</v>
      </c>
      <c r="S1071" t="s">
        <v>3610</v>
      </c>
      <c r="U1071" t="s">
        <v>4268</v>
      </c>
      <c r="V1071" t="s">
        <v>4274</v>
      </c>
      <c r="W1071" t="s">
        <v>347</v>
      </c>
      <c r="X1071">
        <v>0</v>
      </c>
      <c r="Y1071" t="s">
        <v>4351</v>
      </c>
      <c r="Z1071" t="s">
        <v>4352</v>
      </c>
      <c r="AB1071" t="s">
        <v>5231</v>
      </c>
      <c r="AD1071" t="s">
        <v>6591</v>
      </c>
      <c r="AE1071">
        <v>108</v>
      </c>
      <c r="AF1071" t="s">
        <v>7106</v>
      </c>
      <c r="AG1071" t="s">
        <v>7116</v>
      </c>
      <c r="AH1071">
        <v>20</v>
      </c>
      <c r="AI1071">
        <v>2</v>
      </c>
      <c r="AJ1071">
        <v>0</v>
      </c>
      <c r="AK1071">
        <v>140.1</v>
      </c>
      <c r="AN1071" t="s">
        <v>7139</v>
      </c>
      <c r="AO1071">
        <v>23060</v>
      </c>
      <c r="AU1071">
        <v>2.1</v>
      </c>
      <c r="AV1071" t="s">
        <v>501</v>
      </c>
      <c r="AW1071" t="s">
        <v>7341</v>
      </c>
    </row>
    <row r="1072" spans="1:50">
      <c r="A1072" s="1">
        <f>HYPERLINK("https://lsnyc.legalserver.org/matter/dynamic-profile/view/1846014","17-1846014")</f>
        <v>0</v>
      </c>
      <c r="B1072" t="s">
        <v>54</v>
      </c>
      <c r="C1072" t="s">
        <v>104</v>
      </c>
      <c r="D1072" t="s">
        <v>180</v>
      </c>
      <c r="E1072" t="s">
        <v>662</v>
      </c>
      <c r="F1072" t="s">
        <v>1269</v>
      </c>
      <c r="G1072" t="s">
        <v>2006</v>
      </c>
      <c r="H1072" t="s">
        <v>2918</v>
      </c>
      <c r="I1072" t="s">
        <v>3500</v>
      </c>
      <c r="J1072" t="s">
        <v>3604</v>
      </c>
      <c r="K1072">
        <v>10034</v>
      </c>
      <c r="L1072" t="s">
        <v>3609</v>
      </c>
      <c r="M1072" t="s">
        <v>3609</v>
      </c>
      <c r="N1072" t="s">
        <v>3987</v>
      </c>
      <c r="O1072" t="s">
        <v>4209</v>
      </c>
      <c r="P1072" t="s">
        <v>4242</v>
      </c>
      <c r="Q1072" t="s">
        <v>4250</v>
      </c>
      <c r="R1072" t="s">
        <v>4258</v>
      </c>
      <c r="S1072" t="s">
        <v>3611</v>
      </c>
      <c r="U1072" t="s">
        <v>4268</v>
      </c>
      <c r="W1072" t="s">
        <v>180</v>
      </c>
      <c r="X1072">
        <v>827</v>
      </c>
      <c r="Y1072" t="s">
        <v>4351</v>
      </c>
      <c r="Z1072" t="s">
        <v>4358</v>
      </c>
      <c r="AA1072" t="s">
        <v>4373</v>
      </c>
      <c r="AB1072" t="s">
        <v>5232</v>
      </c>
      <c r="AD1072" t="s">
        <v>6592</v>
      </c>
      <c r="AE1072">
        <v>91</v>
      </c>
      <c r="AF1072" t="s">
        <v>7103</v>
      </c>
      <c r="AH1072">
        <v>42</v>
      </c>
      <c r="AI1072">
        <v>2</v>
      </c>
      <c r="AJ1072">
        <v>0</v>
      </c>
      <c r="AK1072">
        <v>140.39</v>
      </c>
      <c r="AN1072" t="s">
        <v>7139</v>
      </c>
      <c r="AO1072">
        <v>22800</v>
      </c>
      <c r="AU1072">
        <v>0.4</v>
      </c>
      <c r="AV1072" t="s">
        <v>7325</v>
      </c>
      <c r="AW1072" t="s">
        <v>7344</v>
      </c>
    </row>
    <row r="1073" spans="1:50">
      <c r="A1073" s="1">
        <f>HYPERLINK("https://lsnyc.legalserver.org/matter/dynamic-profile/view/0826234","17-0826234")</f>
        <v>0</v>
      </c>
      <c r="B1073" t="s">
        <v>64</v>
      </c>
      <c r="C1073" t="s">
        <v>105</v>
      </c>
      <c r="D1073" t="s">
        <v>394</v>
      </c>
      <c r="F1073" t="s">
        <v>1270</v>
      </c>
      <c r="G1073" t="s">
        <v>2128</v>
      </c>
      <c r="H1073" t="s">
        <v>2576</v>
      </c>
      <c r="I1073" t="s">
        <v>3344</v>
      </c>
      <c r="J1073" t="s">
        <v>3604</v>
      </c>
      <c r="K1073">
        <v>10040</v>
      </c>
      <c r="L1073" t="s">
        <v>3610</v>
      </c>
      <c r="M1073" t="s">
        <v>3609</v>
      </c>
      <c r="N1073" t="s">
        <v>3988</v>
      </c>
      <c r="O1073" t="s">
        <v>4213</v>
      </c>
      <c r="P1073" t="s">
        <v>4241</v>
      </c>
      <c r="R1073" t="s">
        <v>4258</v>
      </c>
      <c r="S1073" t="s">
        <v>3610</v>
      </c>
      <c r="U1073" t="s">
        <v>4268</v>
      </c>
      <c r="W1073" t="s">
        <v>4301</v>
      </c>
      <c r="X1073">
        <v>1115.91</v>
      </c>
      <c r="Y1073" t="s">
        <v>4351</v>
      </c>
      <c r="Z1073" t="s">
        <v>4352</v>
      </c>
      <c r="AB1073" t="s">
        <v>5233</v>
      </c>
      <c r="AD1073" t="s">
        <v>6593</v>
      </c>
      <c r="AE1073">
        <v>83</v>
      </c>
      <c r="AF1073" t="s">
        <v>7101</v>
      </c>
      <c r="AG1073" t="s">
        <v>3745</v>
      </c>
      <c r="AH1073">
        <v>20</v>
      </c>
      <c r="AI1073">
        <v>2</v>
      </c>
      <c r="AJ1073">
        <v>3</v>
      </c>
      <c r="AK1073">
        <v>140.65</v>
      </c>
      <c r="AL1073" t="s">
        <v>518</v>
      </c>
      <c r="AN1073" t="s">
        <v>7139</v>
      </c>
      <c r="AO1073">
        <v>40000</v>
      </c>
      <c r="AU1073">
        <v>0</v>
      </c>
      <c r="AV1073" t="s">
        <v>191</v>
      </c>
      <c r="AW1073" t="s">
        <v>7341</v>
      </c>
    </row>
    <row r="1074" spans="1:50">
      <c r="A1074" s="1">
        <f>HYPERLINK("https://lsnyc.legalserver.org/matter/dynamic-profile/view/0821880","16-0821880")</f>
        <v>0</v>
      </c>
      <c r="B1074" t="s">
        <v>64</v>
      </c>
      <c r="C1074" t="s">
        <v>105</v>
      </c>
      <c r="D1074" t="s">
        <v>395</v>
      </c>
      <c r="F1074" t="s">
        <v>1271</v>
      </c>
      <c r="G1074" t="s">
        <v>1594</v>
      </c>
      <c r="H1074" t="s">
        <v>2496</v>
      </c>
      <c r="I1074">
        <v>65</v>
      </c>
      <c r="J1074" t="s">
        <v>3604</v>
      </c>
      <c r="K1074">
        <v>10032</v>
      </c>
      <c r="L1074" t="s">
        <v>3611</v>
      </c>
      <c r="M1074" t="s">
        <v>3609</v>
      </c>
      <c r="N1074" t="s">
        <v>3989</v>
      </c>
      <c r="O1074" t="s">
        <v>4213</v>
      </c>
      <c r="P1074" t="s">
        <v>4241</v>
      </c>
      <c r="R1074" t="s">
        <v>4258</v>
      </c>
      <c r="S1074" t="s">
        <v>3610</v>
      </c>
      <c r="U1074" t="s">
        <v>4268</v>
      </c>
      <c r="W1074" t="s">
        <v>412</v>
      </c>
      <c r="X1074">
        <v>904.48</v>
      </c>
      <c r="Y1074" t="s">
        <v>4351</v>
      </c>
      <c r="Z1074" t="s">
        <v>4352</v>
      </c>
      <c r="AB1074" t="s">
        <v>5234</v>
      </c>
      <c r="AD1074" t="s">
        <v>6594</v>
      </c>
      <c r="AE1074">
        <v>35</v>
      </c>
      <c r="AF1074" t="s">
        <v>7101</v>
      </c>
      <c r="AG1074" t="s">
        <v>3745</v>
      </c>
      <c r="AH1074">
        <v>36</v>
      </c>
      <c r="AI1074">
        <v>3</v>
      </c>
      <c r="AJ1074">
        <v>2</v>
      </c>
      <c r="AK1074">
        <v>140.65</v>
      </c>
      <c r="AN1074" t="s">
        <v>7138</v>
      </c>
      <c r="AO1074">
        <v>40000</v>
      </c>
      <c r="AU1074">
        <v>2.7</v>
      </c>
      <c r="AV1074" t="s">
        <v>4302</v>
      </c>
      <c r="AW1074" t="s">
        <v>7341</v>
      </c>
    </row>
    <row r="1075" spans="1:50">
      <c r="A1075" s="1">
        <f>HYPERLINK("https://lsnyc.legalserver.org/matter/dynamic-profile/view/1900463","19-1900463")</f>
        <v>0</v>
      </c>
      <c r="B1075" t="s">
        <v>52</v>
      </c>
      <c r="C1075" t="s">
        <v>105</v>
      </c>
      <c r="D1075" t="s">
        <v>424</v>
      </c>
      <c r="F1075" t="s">
        <v>848</v>
      </c>
      <c r="G1075" t="s">
        <v>2016</v>
      </c>
      <c r="H1075" t="s">
        <v>2657</v>
      </c>
      <c r="I1075" t="s">
        <v>3314</v>
      </c>
      <c r="J1075" t="s">
        <v>3604</v>
      </c>
      <c r="K1075">
        <v>10032</v>
      </c>
      <c r="L1075" t="s">
        <v>3610</v>
      </c>
      <c r="M1075" t="s">
        <v>3609</v>
      </c>
      <c r="P1075" t="s">
        <v>4241</v>
      </c>
      <c r="R1075" t="s">
        <v>4258</v>
      </c>
      <c r="S1075" t="s">
        <v>3611</v>
      </c>
      <c r="U1075" t="s">
        <v>4268</v>
      </c>
      <c r="W1075" t="s">
        <v>424</v>
      </c>
      <c r="X1075">
        <v>775</v>
      </c>
      <c r="Y1075" t="s">
        <v>4351</v>
      </c>
      <c r="Z1075" t="s">
        <v>4354</v>
      </c>
      <c r="AB1075" t="s">
        <v>5235</v>
      </c>
      <c r="AD1075" t="s">
        <v>6595</v>
      </c>
      <c r="AE1075">
        <v>48</v>
      </c>
      <c r="AF1075" t="s">
        <v>7101</v>
      </c>
      <c r="AG1075" t="s">
        <v>3745</v>
      </c>
      <c r="AH1075">
        <v>21</v>
      </c>
      <c r="AI1075">
        <v>3</v>
      </c>
      <c r="AJ1075">
        <v>0</v>
      </c>
      <c r="AK1075">
        <v>140.65</v>
      </c>
      <c r="AN1075" t="s">
        <v>7138</v>
      </c>
      <c r="AO1075">
        <v>30000</v>
      </c>
      <c r="AU1075">
        <v>0.65</v>
      </c>
      <c r="AV1075" t="s">
        <v>661</v>
      </c>
      <c r="AW1075" t="s">
        <v>7342</v>
      </c>
      <c r="AX1075" t="s">
        <v>7377</v>
      </c>
    </row>
    <row r="1076" spans="1:50">
      <c r="A1076" s="1">
        <f>HYPERLINK("https://lsnyc.legalserver.org/matter/dynamic-profile/view/1837592","17-1837592")</f>
        <v>0</v>
      </c>
      <c r="B1076" t="s">
        <v>64</v>
      </c>
      <c r="C1076" t="s">
        <v>104</v>
      </c>
      <c r="D1076" t="s">
        <v>516</v>
      </c>
      <c r="E1076" t="s">
        <v>203</v>
      </c>
      <c r="F1076" t="s">
        <v>1268</v>
      </c>
      <c r="G1076" t="s">
        <v>2128</v>
      </c>
      <c r="H1076" t="s">
        <v>2642</v>
      </c>
      <c r="I1076" t="s">
        <v>3499</v>
      </c>
      <c r="J1076" t="s">
        <v>3604</v>
      </c>
      <c r="K1076">
        <v>10034</v>
      </c>
      <c r="L1076" t="s">
        <v>3610</v>
      </c>
      <c r="M1076" t="s">
        <v>3609</v>
      </c>
      <c r="N1076" t="s">
        <v>3990</v>
      </c>
      <c r="O1076" t="s">
        <v>4210</v>
      </c>
      <c r="P1076" t="s">
        <v>4241</v>
      </c>
      <c r="Q1076" t="s">
        <v>4255</v>
      </c>
      <c r="R1076" t="s">
        <v>4258</v>
      </c>
      <c r="S1076" t="s">
        <v>3611</v>
      </c>
      <c r="U1076" t="s">
        <v>4268</v>
      </c>
      <c r="W1076" t="s">
        <v>133</v>
      </c>
      <c r="X1076">
        <v>947</v>
      </c>
      <c r="Y1076" t="s">
        <v>4351</v>
      </c>
      <c r="Z1076" t="s">
        <v>4352</v>
      </c>
      <c r="AA1076" t="s">
        <v>4374</v>
      </c>
      <c r="AB1076" t="s">
        <v>4946</v>
      </c>
      <c r="AD1076" t="s">
        <v>6589</v>
      </c>
      <c r="AE1076">
        <v>50</v>
      </c>
      <c r="AF1076" t="s">
        <v>7101</v>
      </c>
      <c r="AG1076" t="s">
        <v>3745</v>
      </c>
      <c r="AH1076">
        <v>15</v>
      </c>
      <c r="AI1076">
        <v>1</v>
      </c>
      <c r="AJ1076">
        <v>0</v>
      </c>
      <c r="AK1076">
        <v>140.96</v>
      </c>
      <c r="AN1076" t="s">
        <v>7138</v>
      </c>
      <c r="AO1076">
        <v>17000</v>
      </c>
      <c r="AU1076">
        <v>61.45</v>
      </c>
      <c r="AV1076" t="s">
        <v>607</v>
      </c>
      <c r="AW1076" t="s">
        <v>7341</v>
      </c>
    </row>
    <row r="1077" spans="1:50">
      <c r="A1077" s="1">
        <f>HYPERLINK("https://lsnyc.legalserver.org/matter/dynamic-profile/view/1834662","17-1834662")</f>
        <v>0</v>
      </c>
      <c r="B1077" t="s">
        <v>63</v>
      </c>
      <c r="C1077" t="s">
        <v>104</v>
      </c>
      <c r="D1077" t="s">
        <v>308</v>
      </c>
      <c r="E1077" t="s">
        <v>108</v>
      </c>
      <c r="F1077" t="s">
        <v>995</v>
      </c>
      <c r="G1077" t="s">
        <v>1834</v>
      </c>
      <c r="H1077" t="s">
        <v>2487</v>
      </c>
      <c r="I1077" t="s">
        <v>3335</v>
      </c>
      <c r="J1077" t="s">
        <v>3604</v>
      </c>
      <c r="K1077">
        <v>10033</v>
      </c>
      <c r="L1077" t="s">
        <v>3610</v>
      </c>
      <c r="M1077" t="s">
        <v>3609</v>
      </c>
      <c r="N1077" t="s">
        <v>3827</v>
      </c>
      <c r="O1077" t="s">
        <v>4213</v>
      </c>
      <c r="P1077" t="s">
        <v>4241</v>
      </c>
      <c r="Q1077" t="s">
        <v>4248</v>
      </c>
      <c r="R1077" t="s">
        <v>4258</v>
      </c>
      <c r="S1077" t="s">
        <v>3610</v>
      </c>
      <c r="U1077" t="s">
        <v>4268</v>
      </c>
      <c r="W1077" t="s">
        <v>431</v>
      </c>
      <c r="X1077">
        <v>1432.54</v>
      </c>
      <c r="Y1077" t="s">
        <v>4351</v>
      </c>
      <c r="Z1077" t="s">
        <v>4352</v>
      </c>
      <c r="AA1077" t="s">
        <v>4379</v>
      </c>
      <c r="AB1077" t="s">
        <v>5230</v>
      </c>
      <c r="AD1077" t="s">
        <v>6590</v>
      </c>
      <c r="AE1077">
        <v>24</v>
      </c>
      <c r="AF1077" t="s">
        <v>7104</v>
      </c>
      <c r="AG1077" t="s">
        <v>3745</v>
      </c>
      <c r="AH1077">
        <v>11</v>
      </c>
      <c r="AI1077">
        <v>1</v>
      </c>
      <c r="AJ1077">
        <v>0</v>
      </c>
      <c r="AK1077">
        <v>140.96</v>
      </c>
      <c r="AL1077" t="s">
        <v>496</v>
      </c>
      <c r="AN1077" t="s">
        <v>7138</v>
      </c>
      <c r="AO1077">
        <v>17000</v>
      </c>
      <c r="AU1077">
        <v>22.7</v>
      </c>
      <c r="AV1077" t="s">
        <v>108</v>
      </c>
      <c r="AW1077" t="s">
        <v>7341</v>
      </c>
    </row>
    <row r="1078" spans="1:50">
      <c r="A1078" s="1">
        <f>HYPERLINK("https://lsnyc.legalserver.org/matter/dynamic-profile/view/1834670","17-1834670")</f>
        <v>0</v>
      </c>
      <c r="B1078" t="s">
        <v>63</v>
      </c>
      <c r="C1078" t="s">
        <v>105</v>
      </c>
      <c r="D1078" t="s">
        <v>308</v>
      </c>
      <c r="F1078" t="s">
        <v>995</v>
      </c>
      <c r="G1078" t="s">
        <v>1834</v>
      </c>
      <c r="H1078" t="s">
        <v>2487</v>
      </c>
      <c r="I1078" t="s">
        <v>3335</v>
      </c>
      <c r="J1078" t="s">
        <v>3604</v>
      </c>
      <c r="K1078">
        <v>10033</v>
      </c>
      <c r="L1078" t="s">
        <v>3610</v>
      </c>
      <c r="M1078" t="s">
        <v>3609</v>
      </c>
      <c r="O1078" t="s">
        <v>4235</v>
      </c>
      <c r="P1078" t="s">
        <v>4243</v>
      </c>
      <c r="R1078" t="s">
        <v>4258</v>
      </c>
      <c r="S1078" t="s">
        <v>3610</v>
      </c>
      <c r="U1078" t="s">
        <v>4268</v>
      </c>
      <c r="W1078" t="s">
        <v>431</v>
      </c>
      <c r="X1078">
        <v>1432.54</v>
      </c>
      <c r="Y1078" t="s">
        <v>4351</v>
      </c>
      <c r="Z1078" t="s">
        <v>4352</v>
      </c>
      <c r="AB1078" t="s">
        <v>5230</v>
      </c>
      <c r="AD1078" t="s">
        <v>6590</v>
      </c>
      <c r="AE1078">
        <v>24</v>
      </c>
      <c r="AF1078" t="s">
        <v>7101</v>
      </c>
      <c r="AG1078" t="s">
        <v>3745</v>
      </c>
      <c r="AH1078">
        <v>11</v>
      </c>
      <c r="AI1078">
        <v>1</v>
      </c>
      <c r="AJ1078">
        <v>0</v>
      </c>
      <c r="AK1078">
        <v>140.96</v>
      </c>
      <c r="AL1078" t="s">
        <v>496</v>
      </c>
      <c r="AN1078" t="s">
        <v>7138</v>
      </c>
      <c r="AO1078">
        <v>17000</v>
      </c>
      <c r="AU1078">
        <v>13.6</v>
      </c>
      <c r="AV1078" t="s">
        <v>299</v>
      </c>
      <c r="AW1078" t="s">
        <v>7341</v>
      </c>
      <c r="AX1078" t="s">
        <v>7377</v>
      </c>
    </row>
    <row r="1079" spans="1:50">
      <c r="A1079" s="1">
        <f>HYPERLINK("https://lsnyc.legalserver.org/matter/dynamic-profile/view/1836028","17-1836028")</f>
        <v>0</v>
      </c>
      <c r="B1079" t="s">
        <v>55</v>
      </c>
      <c r="C1079" t="s">
        <v>104</v>
      </c>
      <c r="D1079" t="s">
        <v>449</v>
      </c>
      <c r="E1079" t="s">
        <v>656</v>
      </c>
      <c r="F1079" t="s">
        <v>727</v>
      </c>
      <c r="G1079" t="s">
        <v>2125</v>
      </c>
      <c r="H1079" t="s">
        <v>3001</v>
      </c>
      <c r="I1079" t="s">
        <v>3285</v>
      </c>
      <c r="J1079" t="s">
        <v>3604</v>
      </c>
      <c r="K1079">
        <v>10035</v>
      </c>
      <c r="L1079" t="s">
        <v>3610</v>
      </c>
      <c r="M1079" t="s">
        <v>3610</v>
      </c>
      <c r="N1079" t="s">
        <v>3991</v>
      </c>
      <c r="O1079" t="s">
        <v>4209</v>
      </c>
      <c r="P1079" t="s">
        <v>4241</v>
      </c>
      <c r="Q1079" t="s">
        <v>4248</v>
      </c>
      <c r="R1079" t="s">
        <v>4258</v>
      </c>
      <c r="S1079" t="s">
        <v>3611</v>
      </c>
      <c r="U1079" t="s">
        <v>4268</v>
      </c>
      <c r="V1079" t="s">
        <v>4274</v>
      </c>
      <c r="W1079" t="s">
        <v>4282</v>
      </c>
      <c r="X1079">
        <v>1063.1</v>
      </c>
      <c r="Y1079" t="s">
        <v>4351</v>
      </c>
      <c r="Z1079" t="s">
        <v>4357</v>
      </c>
      <c r="AA1079" t="s">
        <v>4374</v>
      </c>
      <c r="AB1079" t="s">
        <v>5224</v>
      </c>
      <c r="AD1079" t="s">
        <v>6584</v>
      </c>
      <c r="AE1079">
        <v>16</v>
      </c>
      <c r="AF1079" t="s">
        <v>7101</v>
      </c>
      <c r="AG1079" t="s">
        <v>3745</v>
      </c>
      <c r="AH1079">
        <v>24</v>
      </c>
      <c r="AI1079">
        <v>2</v>
      </c>
      <c r="AJ1079">
        <v>0</v>
      </c>
      <c r="AK1079">
        <v>140.99</v>
      </c>
      <c r="AN1079" t="s">
        <v>7138</v>
      </c>
      <c r="AO1079">
        <v>30466.8</v>
      </c>
      <c r="AU1079">
        <v>20.7</v>
      </c>
      <c r="AV1079" t="s">
        <v>322</v>
      </c>
      <c r="AW1079" t="s">
        <v>7341</v>
      </c>
    </row>
    <row r="1080" spans="1:50">
      <c r="A1080" s="1">
        <f>HYPERLINK("https://lsnyc.legalserver.org/matter/dynamic-profile/view/1895660","19-1895660")</f>
        <v>0</v>
      </c>
      <c r="B1080" t="s">
        <v>64</v>
      </c>
      <c r="C1080" t="s">
        <v>104</v>
      </c>
      <c r="D1080" t="s">
        <v>571</v>
      </c>
      <c r="E1080" t="s">
        <v>682</v>
      </c>
      <c r="F1080" t="s">
        <v>1272</v>
      </c>
      <c r="G1080" t="s">
        <v>1579</v>
      </c>
      <c r="H1080" t="s">
        <v>3004</v>
      </c>
      <c r="I1080" t="s">
        <v>3430</v>
      </c>
      <c r="J1080" t="s">
        <v>3604</v>
      </c>
      <c r="K1080">
        <v>10033</v>
      </c>
      <c r="L1080" t="s">
        <v>3610</v>
      </c>
      <c r="M1080" t="s">
        <v>3610</v>
      </c>
      <c r="O1080" t="s">
        <v>4209</v>
      </c>
      <c r="Q1080" t="s">
        <v>4250</v>
      </c>
      <c r="R1080" t="s">
        <v>4257</v>
      </c>
      <c r="S1080" t="s">
        <v>3611</v>
      </c>
      <c r="U1080" t="s">
        <v>4268</v>
      </c>
      <c r="X1080">
        <v>1725</v>
      </c>
      <c r="Y1080" t="s">
        <v>4351</v>
      </c>
      <c r="Z1080" t="s">
        <v>4361</v>
      </c>
      <c r="AA1080" t="s">
        <v>4373</v>
      </c>
      <c r="AB1080" t="s">
        <v>5236</v>
      </c>
      <c r="AD1080" t="s">
        <v>6596</v>
      </c>
      <c r="AE1080">
        <v>0</v>
      </c>
      <c r="AH1080">
        <v>5</v>
      </c>
      <c r="AI1080">
        <v>2</v>
      </c>
      <c r="AJ1080">
        <v>0</v>
      </c>
      <c r="AK1080">
        <v>141.29</v>
      </c>
      <c r="AO1080">
        <v>23892</v>
      </c>
      <c r="AU1080">
        <v>2</v>
      </c>
      <c r="AV1080" t="s">
        <v>682</v>
      </c>
      <c r="AW1080" t="s">
        <v>7359</v>
      </c>
    </row>
    <row r="1081" spans="1:50">
      <c r="A1081" s="1">
        <f>HYPERLINK("https://lsnyc.legalserver.org/matter/dynamic-profile/view/1891182","19-1891182")</f>
        <v>0</v>
      </c>
      <c r="B1081" t="s">
        <v>63</v>
      </c>
      <c r="C1081" t="s">
        <v>104</v>
      </c>
      <c r="D1081" t="s">
        <v>567</v>
      </c>
      <c r="E1081" t="s">
        <v>396</v>
      </c>
      <c r="F1081" t="s">
        <v>1273</v>
      </c>
      <c r="G1081" t="s">
        <v>1609</v>
      </c>
      <c r="H1081" t="s">
        <v>3005</v>
      </c>
      <c r="I1081" t="s">
        <v>3294</v>
      </c>
      <c r="J1081" t="s">
        <v>3604</v>
      </c>
      <c r="K1081">
        <v>10040</v>
      </c>
      <c r="L1081" t="s">
        <v>3610</v>
      </c>
      <c r="M1081" t="s">
        <v>3610</v>
      </c>
      <c r="P1081" t="s">
        <v>4242</v>
      </c>
      <c r="Q1081" t="s">
        <v>4250</v>
      </c>
      <c r="R1081" t="s">
        <v>4258</v>
      </c>
      <c r="S1081" t="s">
        <v>3611</v>
      </c>
      <c r="U1081" t="s">
        <v>4268</v>
      </c>
      <c r="W1081" t="s">
        <v>567</v>
      </c>
      <c r="X1081">
        <v>1796.11</v>
      </c>
      <c r="Y1081" t="s">
        <v>4351</v>
      </c>
      <c r="Z1081" t="s">
        <v>4354</v>
      </c>
      <c r="AA1081" t="s">
        <v>4373</v>
      </c>
      <c r="AB1081" t="s">
        <v>5237</v>
      </c>
      <c r="AD1081" t="s">
        <v>6597</v>
      </c>
      <c r="AE1081">
        <v>21</v>
      </c>
      <c r="AF1081" t="s">
        <v>7101</v>
      </c>
      <c r="AG1081" t="s">
        <v>3745</v>
      </c>
      <c r="AH1081">
        <v>13</v>
      </c>
      <c r="AI1081">
        <v>3</v>
      </c>
      <c r="AJ1081">
        <v>1</v>
      </c>
      <c r="AK1081">
        <v>141.36</v>
      </c>
      <c r="AN1081" t="s">
        <v>7139</v>
      </c>
      <c r="AO1081">
        <v>36400</v>
      </c>
      <c r="AU1081">
        <v>0.1</v>
      </c>
      <c r="AV1081" t="s">
        <v>567</v>
      </c>
      <c r="AW1081" t="s">
        <v>7342</v>
      </c>
      <c r="AX1081" t="s">
        <v>7377</v>
      </c>
    </row>
    <row r="1082" spans="1:50">
      <c r="A1082" s="1">
        <f>HYPERLINK("https://lsnyc.legalserver.org/matter/dynamic-profile/view/1902748","19-1902748")</f>
        <v>0</v>
      </c>
      <c r="B1082" t="s">
        <v>101</v>
      </c>
      <c r="C1082" t="s">
        <v>105</v>
      </c>
      <c r="D1082" t="s">
        <v>131</v>
      </c>
      <c r="F1082" t="s">
        <v>1274</v>
      </c>
      <c r="G1082" t="s">
        <v>2129</v>
      </c>
      <c r="H1082" t="s">
        <v>2797</v>
      </c>
      <c r="I1082" t="s">
        <v>3341</v>
      </c>
      <c r="J1082" t="s">
        <v>3604</v>
      </c>
      <c r="K1082">
        <v>10035</v>
      </c>
      <c r="L1082" t="s">
        <v>3610</v>
      </c>
      <c r="M1082" t="s">
        <v>3609</v>
      </c>
      <c r="O1082" t="s">
        <v>4212</v>
      </c>
      <c r="P1082" t="s">
        <v>4246</v>
      </c>
      <c r="R1082" t="s">
        <v>4258</v>
      </c>
      <c r="S1082" t="s">
        <v>3611</v>
      </c>
      <c r="U1082" t="s">
        <v>4270</v>
      </c>
      <c r="V1082" t="s">
        <v>4274</v>
      </c>
      <c r="W1082" t="s">
        <v>131</v>
      </c>
      <c r="X1082">
        <v>847</v>
      </c>
      <c r="Y1082" t="s">
        <v>4351</v>
      </c>
      <c r="Z1082" t="s">
        <v>4356</v>
      </c>
      <c r="AB1082" t="s">
        <v>5238</v>
      </c>
      <c r="AD1082" t="s">
        <v>6598</v>
      </c>
      <c r="AE1082">
        <v>60</v>
      </c>
      <c r="AF1082" t="s">
        <v>7101</v>
      </c>
      <c r="AG1082" t="s">
        <v>7116</v>
      </c>
      <c r="AH1082">
        <v>14</v>
      </c>
      <c r="AI1082">
        <v>1</v>
      </c>
      <c r="AJ1082">
        <v>3</v>
      </c>
      <c r="AK1082">
        <v>141.36</v>
      </c>
      <c r="AN1082" t="s">
        <v>7138</v>
      </c>
      <c r="AO1082">
        <v>36400</v>
      </c>
      <c r="AU1082">
        <v>13</v>
      </c>
      <c r="AV1082" t="s">
        <v>689</v>
      </c>
      <c r="AW1082" t="s">
        <v>7341</v>
      </c>
      <c r="AX1082" t="s">
        <v>7377</v>
      </c>
    </row>
    <row r="1083" spans="1:50">
      <c r="A1083" s="1">
        <f>HYPERLINK("https://lsnyc.legalserver.org/matter/dynamic-profile/view/1894896","19-1894896")</f>
        <v>0</v>
      </c>
      <c r="B1083" t="s">
        <v>62</v>
      </c>
      <c r="C1083" t="s">
        <v>104</v>
      </c>
      <c r="D1083" t="s">
        <v>540</v>
      </c>
      <c r="E1083" t="s">
        <v>679</v>
      </c>
      <c r="F1083" t="s">
        <v>1275</v>
      </c>
      <c r="G1083" t="s">
        <v>1746</v>
      </c>
      <c r="H1083" t="s">
        <v>3006</v>
      </c>
      <c r="I1083">
        <v>42</v>
      </c>
      <c r="J1083" t="s">
        <v>3604</v>
      </c>
      <c r="K1083">
        <v>10034</v>
      </c>
      <c r="L1083" t="s">
        <v>3610</v>
      </c>
      <c r="M1083" t="s">
        <v>3610</v>
      </c>
      <c r="O1083" t="s">
        <v>4219</v>
      </c>
      <c r="P1083" t="s">
        <v>4242</v>
      </c>
      <c r="Q1083" t="s">
        <v>4250</v>
      </c>
      <c r="R1083" t="s">
        <v>4258</v>
      </c>
      <c r="S1083" t="s">
        <v>3611</v>
      </c>
      <c r="U1083" t="s">
        <v>4268</v>
      </c>
      <c r="W1083" t="s">
        <v>540</v>
      </c>
      <c r="X1083">
        <v>1950</v>
      </c>
      <c r="Y1083" t="s">
        <v>4351</v>
      </c>
      <c r="Z1083" t="s">
        <v>4228</v>
      </c>
      <c r="AA1083" t="s">
        <v>4373</v>
      </c>
      <c r="AB1083" t="s">
        <v>4463</v>
      </c>
      <c r="AE1083">
        <v>21</v>
      </c>
      <c r="AF1083" t="s">
        <v>7103</v>
      </c>
      <c r="AG1083" t="s">
        <v>3745</v>
      </c>
      <c r="AH1083">
        <v>9</v>
      </c>
      <c r="AI1083">
        <v>2</v>
      </c>
      <c r="AJ1083">
        <v>2</v>
      </c>
      <c r="AK1083">
        <v>141.36</v>
      </c>
      <c r="AO1083">
        <v>36400</v>
      </c>
      <c r="AU1083">
        <v>1.4</v>
      </c>
      <c r="AV1083" t="s">
        <v>319</v>
      </c>
      <c r="AW1083" t="s">
        <v>7359</v>
      </c>
    </row>
    <row r="1084" spans="1:50">
      <c r="A1084" s="1">
        <f>HYPERLINK("https://lsnyc.legalserver.org/matter/dynamic-profile/view/1837243","17-1837243")</f>
        <v>0</v>
      </c>
      <c r="B1084" t="s">
        <v>68</v>
      </c>
      <c r="C1084" t="s">
        <v>104</v>
      </c>
      <c r="D1084" t="s">
        <v>558</v>
      </c>
      <c r="E1084" t="s">
        <v>245</v>
      </c>
      <c r="F1084" t="s">
        <v>1276</v>
      </c>
      <c r="G1084" t="s">
        <v>2130</v>
      </c>
      <c r="H1084" t="s">
        <v>2531</v>
      </c>
      <c r="I1084" t="s">
        <v>3408</v>
      </c>
      <c r="J1084" t="s">
        <v>3604</v>
      </c>
      <c r="K1084">
        <v>10035</v>
      </c>
      <c r="L1084" t="s">
        <v>3610</v>
      </c>
      <c r="M1084" t="s">
        <v>3610</v>
      </c>
      <c r="N1084" t="s">
        <v>3992</v>
      </c>
      <c r="O1084" t="s">
        <v>4213</v>
      </c>
      <c r="P1084" t="s">
        <v>4241</v>
      </c>
      <c r="Q1084" t="s">
        <v>4248</v>
      </c>
      <c r="R1084" t="s">
        <v>4258</v>
      </c>
      <c r="S1084" t="s">
        <v>3610</v>
      </c>
      <c r="T1084" t="s">
        <v>4259</v>
      </c>
      <c r="U1084" t="s">
        <v>4268</v>
      </c>
      <c r="V1084" t="s">
        <v>4274</v>
      </c>
      <c r="W1084" t="s">
        <v>649</v>
      </c>
      <c r="X1084">
        <v>1312</v>
      </c>
      <c r="Y1084" t="s">
        <v>4351</v>
      </c>
      <c r="Z1084" t="s">
        <v>4358</v>
      </c>
      <c r="AA1084" t="s">
        <v>4379</v>
      </c>
      <c r="AB1084" t="s">
        <v>5239</v>
      </c>
      <c r="AD1084" t="s">
        <v>6599</v>
      </c>
      <c r="AE1084">
        <v>36</v>
      </c>
      <c r="AF1084" t="s">
        <v>7101</v>
      </c>
      <c r="AG1084" t="s">
        <v>3745</v>
      </c>
      <c r="AH1084">
        <v>6</v>
      </c>
      <c r="AI1084">
        <v>2</v>
      </c>
      <c r="AJ1084">
        <v>0</v>
      </c>
      <c r="AK1084">
        <v>141.63</v>
      </c>
      <c r="AN1084" t="s">
        <v>7152</v>
      </c>
      <c r="AO1084">
        <v>23000</v>
      </c>
      <c r="AU1084">
        <v>5.6</v>
      </c>
      <c r="AV1084" t="s">
        <v>7291</v>
      </c>
      <c r="AW1084" t="s">
        <v>51</v>
      </c>
    </row>
    <row r="1085" spans="1:50">
      <c r="A1085" s="1">
        <f>HYPERLINK("https://lsnyc.legalserver.org/matter/dynamic-profile/view/1852304","17-1852304")</f>
        <v>0</v>
      </c>
      <c r="B1085" t="s">
        <v>67</v>
      </c>
      <c r="C1085" t="s">
        <v>104</v>
      </c>
      <c r="D1085" t="s">
        <v>572</v>
      </c>
      <c r="E1085" t="s">
        <v>442</v>
      </c>
      <c r="F1085" t="s">
        <v>1192</v>
      </c>
      <c r="G1085" t="s">
        <v>1853</v>
      </c>
      <c r="H1085" t="s">
        <v>2804</v>
      </c>
      <c r="I1085">
        <v>8</v>
      </c>
      <c r="J1085" t="s">
        <v>3604</v>
      </c>
      <c r="K1085">
        <v>10035</v>
      </c>
      <c r="L1085" t="s">
        <v>3610</v>
      </c>
      <c r="M1085" t="s">
        <v>3610</v>
      </c>
      <c r="O1085" t="s">
        <v>4211</v>
      </c>
      <c r="P1085" t="s">
        <v>4242</v>
      </c>
      <c r="Q1085" t="s">
        <v>4250</v>
      </c>
      <c r="R1085" t="s">
        <v>4258</v>
      </c>
      <c r="S1085" t="s">
        <v>3611</v>
      </c>
      <c r="U1085" t="s">
        <v>4268</v>
      </c>
      <c r="V1085" t="s">
        <v>4274</v>
      </c>
      <c r="W1085" t="s">
        <v>572</v>
      </c>
      <c r="X1085">
        <v>1650</v>
      </c>
      <c r="Y1085" t="s">
        <v>4351</v>
      </c>
      <c r="Z1085" t="s">
        <v>4357</v>
      </c>
      <c r="AA1085" t="s">
        <v>4373</v>
      </c>
      <c r="AB1085" t="s">
        <v>5240</v>
      </c>
      <c r="AD1085" t="s">
        <v>6600</v>
      </c>
      <c r="AE1085">
        <v>41</v>
      </c>
      <c r="AF1085" t="s">
        <v>7105</v>
      </c>
      <c r="AG1085" t="s">
        <v>3745</v>
      </c>
      <c r="AH1085">
        <v>6</v>
      </c>
      <c r="AI1085">
        <v>2</v>
      </c>
      <c r="AJ1085">
        <v>0</v>
      </c>
      <c r="AK1085">
        <v>141.63</v>
      </c>
      <c r="AN1085" t="s">
        <v>7139</v>
      </c>
      <c r="AO1085">
        <v>29337.5</v>
      </c>
      <c r="AU1085">
        <v>0.2</v>
      </c>
      <c r="AV1085" t="s">
        <v>442</v>
      </c>
      <c r="AW1085" t="s">
        <v>7341</v>
      </c>
    </row>
    <row r="1086" spans="1:50">
      <c r="A1086" s="1">
        <f>HYPERLINK("https://lsnyc.legalserver.org/matter/dynamic-profile/view/1903544","19-1903544")</f>
        <v>0</v>
      </c>
      <c r="B1086" t="s">
        <v>87</v>
      </c>
      <c r="C1086" t="s">
        <v>105</v>
      </c>
      <c r="D1086" t="s">
        <v>529</v>
      </c>
      <c r="F1086" t="s">
        <v>1172</v>
      </c>
      <c r="G1086" t="s">
        <v>1693</v>
      </c>
      <c r="H1086" t="s">
        <v>2631</v>
      </c>
      <c r="I1086">
        <v>5</v>
      </c>
      <c r="J1086" t="s">
        <v>3604</v>
      </c>
      <c r="K1086">
        <v>10034</v>
      </c>
      <c r="L1086" t="s">
        <v>3610</v>
      </c>
      <c r="M1086" t="s">
        <v>3609</v>
      </c>
      <c r="O1086" t="s">
        <v>4217</v>
      </c>
      <c r="P1086" t="s">
        <v>4245</v>
      </c>
      <c r="R1086" t="s">
        <v>4258</v>
      </c>
      <c r="S1086" t="s">
        <v>3611</v>
      </c>
      <c r="U1086" t="s">
        <v>4268</v>
      </c>
      <c r="W1086" t="s">
        <v>529</v>
      </c>
      <c r="X1086">
        <v>694.16</v>
      </c>
      <c r="Y1086" t="s">
        <v>4351</v>
      </c>
      <c r="Z1086" t="s">
        <v>4357</v>
      </c>
      <c r="AB1086" t="s">
        <v>5071</v>
      </c>
      <c r="AD1086" t="s">
        <v>6446</v>
      </c>
      <c r="AE1086">
        <v>25</v>
      </c>
      <c r="AG1086" t="s">
        <v>7118</v>
      </c>
      <c r="AH1086">
        <v>0</v>
      </c>
      <c r="AI1086">
        <v>2</v>
      </c>
      <c r="AJ1086">
        <v>0</v>
      </c>
      <c r="AK1086">
        <v>141.93</v>
      </c>
      <c r="AN1086" t="s">
        <v>7138</v>
      </c>
      <c r="AO1086">
        <v>24000</v>
      </c>
      <c r="AU1086">
        <v>3.3</v>
      </c>
      <c r="AV1086" t="s">
        <v>689</v>
      </c>
      <c r="AW1086" t="s">
        <v>7342</v>
      </c>
      <c r="AX1086" t="s">
        <v>7377</v>
      </c>
    </row>
    <row r="1087" spans="1:50">
      <c r="A1087" s="1">
        <f>HYPERLINK("https://lsnyc.legalserver.org/matter/dynamic-profile/view/1875865","18-1875865")</f>
        <v>0</v>
      </c>
      <c r="B1087" t="s">
        <v>64</v>
      </c>
      <c r="C1087" t="s">
        <v>104</v>
      </c>
      <c r="D1087" t="s">
        <v>573</v>
      </c>
      <c r="E1087" t="s">
        <v>201</v>
      </c>
      <c r="F1087" t="s">
        <v>920</v>
      </c>
      <c r="G1087" t="s">
        <v>2131</v>
      </c>
      <c r="H1087" t="s">
        <v>3007</v>
      </c>
      <c r="I1087" t="s">
        <v>3449</v>
      </c>
      <c r="J1087" t="s">
        <v>3604</v>
      </c>
      <c r="K1087">
        <v>10033</v>
      </c>
      <c r="L1087" t="s">
        <v>3610</v>
      </c>
      <c r="M1087" t="s">
        <v>3610</v>
      </c>
      <c r="P1087" t="s">
        <v>4245</v>
      </c>
      <c r="Q1087" t="s">
        <v>4249</v>
      </c>
      <c r="R1087" t="s">
        <v>4258</v>
      </c>
      <c r="S1087" t="s">
        <v>3611</v>
      </c>
      <c r="U1087" t="s">
        <v>4268</v>
      </c>
      <c r="W1087" t="s">
        <v>573</v>
      </c>
      <c r="X1087">
        <v>1468</v>
      </c>
      <c r="Y1087" t="s">
        <v>4351</v>
      </c>
      <c r="Z1087" t="s">
        <v>4354</v>
      </c>
      <c r="AA1087" t="s">
        <v>4373</v>
      </c>
      <c r="AB1087" t="s">
        <v>5241</v>
      </c>
      <c r="AD1087" t="s">
        <v>6601</v>
      </c>
      <c r="AE1087">
        <v>22</v>
      </c>
      <c r="AF1087" t="s">
        <v>7101</v>
      </c>
      <c r="AG1087" t="s">
        <v>7118</v>
      </c>
      <c r="AH1087">
        <v>24</v>
      </c>
      <c r="AI1087">
        <v>2</v>
      </c>
      <c r="AJ1087">
        <v>0</v>
      </c>
      <c r="AK1087">
        <v>141.94</v>
      </c>
      <c r="AN1087" t="s">
        <v>7139</v>
      </c>
      <c r="AO1087">
        <v>23364</v>
      </c>
      <c r="AU1087">
        <v>6.75</v>
      </c>
      <c r="AV1087" t="s">
        <v>201</v>
      </c>
      <c r="AW1087" t="s">
        <v>7342</v>
      </c>
    </row>
    <row r="1088" spans="1:50">
      <c r="A1088" s="1">
        <f>HYPERLINK("https://lsnyc.legalserver.org/matter/dynamic-profile/view/1883827","18-1883827")</f>
        <v>0</v>
      </c>
      <c r="B1088" t="s">
        <v>75</v>
      </c>
      <c r="C1088" t="s">
        <v>105</v>
      </c>
      <c r="D1088" t="s">
        <v>175</v>
      </c>
      <c r="F1088" t="s">
        <v>1116</v>
      </c>
      <c r="G1088" t="s">
        <v>1676</v>
      </c>
      <c r="H1088" t="s">
        <v>2509</v>
      </c>
      <c r="I1088">
        <v>905</v>
      </c>
      <c r="J1088" t="s">
        <v>3604</v>
      </c>
      <c r="K1088">
        <v>10029</v>
      </c>
      <c r="L1088" t="s">
        <v>3610</v>
      </c>
      <c r="M1088" t="s">
        <v>3611</v>
      </c>
      <c r="O1088" t="s">
        <v>4235</v>
      </c>
      <c r="P1088" t="s">
        <v>4244</v>
      </c>
      <c r="R1088" t="s">
        <v>4258</v>
      </c>
      <c r="S1088" t="s">
        <v>3611</v>
      </c>
      <c r="U1088" t="s">
        <v>4268</v>
      </c>
      <c r="W1088" t="s">
        <v>175</v>
      </c>
      <c r="X1088">
        <v>860</v>
      </c>
      <c r="Y1088" t="s">
        <v>4351</v>
      </c>
      <c r="Z1088" t="s">
        <v>4357</v>
      </c>
      <c r="AB1088" t="s">
        <v>5242</v>
      </c>
      <c r="AD1088" t="s">
        <v>6602</v>
      </c>
      <c r="AE1088">
        <v>31</v>
      </c>
      <c r="AF1088" t="s">
        <v>7112</v>
      </c>
      <c r="AG1088" t="s">
        <v>3745</v>
      </c>
      <c r="AH1088">
        <v>40</v>
      </c>
      <c r="AI1088">
        <v>1</v>
      </c>
      <c r="AJ1088">
        <v>0</v>
      </c>
      <c r="AK1088">
        <v>141.94</v>
      </c>
      <c r="AN1088" t="s">
        <v>7139</v>
      </c>
      <c r="AO1088">
        <v>17232</v>
      </c>
      <c r="AU1088">
        <v>29.9</v>
      </c>
      <c r="AV1088" t="s">
        <v>678</v>
      </c>
      <c r="AW1088" t="s">
        <v>7344</v>
      </c>
    </row>
    <row r="1089" spans="1:50">
      <c r="A1089" s="1">
        <f>HYPERLINK("https://lsnyc.legalserver.org/matter/dynamic-profile/view/1866205","18-1866205")</f>
        <v>0</v>
      </c>
      <c r="B1089" t="s">
        <v>62</v>
      </c>
      <c r="C1089" t="s">
        <v>104</v>
      </c>
      <c r="D1089" t="s">
        <v>239</v>
      </c>
      <c r="E1089" t="s">
        <v>371</v>
      </c>
      <c r="F1089" t="s">
        <v>1058</v>
      </c>
      <c r="G1089" t="s">
        <v>1708</v>
      </c>
      <c r="H1089" t="s">
        <v>3008</v>
      </c>
      <c r="I1089" t="s">
        <v>3318</v>
      </c>
      <c r="J1089" t="s">
        <v>3604</v>
      </c>
      <c r="K1089">
        <v>10034</v>
      </c>
      <c r="L1089" t="s">
        <v>3610</v>
      </c>
      <c r="M1089" t="s">
        <v>3609</v>
      </c>
      <c r="N1089" t="s">
        <v>3993</v>
      </c>
      <c r="O1089" t="s">
        <v>4209</v>
      </c>
      <c r="P1089" t="s">
        <v>4242</v>
      </c>
      <c r="Q1089" t="s">
        <v>4250</v>
      </c>
      <c r="R1089" t="s">
        <v>4258</v>
      </c>
      <c r="S1089" t="s">
        <v>3611</v>
      </c>
      <c r="U1089" t="s">
        <v>4268</v>
      </c>
      <c r="W1089" t="s">
        <v>239</v>
      </c>
      <c r="X1089">
        <v>1335</v>
      </c>
      <c r="Y1089" t="s">
        <v>4351</v>
      </c>
      <c r="Z1089" t="s">
        <v>4353</v>
      </c>
      <c r="AA1089" t="s">
        <v>4373</v>
      </c>
      <c r="AB1089" t="s">
        <v>5243</v>
      </c>
      <c r="AD1089" t="s">
        <v>6603</v>
      </c>
      <c r="AE1089">
        <v>41</v>
      </c>
      <c r="AF1089" t="s">
        <v>7101</v>
      </c>
      <c r="AG1089" t="s">
        <v>3745</v>
      </c>
      <c r="AH1089">
        <v>25</v>
      </c>
      <c r="AI1089">
        <v>1</v>
      </c>
      <c r="AJ1089">
        <v>1</v>
      </c>
      <c r="AK1089">
        <v>142.16</v>
      </c>
      <c r="AN1089" t="s">
        <v>7139</v>
      </c>
      <c r="AO1089">
        <v>23400</v>
      </c>
      <c r="AU1089">
        <v>1.5</v>
      </c>
      <c r="AV1089" t="s">
        <v>233</v>
      </c>
      <c r="AW1089" t="s">
        <v>7341</v>
      </c>
      <c r="AX1089" t="s">
        <v>7377</v>
      </c>
    </row>
    <row r="1090" spans="1:50">
      <c r="A1090" s="1">
        <f>HYPERLINK("https://lsnyc.legalserver.org/matter/dynamic-profile/view/1850144","17-1850144")</f>
        <v>0</v>
      </c>
      <c r="B1090" t="s">
        <v>84</v>
      </c>
      <c r="C1090" t="s">
        <v>105</v>
      </c>
      <c r="D1090" t="s">
        <v>295</v>
      </c>
      <c r="F1090" t="s">
        <v>1277</v>
      </c>
      <c r="G1090" t="s">
        <v>2132</v>
      </c>
      <c r="H1090" t="s">
        <v>3009</v>
      </c>
      <c r="I1090">
        <v>9</v>
      </c>
      <c r="J1090" t="s">
        <v>3604</v>
      </c>
      <c r="K1090">
        <v>10032</v>
      </c>
      <c r="L1090" t="s">
        <v>3610</v>
      </c>
      <c r="M1090" t="s">
        <v>3609</v>
      </c>
      <c r="O1090" t="s">
        <v>4220</v>
      </c>
      <c r="P1090" t="s">
        <v>4244</v>
      </c>
      <c r="R1090" t="s">
        <v>4258</v>
      </c>
      <c r="U1090" t="s">
        <v>4268</v>
      </c>
      <c r="W1090" t="s">
        <v>503</v>
      </c>
      <c r="X1090">
        <v>768.64</v>
      </c>
      <c r="Y1090" t="s">
        <v>4351</v>
      </c>
      <c r="Z1090" t="s">
        <v>4357</v>
      </c>
      <c r="AB1090" t="s">
        <v>5244</v>
      </c>
      <c r="AD1090" t="s">
        <v>6604</v>
      </c>
      <c r="AE1090">
        <v>0</v>
      </c>
      <c r="AF1090" t="s">
        <v>7105</v>
      </c>
      <c r="AG1090" t="s">
        <v>3745</v>
      </c>
      <c r="AH1090">
        <v>13</v>
      </c>
      <c r="AI1090">
        <v>2</v>
      </c>
      <c r="AJ1090">
        <v>0</v>
      </c>
      <c r="AK1090">
        <v>142.19</v>
      </c>
      <c r="AN1090" t="s">
        <v>7139</v>
      </c>
      <c r="AO1090">
        <v>23092</v>
      </c>
      <c r="AU1090">
        <v>33.1</v>
      </c>
      <c r="AV1090" t="s">
        <v>283</v>
      </c>
      <c r="AW1090" t="s">
        <v>7344</v>
      </c>
    </row>
    <row r="1091" spans="1:50">
      <c r="A1091" s="1">
        <f>HYPERLINK("https://lsnyc.legalserver.org/matter/dynamic-profile/view/1878495","18-1878495")</f>
        <v>0</v>
      </c>
      <c r="B1091" t="s">
        <v>53</v>
      </c>
      <c r="C1091" t="s">
        <v>104</v>
      </c>
      <c r="D1091" t="s">
        <v>311</v>
      </c>
      <c r="E1091" t="s">
        <v>666</v>
      </c>
      <c r="F1091" t="s">
        <v>1278</v>
      </c>
      <c r="G1091" t="s">
        <v>1596</v>
      </c>
      <c r="H1091" t="s">
        <v>3010</v>
      </c>
      <c r="I1091" t="s">
        <v>3285</v>
      </c>
      <c r="J1091" t="s">
        <v>3604</v>
      </c>
      <c r="K1091">
        <v>10035</v>
      </c>
      <c r="L1091" t="s">
        <v>3610</v>
      </c>
      <c r="M1091" t="s">
        <v>3610</v>
      </c>
      <c r="N1091" t="s">
        <v>3994</v>
      </c>
      <c r="O1091" t="s">
        <v>4209</v>
      </c>
      <c r="P1091" t="s">
        <v>4241</v>
      </c>
      <c r="Q1091" t="s">
        <v>4248</v>
      </c>
      <c r="R1091" t="s">
        <v>4258</v>
      </c>
      <c r="S1091" t="s">
        <v>3611</v>
      </c>
      <c r="U1091" t="s">
        <v>4268</v>
      </c>
      <c r="V1091" t="s">
        <v>4274</v>
      </c>
      <c r="W1091" t="s">
        <v>600</v>
      </c>
      <c r="X1091">
        <v>648</v>
      </c>
      <c r="Y1091" t="s">
        <v>4351</v>
      </c>
      <c r="Z1091" t="s">
        <v>4354</v>
      </c>
      <c r="AA1091" t="s">
        <v>4374</v>
      </c>
      <c r="AB1091" t="s">
        <v>5245</v>
      </c>
      <c r="AD1091" t="s">
        <v>6605</v>
      </c>
      <c r="AE1091">
        <v>11</v>
      </c>
      <c r="AF1091" t="s">
        <v>7101</v>
      </c>
      <c r="AG1091" t="s">
        <v>7118</v>
      </c>
      <c r="AH1091">
        <v>38</v>
      </c>
      <c r="AI1091">
        <v>2</v>
      </c>
      <c r="AJ1091">
        <v>1</v>
      </c>
      <c r="AK1091">
        <v>142.23</v>
      </c>
      <c r="AN1091" t="s">
        <v>7138</v>
      </c>
      <c r="AO1091">
        <v>29556</v>
      </c>
      <c r="AQ1091" t="s">
        <v>7196</v>
      </c>
      <c r="AU1091">
        <v>66.90000000000001</v>
      </c>
      <c r="AV1091" t="s">
        <v>325</v>
      </c>
      <c r="AW1091" t="s">
        <v>7341</v>
      </c>
      <c r="AX1091" t="s">
        <v>7377</v>
      </c>
    </row>
    <row r="1092" spans="1:50">
      <c r="A1092" s="1">
        <f>HYPERLINK("https://lsnyc.legalserver.org/matter/dynamic-profile/view/1833789","17-1833789")</f>
        <v>0</v>
      </c>
      <c r="B1092" t="s">
        <v>75</v>
      </c>
      <c r="C1092" t="s">
        <v>105</v>
      </c>
      <c r="D1092" t="s">
        <v>402</v>
      </c>
      <c r="F1092" t="s">
        <v>1279</v>
      </c>
      <c r="G1092" t="s">
        <v>2133</v>
      </c>
      <c r="H1092" t="s">
        <v>2950</v>
      </c>
      <c r="I1092" t="s">
        <v>3276</v>
      </c>
      <c r="J1092" t="s">
        <v>3604</v>
      </c>
      <c r="K1092">
        <v>10029</v>
      </c>
      <c r="L1092" t="s">
        <v>3610</v>
      </c>
      <c r="M1092" t="s">
        <v>3609</v>
      </c>
      <c r="N1092" t="s">
        <v>3995</v>
      </c>
      <c r="O1092" t="s">
        <v>4209</v>
      </c>
      <c r="P1092" t="s">
        <v>4241</v>
      </c>
      <c r="R1092" t="s">
        <v>4258</v>
      </c>
      <c r="S1092" t="s">
        <v>3611</v>
      </c>
      <c r="U1092" t="s">
        <v>4268</v>
      </c>
      <c r="W1092" t="s">
        <v>191</v>
      </c>
      <c r="X1092">
        <v>1447</v>
      </c>
      <c r="Y1092" t="s">
        <v>4351</v>
      </c>
      <c r="Z1092" t="s">
        <v>4367</v>
      </c>
      <c r="AB1092" t="s">
        <v>5246</v>
      </c>
      <c r="AC1092" t="s">
        <v>5836</v>
      </c>
      <c r="AD1092" t="s">
        <v>6606</v>
      </c>
      <c r="AE1092">
        <v>8</v>
      </c>
      <c r="AF1092" t="s">
        <v>7101</v>
      </c>
      <c r="AG1092" t="s">
        <v>3745</v>
      </c>
      <c r="AH1092">
        <v>6</v>
      </c>
      <c r="AI1092">
        <v>2</v>
      </c>
      <c r="AJ1092">
        <v>2</v>
      </c>
      <c r="AK1092">
        <v>142.28</v>
      </c>
      <c r="AN1092" t="s">
        <v>7138</v>
      </c>
      <c r="AO1092">
        <v>35000</v>
      </c>
      <c r="AU1092">
        <v>94.53</v>
      </c>
      <c r="AV1092" t="s">
        <v>7326</v>
      </c>
      <c r="AW1092" t="s">
        <v>7341</v>
      </c>
    </row>
    <row r="1093" spans="1:50">
      <c r="A1093" s="1">
        <f>HYPERLINK("https://lsnyc.legalserver.org/matter/dynamic-profile/view/1873786","18-1873786")</f>
        <v>0</v>
      </c>
      <c r="B1093" t="s">
        <v>61</v>
      </c>
      <c r="C1093" t="s">
        <v>105</v>
      </c>
      <c r="D1093" t="s">
        <v>287</v>
      </c>
      <c r="F1093" t="s">
        <v>1025</v>
      </c>
      <c r="G1093" t="s">
        <v>1746</v>
      </c>
      <c r="H1093" t="s">
        <v>3011</v>
      </c>
      <c r="I1093" t="s">
        <v>3314</v>
      </c>
      <c r="J1093" t="s">
        <v>3604</v>
      </c>
      <c r="K1093">
        <v>10033</v>
      </c>
      <c r="L1093" t="s">
        <v>3610</v>
      </c>
      <c r="M1093" t="s">
        <v>3610</v>
      </c>
      <c r="N1093" t="s">
        <v>3996</v>
      </c>
      <c r="O1093" t="s">
        <v>4209</v>
      </c>
      <c r="P1093" t="s">
        <v>4241</v>
      </c>
      <c r="R1093" t="s">
        <v>4258</v>
      </c>
      <c r="S1093" t="s">
        <v>3611</v>
      </c>
      <c r="U1093" t="s">
        <v>4268</v>
      </c>
      <c r="W1093" t="s">
        <v>287</v>
      </c>
      <c r="X1093">
        <v>787.03</v>
      </c>
      <c r="Y1093" t="s">
        <v>4351</v>
      </c>
      <c r="Z1093" t="s">
        <v>4354</v>
      </c>
      <c r="AB1093" t="s">
        <v>5247</v>
      </c>
      <c r="AC1093" t="s">
        <v>5837</v>
      </c>
      <c r="AD1093" t="s">
        <v>6607</v>
      </c>
      <c r="AE1093">
        <v>16</v>
      </c>
      <c r="AF1093" t="s">
        <v>7101</v>
      </c>
      <c r="AG1093" t="s">
        <v>7118</v>
      </c>
      <c r="AH1093">
        <v>10</v>
      </c>
      <c r="AI1093">
        <v>2</v>
      </c>
      <c r="AJ1093">
        <v>0</v>
      </c>
      <c r="AK1093">
        <v>142.75</v>
      </c>
      <c r="AN1093" t="s">
        <v>7138</v>
      </c>
      <c r="AO1093">
        <v>23496</v>
      </c>
      <c r="AU1093">
        <v>26.5</v>
      </c>
      <c r="AV1093" t="s">
        <v>676</v>
      </c>
      <c r="AW1093" t="s">
        <v>7342</v>
      </c>
      <c r="AX1093" t="s">
        <v>7377</v>
      </c>
    </row>
    <row r="1094" spans="1:50">
      <c r="A1094" s="1">
        <f>HYPERLINK("https://lsnyc.legalserver.org/matter/dynamic-profile/view/1874712","18-1874712")</f>
        <v>0</v>
      </c>
      <c r="B1094" t="s">
        <v>67</v>
      </c>
      <c r="C1094" t="s">
        <v>104</v>
      </c>
      <c r="D1094" t="s">
        <v>144</v>
      </c>
      <c r="E1094" t="s">
        <v>575</v>
      </c>
      <c r="F1094" t="s">
        <v>1280</v>
      </c>
      <c r="G1094" t="s">
        <v>2134</v>
      </c>
      <c r="H1094" t="s">
        <v>2736</v>
      </c>
      <c r="I1094">
        <v>3210</v>
      </c>
      <c r="J1094" t="s">
        <v>3604</v>
      </c>
      <c r="K1094">
        <v>10029</v>
      </c>
      <c r="L1094" t="s">
        <v>3610</v>
      </c>
      <c r="M1094" t="s">
        <v>3610</v>
      </c>
      <c r="N1094" t="s">
        <v>3997</v>
      </c>
      <c r="O1094" t="s">
        <v>4211</v>
      </c>
      <c r="P1094" t="s">
        <v>4242</v>
      </c>
      <c r="Q1094" t="s">
        <v>4250</v>
      </c>
      <c r="R1094" t="s">
        <v>4258</v>
      </c>
      <c r="S1094" t="s">
        <v>3611</v>
      </c>
      <c r="U1094" t="s">
        <v>4268</v>
      </c>
      <c r="V1094" t="s">
        <v>4274</v>
      </c>
      <c r="W1094" t="s">
        <v>204</v>
      </c>
      <c r="X1094">
        <v>1200</v>
      </c>
      <c r="Y1094" t="s">
        <v>4351</v>
      </c>
      <c r="Z1094" t="s">
        <v>4356</v>
      </c>
      <c r="AA1094" t="s">
        <v>4373</v>
      </c>
      <c r="AB1094" t="s">
        <v>5248</v>
      </c>
      <c r="AD1094" t="s">
        <v>6608</v>
      </c>
      <c r="AE1094">
        <v>320</v>
      </c>
      <c r="AF1094" t="s">
        <v>7106</v>
      </c>
      <c r="AG1094" t="s">
        <v>7116</v>
      </c>
      <c r="AH1094">
        <v>43</v>
      </c>
      <c r="AI1094">
        <v>1</v>
      </c>
      <c r="AJ1094">
        <v>0</v>
      </c>
      <c r="AK1094">
        <v>143.13</v>
      </c>
      <c r="AN1094" t="s">
        <v>7138</v>
      </c>
      <c r="AO1094">
        <v>17376</v>
      </c>
      <c r="AU1094">
        <v>0.5</v>
      </c>
      <c r="AV1094" t="s">
        <v>144</v>
      </c>
      <c r="AW1094" t="s">
        <v>7365</v>
      </c>
    </row>
    <row r="1095" spans="1:50">
      <c r="A1095" s="1">
        <f>HYPERLINK("https://lsnyc.legalserver.org/matter/dynamic-profile/view/1870607","18-1870607")</f>
        <v>0</v>
      </c>
      <c r="B1095" t="s">
        <v>61</v>
      </c>
      <c r="C1095" t="s">
        <v>105</v>
      </c>
      <c r="D1095" t="s">
        <v>566</v>
      </c>
      <c r="F1095" t="s">
        <v>1281</v>
      </c>
      <c r="G1095" t="s">
        <v>2135</v>
      </c>
      <c r="H1095" t="s">
        <v>3012</v>
      </c>
      <c r="I1095" t="s">
        <v>3501</v>
      </c>
      <c r="J1095" t="s">
        <v>3604</v>
      </c>
      <c r="K1095">
        <v>10040</v>
      </c>
      <c r="L1095" t="s">
        <v>3610</v>
      </c>
      <c r="M1095" t="s">
        <v>3609</v>
      </c>
      <c r="P1095" t="s">
        <v>4241</v>
      </c>
      <c r="R1095" t="s">
        <v>4258</v>
      </c>
      <c r="S1095" t="s">
        <v>3611</v>
      </c>
      <c r="U1095" t="s">
        <v>4268</v>
      </c>
      <c r="W1095" t="s">
        <v>566</v>
      </c>
      <c r="X1095">
        <v>1225</v>
      </c>
      <c r="Y1095" t="s">
        <v>4351</v>
      </c>
      <c r="Z1095" t="s">
        <v>4354</v>
      </c>
      <c r="AB1095" t="s">
        <v>5249</v>
      </c>
      <c r="AD1095" t="s">
        <v>6609</v>
      </c>
      <c r="AE1095">
        <v>0</v>
      </c>
      <c r="AF1095" t="s">
        <v>7101</v>
      </c>
      <c r="AG1095" t="s">
        <v>3745</v>
      </c>
      <c r="AH1095">
        <v>7</v>
      </c>
      <c r="AI1095">
        <v>2</v>
      </c>
      <c r="AJ1095">
        <v>2</v>
      </c>
      <c r="AK1095">
        <v>143.43</v>
      </c>
      <c r="AN1095" t="s">
        <v>7139</v>
      </c>
      <c r="AO1095">
        <v>36000</v>
      </c>
      <c r="AU1095">
        <v>58.5</v>
      </c>
      <c r="AV1095" t="s">
        <v>676</v>
      </c>
      <c r="AW1095" t="s">
        <v>7342</v>
      </c>
    </row>
    <row r="1096" spans="1:50">
      <c r="A1096" s="1">
        <f>HYPERLINK("https://lsnyc.legalserver.org/matter/dynamic-profile/view/0830642","17-0830642")</f>
        <v>0</v>
      </c>
      <c r="B1096" t="s">
        <v>64</v>
      </c>
      <c r="C1096" t="s">
        <v>104</v>
      </c>
      <c r="D1096" t="s">
        <v>317</v>
      </c>
      <c r="E1096" t="s">
        <v>664</v>
      </c>
      <c r="F1096" t="s">
        <v>872</v>
      </c>
      <c r="G1096" t="s">
        <v>1642</v>
      </c>
      <c r="H1096" t="s">
        <v>3006</v>
      </c>
      <c r="I1096">
        <v>54</v>
      </c>
      <c r="J1096" t="s">
        <v>3604</v>
      </c>
      <c r="K1096">
        <v>10034</v>
      </c>
      <c r="L1096" t="s">
        <v>3610</v>
      </c>
      <c r="M1096" t="s">
        <v>3609</v>
      </c>
      <c r="N1096" t="s">
        <v>3998</v>
      </c>
      <c r="O1096" t="s">
        <v>4209</v>
      </c>
      <c r="P1096" t="s">
        <v>4241</v>
      </c>
      <c r="Q1096" t="s">
        <v>4248</v>
      </c>
      <c r="R1096" t="s">
        <v>4258</v>
      </c>
      <c r="U1096" t="s">
        <v>4268</v>
      </c>
      <c r="W1096" t="s">
        <v>317</v>
      </c>
      <c r="X1096">
        <v>1592.63</v>
      </c>
      <c r="Y1096" t="s">
        <v>4351</v>
      </c>
      <c r="Z1096" t="s">
        <v>4365</v>
      </c>
      <c r="AA1096" t="s">
        <v>4374</v>
      </c>
      <c r="AB1096" t="s">
        <v>5250</v>
      </c>
      <c r="AE1096">
        <v>54</v>
      </c>
      <c r="AF1096" t="s">
        <v>7105</v>
      </c>
      <c r="AG1096" t="s">
        <v>3745</v>
      </c>
      <c r="AH1096">
        <v>3</v>
      </c>
      <c r="AI1096">
        <v>1</v>
      </c>
      <c r="AJ1096">
        <v>1</v>
      </c>
      <c r="AK1096">
        <v>144.09</v>
      </c>
      <c r="AN1096" t="s">
        <v>7139</v>
      </c>
      <c r="AO1096">
        <v>23400</v>
      </c>
      <c r="AU1096">
        <v>52.47</v>
      </c>
      <c r="AV1096" t="s">
        <v>257</v>
      </c>
      <c r="AW1096" t="s">
        <v>7357</v>
      </c>
    </row>
    <row r="1097" spans="1:50">
      <c r="A1097" s="1">
        <f>HYPERLINK("https://lsnyc.legalserver.org/matter/dynamic-profile/view/1900547","19-1900547")</f>
        <v>0</v>
      </c>
      <c r="B1097" t="s">
        <v>70</v>
      </c>
      <c r="C1097" t="s">
        <v>104</v>
      </c>
      <c r="D1097" t="s">
        <v>196</v>
      </c>
      <c r="E1097" t="s">
        <v>150</v>
      </c>
      <c r="F1097" t="s">
        <v>1282</v>
      </c>
      <c r="G1097" t="s">
        <v>2136</v>
      </c>
      <c r="H1097" t="s">
        <v>3013</v>
      </c>
      <c r="I1097" t="s">
        <v>3306</v>
      </c>
      <c r="J1097" t="s">
        <v>3604</v>
      </c>
      <c r="K1097">
        <v>10065</v>
      </c>
      <c r="L1097" t="s">
        <v>3610</v>
      </c>
      <c r="M1097" t="s">
        <v>3609</v>
      </c>
      <c r="O1097" t="s">
        <v>4211</v>
      </c>
      <c r="P1097" t="s">
        <v>4242</v>
      </c>
      <c r="Q1097" t="s">
        <v>4250</v>
      </c>
      <c r="R1097" t="s">
        <v>4258</v>
      </c>
      <c r="S1097" t="s">
        <v>3611</v>
      </c>
      <c r="U1097" t="s">
        <v>4268</v>
      </c>
      <c r="V1097" t="s">
        <v>4274</v>
      </c>
      <c r="W1097" t="s">
        <v>196</v>
      </c>
      <c r="X1097">
        <v>1500</v>
      </c>
      <c r="Y1097" t="s">
        <v>4351</v>
      </c>
      <c r="Z1097" t="s">
        <v>4352</v>
      </c>
      <c r="AA1097" t="s">
        <v>4373</v>
      </c>
      <c r="AB1097" t="s">
        <v>5251</v>
      </c>
      <c r="AD1097" t="s">
        <v>6610</v>
      </c>
      <c r="AE1097">
        <v>131</v>
      </c>
      <c r="AF1097" t="s">
        <v>7101</v>
      </c>
      <c r="AG1097" t="s">
        <v>3745</v>
      </c>
      <c r="AH1097">
        <v>20</v>
      </c>
      <c r="AI1097">
        <v>1</v>
      </c>
      <c r="AJ1097">
        <v>0</v>
      </c>
      <c r="AK1097">
        <v>144.12</v>
      </c>
      <c r="AN1097" t="s">
        <v>7138</v>
      </c>
      <c r="AO1097">
        <v>18000</v>
      </c>
      <c r="AU1097">
        <v>3.4</v>
      </c>
      <c r="AV1097" t="s">
        <v>150</v>
      </c>
      <c r="AW1097" t="s">
        <v>7347</v>
      </c>
      <c r="AX1097" t="s">
        <v>7377</v>
      </c>
    </row>
    <row r="1098" spans="1:50">
      <c r="A1098" s="1">
        <f>HYPERLINK("https://lsnyc.legalserver.org/matter/dynamic-profile/view/1896429","19-1896429")</f>
        <v>0</v>
      </c>
      <c r="B1098" t="s">
        <v>60</v>
      </c>
      <c r="C1098" t="s">
        <v>105</v>
      </c>
      <c r="D1098" t="s">
        <v>340</v>
      </c>
      <c r="F1098" t="s">
        <v>1283</v>
      </c>
      <c r="G1098" t="s">
        <v>2137</v>
      </c>
      <c r="H1098" t="s">
        <v>2903</v>
      </c>
      <c r="I1098" t="s">
        <v>3306</v>
      </c>
      <c r="J1098" t="s">
        <v>3604</v>
      </c>
      <c r="K1098">
        <v>10034</v>
      </c>
      <c r="L1098" t="s">
        <v>3609</v>
      </c>
      <c r="M1098" t="s">
        <v>3609</v>
      </c>
      <c r="O1098" t="s">
        <v>4211</v>
      </c>
      <c r="P1098" t="s">
        <v>4246</v>
      </c>
      <c r="R1098" t="s">
        <v>4257</v>
      </c>
      <c r="U1098" t="s">
        <v>4268</v>
      </c>
      <c r="X1098">
        <v>0</v>
      </c>
      <c r="Y1098" t="s">
        <v>4351</v>
      </c>
      <c r="AB1098" t="s">
        <v>5252</v>
      </c>
      <c r="AD1098" t="s">
        <v>6611</v>
      </c>
      <c r="AE1098">
        <v>0</v>
      </c>
      <c r="AH1098">
        <v>43</v>
      </c>
      <c r="AI1098">
        <v>1</v>
      </c>
      <c r="AJ1098">
        <v>0</v>
      </c>
      <c r="AK1098">
        <v>144.12</v>
      </c>
      <c r="AN1098" t="s">
        <v>7139</v>
      </c>
      <c r="AO1098">
        <v>18000</v>
      </c>
      <c r="AU1098">
        <v>19</v>
      </c>
      <c r="AV1098" t="s">
        <v>7287</v>
      </c>
      <c r="AW1098" t="s">
        <v>7340</v>
      </c>
    </row>
    <row r="1099" spans="1:50">
      <c r="A1099" s="1">
        <f>HYPERLINK("https://lsnyc.legalserver.org/matter/dynamic-profile/view/1896374","19-1896374")</f>
        <v>0</v>
      </c>
      <c r="B1099" t="s">
        <v>60</v>
      </c>
      <c r="C1099" t="s">
        <v>105</v>
      </c>
      <c r="D1099" t="s">
        <v>118</v>
      </c>
      <c r="F1099" t="s">
        <v>1284</v>
      </c>
      <c r="G1099" t="s">
        <v>1710</v>
      </c>
      <c r="H1099" t="s">
        <v>2625</v>
      </c>
      <c r="I1099" t="s">
        <v>3436</v>
      </c>
      <c r="J1099" t="s">
        <v>3604</v>
      </c>
      <c r="K1099">
        <v>10033</v>
      </c>
      <c r="L1099" t="s">
        <v>3609</v>
      </c>
      <c r="M1099" t="s">
        <v>3609</v>
      </c>
      <c r="O1099" t="s">
        <v>4211</v>
      </c>
      <c r="P1099" t="s">
        <v>4246</v>
      </c>
      <c r="R1099" t="s">
        <v>4257</v>
      </c>
      <c r="U1099" t="s">
        <v>4268</v>
      </c>
      <c r="X1099">
        <v>1300</v>
      </c>
      <c r="Y1099" t="s">
        <v>4351</v>
      </c>
      <c r="AB1099" t="s">
        <v>5253</v>
      </c>
      <c r="AD1099" t="s">
        <v>6612</v>
      </c>
      <c r="AE1099">
        <v>0</v>
      </c>
      <c r="AH1099">
        <v>40</v>
      </c>
      <c r="AI1099">
        <v>1</v>
      </c>
      <c r="AJ1099">
        <v>0</v>
      </c>
      <c r="AK1099">
        <v>144.12</v>
      </c>
      <c r="AN1099" t="s">
        <v>7139</v>
      </c>
      <c r="AO1099">
        <v>18000</v>
      </c>
      <c r="AU1099">
        <v>0</v>
      </c>
      <c r="AW1099" t="s">
        <v>7340</v>
      </c>
    </row>
    <row r="1100" spans="1:50">
      <c r="A1100" s="1">
        <f>HYPERLINK("https://lsnyc.legalserver.org/matter/dynamic-profile/view/1879221","18-1879221")</f>
        <v>0</v>
      </c>
      <c r="B1100" t="s">
        <v>64</v>
      </c>
      <c r="C1100" t="s">
        <v>104</v>
      </c>
      <c r="D1100" t="s">
        <v>574</v>
      </c>
      <c r="E1100" t="s">
        <v>203</v>
      </c>
      <c r="F1100" t="s">
        <v>1285</v>
      </c>
      <c r="G1100" t="s">
        <v>2138</v>
      </c>
      <c r="H1100" t="s">
        <v>2920</v>
      </c>
      <c r="I1100" t="s">
        <v>3502</v>
      </c>
      <c r="J1100" t="s">
        <v>3604</v>
      </c>
      <c r="K1100">
        <v>10034</v>
      </c>
      <c r="L1100" t="s">
        <v>3610</v>
      </c>
      <c r="M1100" t="s">
        <v>3610</v>
      </c>
      <c r="P1100" t="s">
        <v>4242</v>
      </c>
      <c r="Q1100" t="s">
        <v>4250</v>
      </c>
      <c r="R1100" t="s">
        <v>4258</v>
      </c>
      <c r="S1100" t="s">
        <v>3611</v>
      </c>
      <c r="U1100" t="s">
        <v>4268</v>
      </c>
      <c r="W1100" t="s">
        <v>203</v>
      </c>
      <c r="X1100">
        <v>1010.5</v>
      </c>
      <c r="Y1100" t="s">
        <v>4351</v>
      </c>
      <c r="Z1100" t="s">
        <v>4354</v>
      </c>
      <c r="AA1100" t="s">
        <v>4373</v>
      </c>
      <c r="AB1100" t="s">
        <v>4637</v>
      </c>
      <c r="AD1100" t="s">
        <v>6613</v>
      </c>
      <c r="AE1100">
        <v>70</v>
      </c>
      <c r="AF1100" t="s">
        <v>7101</v>
      </c>
      <c r="AG1100" t="s">
        <v>7118</v>
      </c>
      <c r="AH1100">
        <v>35</v>
      </c>
      <c r="AI1100">
        <v>1</v>
      </c>
      <c r="AJ1100">
        <v>0</v>
      </c>
      <c r="AK1100">
        <v>144.15</v>
      </c>
      <c r="AN1100" t="s">
        <v>7138</v>
      </c>
      <c r="AO1100">
        <v>17500</v>
      </c>
      <c r="AU1100">
        <v>2</v>
      </c>
      <c r="AV1100" t="s">
        <v>203</v>
      </c>
      <c r="AW1100" t="s">
        <v>7369</v>
      </c>
    </row>
    <row r="1101" spans="1:50">
      <c r="A1101" s="1">
        <f>HYPERLINK("https://lsnyc.legalserver.org/matter/dynamic-profile/view/1878909","18-1878909")</f>
        <v>0</v>
      </c>
      <c r="B1101" t="s">
        <v>64</v>
      </c>
      <c r="C1101" t="s">
        <v>105</v>
      </c>
      <c r="D1101" t="s">
        <v>282</v>
      </c>
      <c r="F1101" t="s">
        <v>1286</v>
      </c>
      <c r="G1101" t="s">
        <v>2009</v>
      </c>
      <c r="H1101" t="s">
        <v>2576</v>
      </c>
      <c r="I1101" t="s">
        <v>3324</v>
      </c>
      <c r="J1101" t="s">
        <v>3604</v>
      </c>
      <c r="K1101">
        <v>10040</v>
      </c>
      <c r="L1101" t="s">
        <v>3610</v>
      </c>
      <c r="M1101" t="s">
        <v>3610</v>
      </c>
      <c r="O1101" t="s">
        <v>4218</v>
      </c>
      <c r="P1101" t="s">
        <v>4243</v>
      </c>
      <c r="R1101" t="s">
        <v>4258</v>
      </c>
      <c r="S1101" t="s">
        <v>3610</v>
      </c>
      <c r="U1101" t="s">
        <v>4268</v>
      </c>
      <c r="W1101" t="s">
        <v>282</v>
      </c>
      <c r="X1101">
        <v>1004</v>
      </c>
      <c r="Y1101" t="s">
        <v>4351</v>
      </c>
      <c r="Z1101" t="s">
        <v>4352</v>
      </c>
      <c r="AB1101" t="s">
        <v>5254</v>
      </c>
      <c r="AE1101">
        <v>88</v>
      </c>
      <c r="AF1101" t="s">
        <v>7101</v>
      </c>
      <c r="AG1101" t="s">
        <v>7117</v>
      </c>
      <c r="AH1101">
        <v>37</v>
      </c>
      <c r="AI1101">
        <v>2</v>
      </c>
      <c r="AJ1101">
        <v>1</v>
      </c>
      <c r="AK1101">
        <v>144.37</v>
      </c>
      <c r="AN1101" t="s">
        <v>7139</v>
      </c>
      <c r="AO1101">
        <v>30000</v>
      </c>
      <c r="AU1101">
        <v>0</v>
      </c>
      <c r="AW1101" t="s">
        <v>7342</v>
      </c>
    </row>
    <row r="1102" spans="1:50">
      <c r="A1102" s="1">
        <f>HYPERLINK("https://lsnyc.legalserver.org/matter/dynamic-profile/view/1868631","18-1868631")</f>
        <v>0</v>
      </c>
      <c r="B1102" t="s">
        <v>78</v>
      </c>
      <c r="C1102" t="s">
        <v>104</v>
      </c>
      <c r="D1102" t="s">
        <v>211</v>
      </c>
      <c r="E1102" t="s">
        <v>335</v>
      </c>
      <c r="F1102" t="s">
        <v>1287</v>
      </c>
      <c r="G1102" t="s">
        <v>2139</v>
      </c>
      <c r="H1102" t="s">
        <v>2941</v>
      </c>
      <c r="I1102" t="s">
        <v>3345</v>
      </c>
      <c r="J1102" t="s">
        <v>3604</v>
      </c>
      <c r="K1102">
        <v>10039</v>
      </c>
      <c r="L1102" t="s">
        <v>3610</v>
      </c>
      <c r="M1102" t="s">
        <v>3610</v>
      </c>
      <c r="N1102" t="s">
        <v>3999</v>
      </c>
      <c r="O1102" t="s">
        <v>4209</v>
      </c>
      <c r="P1102" t="s">
        <v>4242</v>
      </c>
      <c r="Q1102" t="s">
        <v>4250</v>
      </c>
      <c r="R1102" t="s">
        <v>4258</v>
      </c>
      <c r="S1102" t="s">
        <v>3611</v>
      </c>
      <c r="U1102" t="s">
        <v>4268</v>
      </c>
      <c r="W1102" t="s">
        <v>112</v>
      </c>
      <c r="X1102">
        <v>1358</v>
      </c>
      <c r="Y1102" t="s">
        <v>4351</v>
      </c>
      <c r="Z1102" t="s">
        <v>4353</v>
      </c>
      <c r="AA1102" t="s">
        <v>4373</v>
      </c>
      <c r="AB1102" t="s">
        <v>5255</v>
      </c>
      <c r="AD1102" t="s">
        <v>6614</v>
      </c>
      <c r="AE1102">
        <v>0</v>
      </c>
      <c r="AF1102" t="s">
        <v>7101</v>
      </c>
      <c r="AG1102" t="s">
        <v>3745</v>
      </c>
      <c r="AH1102">
        <v>25</v>
      </c>
      <c r="AI1102">
        <v>3</v>
      </c>
      <c r="AJ1102">
        <v>0</v>
      </c>
      <c r="AK1102">
        <v>144.37</v>
      </c>
      <c r="AN1102" t="s">
        <v>7138</v>
      </c>
      <c r="AO1102">
        <v>30000</v>
      </c>
      <c r="AU1102">
        <v>2.1</v>
      </c>
      <c r="AV1102" t="s">
        <v>173</v>
      </c>
      <c r="AW1102" t="s">
        <v>7344</v>
      </c>
    </row>
    <row r="1103" spans="1:50">
      <c r="A1103" s="1">
        <f>HYPERLINK("https://lsnyc.legalserver.org/matter/dynamic-profile/view/1885567","18-1885567")</f>
        <v>0</v>
      </c>
      <c r="B1103" t="s">
        <v>56</v>
      </c>
      <c r="C1103" t="s">
        <v>104</v>
      </c>
      <c r="D1103" t="s">
        <v>575</v>
      </c>
      <c r="E1103" t="s">
        <v>320</v>
      </c>
      <c r="F1103" t="s">
        <v>1014</v>
      </c>
      <c r="G1103" t="s">
        <v>2140</v>
      </c>
      <c r="H1103" t="s">
        <v>3014</v>
      </c>
      <c r="I1103" t="s">
        <v>3503</v>
      </c>
      <c r="J1103" t="s">
        <v>3604</v>
      </c>
      <c r="K1103">
        <v>10033</v>
      </c>
      <c r="L1103" t="s">
        <v>3610</v>
      </c>
      <c r="M1103" t="s">
        <v>3610</v>
      </c>
      <c r="P1103" t="s">
        <v>4242</v>
      </c>
      <c r="Q1103" t="s">
        <v>4250</v>
      </c>
      <c r="R1103" t="s">
        <v>4258</v>
      </c>
      <c r="S1103" t="s">
        <v>3611</v>
      </c>
      <c r="U1103" t="s">
        <v>4268</v>
      </c>
      <c r="W1103" t="s">
        <v>575</v>
      </c>
      <c r="X1103">
        <v>1738.44</v>
      </c>
      <c r="Y1103" t="s">
        <v>4351</v>
      </c>
      <c r="Z1103" t="s">
        <v>4354</v>
      </c>
      <c r="AA1103" t="s">
        <v>4373</v>
      </c>
      <c r="AB1103" t="s">
        <v>5256</v>
      </c>
      <c r="AD1103" t="s">
        <v>6615</v>
      </c>
      <c r="AE1103">
        <v>485</v>
      </c>
      <c r="AF1103" t="s">
        <v>7101</v>
      </c>
      <c r="AG1103" t="s">
        <v>3745</v>
      </c>
      <c r="AH1103">
        <v>11</v>
      </c>
      <c r="AI1103">
        <v>3</v>
      </c>
      <c r="AJ1103">
        <v>0</v>
      </c>
      <c r="AK1103">
        <v>144.37</v>
      </c>
      <c r="AN1103" t="s">
        <v>7139</v>
      </c>
      <c r="AO1103">
        <v>30000</v>
      </c>
      <c r="AU1103">
        <v>0.2</v>
      </c>
      <c r="AV1103" t="s">
        <v>320</v>
      </c>
      <c r="AW1103" t="s">
        <v>7342</v>
      </c>
    </row>
    <row r="1104" spans="1:50">
      <c r="A1104" s="1">
        <f>HYPERLINK("https://lsnyc.legalserver.org/matter/dynamic-profile/view/1885138","18-1885138")</f>
        <v>0</v>
      </c>
      <c r="B1104" t="s">
        <v>52</v>
      </c>
      <c r="C1104" t="s">
        <v>105</v>
      </c>
      <c r="D1104" t="s">
        <v>425</v>
      </c>
      <c r="F1104" t="s">
        <v>848</v>
      </c>
      <c r="G1104" t="s">
        <v>2016</v>
      </c>
      <c r="H1104" t="s">
        <v>2657</v>
      </c>
      <c r="I1104" t="s">
        <v>3314</v>
      </c>
      <c r="J1104" t="s">
        <v>3604</v>
      </c>
      <c r="K1104">
        <v>10032</v>
      </c>
      <c r="L1104" t="s">
        <v>3610</v>
      </c>
      <c r="M1104" t="s">
        <v>3610</v>
      </c>
      <c r="P1104" t="s">
        <v>4241</v>
      </c>
      <c r="R1104" t="s">
        <v>4258</v>
      </c>
      <c r="S1104" t="s">
        <v>3611</v>
      </c>
      <c r="U1104" t="s">
        <v>4268</v>
      </c>
      <c r="W1104" t="s">
        <v>425</v>
      </c>
      <c r="X1104">
        <v>775</v>
      </c>
      <c r="Y1104" t="s">
        <v>4351</v>
      </c>
      <c r="Z1104" t="s">
        <v>4354</v>
      </c>
      <c r="AB1104" t="s">
        <v>5235</v>
      </c>
      <c r="AD1104" t="s">
        <v>6595</v>
      </c>
      <c r="AE1104">
        <v>48</v>
      </c>
      <c r="AF1104" t="s">
        <v>7101</v>
      </c>
      <c r="AG1104" t="s">
        <v>3745</v>
      </c>
      <c r="AH1104">
        <v>20</v>
      </c>
      <c r="AI1104">
        <v>3</v>
      </c>
      <c r="AJ1104">
        <v>0</v>
      </c>
      <c r="AK1104">
        <v>144.37</v>
      </c>
      <c r="AN1104" t="s">
        <v>7138</v>
      </c>
      <c r="AO1104">
        <v>30000</v>
      </c>
      <c r="AU1104">
        <v>107.5</v>
      </c>
      <c r="AV1104" t="s">
        <v>529</v>
      </c>
      <c r="AW1104" t="s">
        <v>7342</v>
      </c>
      <c r="AX1104" t="s">
        <v>7377</v>
      </c>
    </row>
    <row r="1105" spans="1:50">
      <c r="A1105" s="1">
        <f>HYPERLINK("https://lsnyc.legalserver.org/matter/dynamic-profile/view/1841463","17-1841463")</f>
        <v>0</v>
      </c>
      <c r="B1105" t="s">
        <v>53</v>
      </c>
      <c r="C1105" t="s">
        <v>104</v>
      </c>
      <c r="D1105" t="s">
        <v>380</v>
      </c>
      <c r="E1105" t="s">
        <v>676</v>
      </c>
      <c r="F1105" t="s">
        <v>1288</v>
      </c>
      <c r="G1105" t="s">
        <v>1642</v>
      </c>
      <c r="H1105" t="s">
        <v>3015</v>
      </c>
      <c r="I1105" t="s">
        <v>3343</v>
      </c>
      <c r="J1105" t="s">
        <v>3604</v>
      </c>
      <c r="K1105">
        <v>10034</v>
      </c>
      <c r="L1105" t="s">
        <v>3610</v>
      </c>
      <c r="M1105" t="s">
        <v>3610</v>
      </c>
      <c r="N1105" t="s">
        <v>4000</v>
      </c>
      <c r="O1105" t="s">
        <v>4209</v>
      </c>
      <c r="P1105" t="s">
        <v>4241</v>
      </c>
      <c r="Q1105" t="s">
        <v>4248</v>
      </c>
      <c r="R1105" t="s">
        <v>4258</v>
      </c>
      <c r="S1105" t="s">
        <v>3611</v>
      </c>
      <c r="U1105" t="s">
        <v>4268</v>
      </c>
      <c r="V1105" t="s">
        <v>4274</v>
      </c>
      <c r="W1105" t="s">
        <v>525</v>
      </c>
      <c r="X1105">
        <v>971</v>
      </c>
      <c r="Y1105" t="s">
        <v>4351</v>
      </c>
      <c r="Z1105" t="s">
        <v>4367</v>
      </c>
      <c r="AA1105" t="s">
        <v>4374</v>
      </c>
      <c r="AB1105" t="s">
        <v>5257</v>
      </c>
      <c r="AD1105" t="s">
        <v>6616</v>
      </c>
      <c r="AE1105">
        <v>100</v>
      </c>
      <c r="AF1105" t="s">
        <v>7101</v>
      </c>
      <c r="AG1105" t="s">
        <v>3745</v>
      </c>
      <c r="AH1105">
        <v>15</v>
      </c>
      <c r="AI1105">
        <v>2</v>
      </c>
      <c r="AJ1105">
        <v>3</v>
      </c>
      <c r="AK1105">
        <v>144.54</v>
      </c>
      <c r="AN1105" t="s">
        <v>7139</v>
      </c>
      <c r="AO1105">
        <v>41600</v>
      </c>
      <c r="AS1105" t="s">
        <v>7231</v>
      </c>
      <c r="AT1105" t="s">
        <v>7266</v>
      </c>
      <c r="AU1105">
        <v>69.75</v>
      </c>
      <c r="AV1105" t="s">
        <v>671</v>
      </c>
      <c r="AW1105" t="s">
        <v>7354</v>
      </c>
      <c r="AX1105" t="s">
        <v>7377</v>
      </c>
    </row>
    <row r="1106" spans="1:50">
      <c r="A1106" s="1">
        <f>HYPERLINK("https://lsnyc.legalserver.org/matter/dynamic-profile/view/1893494","19-1893494")</f>
        <v>0</v>
      </c>
      <c r="B1106" t="s">
        <v>85</v>
      </c>
      <c r="C1106" t="s">
        <v>105</v>
      </c>
      <c r="D1106" t="s">
        <v>352</v>
      </c>
      <c r="F1106" t="s">
        <v>1289</v>
      </c>
      <c r="G1106" t="s">
        <v>1728</v>
      </c>
      <c r="H1106" t="s">
        <v>2592</v>
      </c>
      <c r="I1106">
        <v>208</v>
      </c>
      <c r="J1106" t="s">
        <v>3604</v>
      </c>
      <c r="K1106">
        <v>10029</v>
      </c>
      <c r="L1106" t="s">
        <v>3610</v>
      </c>
      <c r="M1106" t="s">
        <v>3610</v>
      </c>
      <c r="N1106" t="s">
        <v>4001</v>
      </c>
      <c r="O1106" t="s">
        <v>4209</v>
      </c>
      <c r="P1106" t="s">
        <v>4242</v>
      </c>
      <c r="R1106" t="s">
        <v>4258</v>
      </c>
      <c r="U1106" t="s">
        <v>4268</v>
      </c>
      <c r="W1106" t="s">
        <v>139</v>
      </c>
      <c r="X1106">
        <v>680</v>
      </c>
      <c r="Y1106" t="s">
        <v>4351</v>
      </c>
      <c r="Z1106" t="s">
        <v>4228</v>
      </c>
      <c r="AB1106" t="s">
        <v>5258</v>
      </c>
      <c r="AD1106" t="s">
        <v>6617</v>
      </c>
      <c r="AE1106">
        <v>30</v>
      </c>
      <c r="AF1106" t="s">
        <v>7102</v>
      </c>
      <c r="AG1106" t="s">
        <v>3745</v>
      </c>
      <c r="AH1106">
        <v>16</v>
      </c>
      <c r="AI1106">
        <v>1</v>
      </c>
      <c r="AJ1106">
        <v>0</v>
      </c>
      <c r="AK1106">
        <v>144.55</v>
      </c>
      <c r="AN1106" t="s">
        <v>7138</v>
      </c>
      <c r="AO1106">
        <v>18054</v>
      </c>
      <c r="AU1106">
        <v>1.7</v>
      </c>
      <c r="AV1106" t="s">
        <v>139</v>
      </c>
      <c r="AW1106" t="s">
        <v>7361</v>
      </c>
    </row>
    <row r="1107" spans="1:50">
      <c r="A1107" s="1">
        <f>HYPERLINK("https://lsnyc.legalserver.org/matter/dynamic-profile/view/0810298","16-0810298")</f>
        <v>0</v>
      </c>
      <c r="B1107" t="s">
        <v>78</v>
      </c>
      <c r="C1107" t="s">
        <v>105</v>
      </c>
      <c r="D1107" t="s">
        <v>576</v>
      </c>
      <c r="F1107" t="s">
        <v>1116</v>
      </c>
      <c r="G1107" t="s">
        <v>1676</v>
      </c>
      <c r="H1107" t="s">
        <v>2509</v>
      </c>
      <c r="I1107">
        <v>905</v>
      </c>
      <c r="J1107" t="s">
        <v>3604</v>
      </c>
      <c r="K1107">
        <v>10029</v>
      </c>
      <c r="L1107" t="s">
        <v>3610</v>
      </c>
      <c r="M1107" t="s">
        <v>3609</v>
      </c>
      <c r="N1107" t="s">
        <v>4002</v>
      </c>
      <c r="O1107" t="s">
        <v>4210</v>
      </c>
      <c r="P1107" t="s">
        <v>4241</v>
      </c>
      <c r="R1107" t="s">
        <v>4258</v>
      </c>
      <c r="S1107" t="s">
        <v>3611</v>
      </c>
      <c r="U1107" t="s">
        <v>4268</v>
      </c>
      <c r="W1107" t="s">
        <v>576</v>
      </c>
      <c r="X1107">
        <v>860</v>
      </c>
      <c r="Y1107" t="s">
        <v>4351</v>
      </c>
      <c r="Z1107" t="s">
        <v>4354</v>
      </c>
      <c r="AB1107" t="s">
        <v>5242</v>
      </c>
      <c r="AD1107" t="s">
        <v>6602</v>
      </c>
      <c r="AE1107">
        <v>31</v>
      </c>
      <c r="AF1107" t="s">
        <v>7112</v>
      </c>
      <c r="AG1107" t="s">
        <v>3745</v>
      </c>
      <c r="AH1107">
        <v>38</v>
      </c>
      <c r="AI1107">
        <v>1</v>
      </c>
      <c r="AJ1107">
        <v>0</v>
      </c>
      <c r="AK1107">
        <v>145.05</v>
      </c>
      <c r="AN1107" t="s">
        <v>7139</v>
      </c>
      <c r="AO1107">
        <v>17232</v>
      </c>
      <c r="AU1107">
        <v>298.1</v>
      </c>
      <c r="AV1107" t="s">
        <v>7312</v>
      </c>
      <c r="AW1107" t="s">
        <v>67</v>
      </c>
    </row>
    <row r="1108" spans="1:50">
      <c r="A1108" s="1">
        <f>HYPERLINK("https://lsnyc.legalserver.org/matter/dynamic-profile/view/1872427","18-1872427")</f>
        <v>0</v>
      </c>
      <c r="B1108" t="s">
        <v>56</v>
      </c>
      <c r="C1108" t="s">
        <v>104</v>
      </c>
      <c r="D1108" t="s">
        <v>137</v>
      </c>
      <c r="E1108" t="s">
        <v>670</v>
      </c>
      <c r="F1108" t="s">
        <v>719</v>
      </c>
      <c r="G1108" t="s">
        <v>2141</v>
      </c>
      <c r="H1108" t="s">
        <v>3016</v>
      </c>
      <c r="I1108" t="s">
        <v>3397</v>
      </c>
      <c r="J1108" t="s">
        <v>3604</v>
      </c>
      <c r="K1108">
        <v>10017</v>
      </c>
      <c r="L1108" t="s">
        <v>3610</v>
      </c>
      <c r="M1108" t="s">
        <v>3610</v>
      </c>
      <c r="O1108" t="s">
        <v>4211</v>
      </c>
      <c r="P1108" t="s">
        <v>4242</v>
      </c>
      <c r="Q1108" t="s">
        <v>4250</v>
      </c>
      <c r="R1108" t="s">
        <v>4258</v>
      </c>
      <c r="S1108" t="s">
        <v>3611</v>
      </c>
      <c r="U1108" t="s">
        <v>4268</v>
      </c>
      <c r="W1108" t="s">
        <v>137</v>
      </c>
      <c r="X1108">
        <v>480</v>
      </c>
      <c r="Y1108" t="s">
        <v>4351</v>
      </c>
      <c r="Z1108" t="s">
        <v>4354</v>
      </c>
      <c r="AA1108" t="s">
        <v>4373</v>
      </c>
      <c r="AB1108" t="s">
        <v>5259</v>
      </c>
      <c r="AC1108" t="s">
        <v>5838</v>
      </c>
      <c r="AD1108" t="s">
        <v>6618</v>
      </c>
      <c r="AE1108">
        <v>100</v>
      </c>
      <c r="AF1108" t="s">
        <v>7101</v>
      </c>
      <c r="AG1108" t="s">
        <v>7116</v>
      </c>
      <c r="AH1108">
        <v>15</v>
      </c>
      <c r="AI1108">
        <v>1</v>
      </c>
      <c r="AJ1108">
        <v>0</v>
      </c>
      <c r="AK1108">
        <v>145.7</v>
      </c>
      <c r="AN1108" t="s">
        <v>7139</v>
      </c>
      <c r="AO1108">
        <v>17688</v>
      </c>
      <c r="AU1108">
        <v>0.3</v>
      </c>
      <c r="AV1108" t="s">
        <v>670</v>
      </c>
      <c r="AW1108" t="s">
        <v>7342</v>
      </c>
    </row>
    <row r="1109" spans="1:50">
      <c r="A1109" s="1">
        <f>HYPERLINK("https://lsnyc.legalserver.org/matter/dynamic-profile/view/1897690","19-1897690")</f>
        <v>0</v>
      </c>
      <c r="B1109" t="s">
        <v>53</v>
      </c>
      <c r="C1109" t="s">
        <v>105</v>
      </c>
      <c r="D1109" t="s">
        <v>146</v>
      </c>
      <c r="F1109" t="s">
        <v>1290</v>
      </c>
      <c r="G1109" t="s">
        <v>2142</v>
      </c>
      <c r="H1109" t="s">
        <v>2797</v>
      </c>
      <c r="I1109" t="s">
        <v>3387</v>
      </c>
      <c r="J1109" t="s">
        <v>3604</v>
      </c>
      <c r="K1109">
        <v>10035</v>
      </c>
      <c r="L1109" t="s">
        <v>3610</v>
      </c>
      <c r="M1109" t="s">
        <v>3610</v>
      </c>
      <c r="O1109" t="s">
        <v>4211</v>
      </c>
      <c r="P1109" t="s">
        <v>4245</v>
      </c>
      <c r="R1109" t="s">
        <v>4258</v>
      </c>
      <c r="S1109" t="s">
        <v>3610</v>
      </c>
      <c r="U1109" t="s">
        <v>4268</v>
      </c>
      <c r="V1109" t="s">
        <v>4274</v>
      </c>
      <c r="W1109" t="s">
        <v>319</v>
      </c>
      <c r="X1109">
        <v>892</v>
      </c>
      <c r="Y1109" t="s">
        <v>4351</v>
      </c>
      <c r="Z1109" t="s">
        <v>4361</v>
      </c>
      <c r="AB1109" t="s">
        <v>5260</v>
      </c>
      <c r="AD1109" t="s">
        <v>6619</v>
      </c>
      <c r="AE1109">
        <v>60</v>
      </c>
      <c r="AF1109" t="s">
        <v>7101</v>
      </c>
      <c r="AG1109" t="s">
        <v>7116</v>
      </c>
      <c r="AH1109">
        <v>5</v>
      </c>
      <c r="AI1109">
        <v>2</v>
      </c>
      <c r="AJ1109">
        <v>3</v>
      </c>
      <c r="AK1109">
        <v>145.84</v>
      </c>
      <c r="AN1109" t="s">
        <v>7138</v>
      </c>
      <c r="AO1109">
        <v>44000</v>
      </c>
      <c r="AU1109">
        <v>0</v>
      </c>
      <c r="AW1109" t="s">
        <v>7341</v>
      </c>
    </row>
    <row r="1110" spans="1:50">
      <c r="A1110" s="1">
        <f>HYPERLINK("https://lsnyc.legalserver.org/matter/dynamic-profile/view/0808632","16-0808632")</f>
        <v>0</v>
      </c>
      <c r="B1110" t="s">
        <v>79</v>
      </c>
      <c r="C1110" t="s">
        <v>104</v>
      </c>
      <c r="D1110" t="s">
        <v>401</v>
      </c>
      <c r="E1110" t="s">
        <v>683</v>
      </c>
      <c r="F1110" t="s">
        <v>738</v>
      </c>
      <c r="G1110" t="s">
        <v>2143</v>
      </c>
      <c r="H1110" t="s">
        <v>3017</v>
      </c>
      <c r="I1110">
        <v>51</v>
      </c>
      <c r="J1110" t="s">
        <v>3604</v>
      </c>
      <c r="K1110">
        <v>10032</v>
      </c>
      <c r="L1110" t="s">
        <v>3610</v>
      </c>
      <c r="M1110" t="s">
        <v>3609</v>
      </c>
      <c r="N1110" t="s">
        <v>4003</v>
      </c>
      <c r="O1110" t="s">
        <v>4210</v>
      </c>
      <c r="P1110" t="s">
        <v>4241</v>
      </c>
      <c r="Q1110" t="s">
        <v>4248</v>
      </c>
      <c r="R1110" t="s">
        <v>4258</v>
      </c>
      <c r="S1110" t="s">
        <v>3611</v>
      </c>
      <c r="T1110" t="s">
        <v>4259</v>
      </c>
      <c r="U1110" t="s">
        <v>4268</v>
      </c>
      <c r="V1110" t="s">
        <v>4278</v>
      </c>
      <c r="W1110" t="s">
        <v>443</v>
      </c>
      <c r="X1110">
        <v>900</v>
      </c>
      <c r="Y1110" t="s">
        <v>4351</v>
      </c>
      <c r="Z1110" t="s">
        <v>4367</v>
      </c>
      <c r="AA1110" t="s">
        <v>4375</v>
      </c>
      <c r="AB1110" t="s">
        <v>5261</v>
      </c>
      <c r="AD1110" t="s">
        <v>6620</v>
      </c>
      <c r="AE1110">
        <v>0</v>
      </c>
      <c r="AF1110" t="s">
        <v>7112</v>
      </c>
      <c r="AG1110" t="s">
        <v>3745</v>
      </c>
      <c r="AH1110">
        <v>18</v>
      </c>
      <c r="AI1110">
        <v>1</v>
      </c>
      <c r="AJ1110">
        <v>1</v>
      </c>
      <c r="AK1110">
        <v>146.07</v>
      </c>
      <c r="AN1110" t="s">
        <v>7139</v>
      </c>
      <c r="AO1110">
        <v>23400</v>
      </c>
      <c r="AS1110" t="s">
        <v>7232</v>
      </c>
      <c r="AT1110" t="s">
        <v>7267</v>
      </c>
      <c r="AU1110">
        <v>77.7</v>
      </c>
      <c r="AV1110" t="s">
        <v>683</v>
      </c>
      <c r="AW1110" t="s">
        <v>7341</v>
      </c>
    </row>
    <row r="1111" spans="1:50">
      <c r="A1111" s="1">
        <f>HYPERLINK("https://lsnyc.legalserver.org/matter/dynamic-profile/view/1891890","19-1891890")</f>
        <v>0</v>
      </c>
      <c r="B1111" t="s">
        <v>68</v>
      </c>
      <c r="C1111" t="s">
        <v>104</v>
      </c>
      <c r="D1111" t="s">
        <v>148</v>
      </c>
      <c r="E1111" t="s">
        <v>684</v>
      </c>
      <c r="F1111" t="s">
        <v>923</v>
      </c>
      <c r="G1111" t="s">
        <v>2144</v>
      </c>
      <c r="H1111" t="s">
        <v>3018</v>
      </c>
      <c r="I1111" t="s">
        <v>3504</v>
      </c>
      <c r="J1111" t="s">
        <v>3604</v>
      </c>
      <c r="K1111">
        <v>10029</v>
      </c>
      <c r="L1111" t="s">
        <v>3610</v>
      </c>
      <c r="M1111" t="s">
        <v>3610</v>
      </c>
      <c r="O1111" t="s">
        <v>4211</v>
      </c>
      <c r="P1111" t="s">
        <v>4245</v>
      </c>
      <c r="Q1111" t="s">
        <v>4249</v>
      </c>
      <c r="R1111" t="s">
        <v>4258</v>
      </c>
      <c r="S1111" t="s">
        <v>3611</v>
      </c>
      <c r="U1111" t="s">
        <v>4268</v>
      </c>
      <c r="V1111" t="s">
        <v>4274</v>
      </c>
      <c r="W1111" t="s">
        <v>4318</v>
      </c>
      <c r="X1111">
        <v>351.16</v>
      </c>
      <c r="Y1111" t="s">
        <v>4351</v>
      </c>
      <c r="Z1111" t="s">
        <v>4371</v>
      </c>
      <c r="AA1111" t="s">
        <v>4373</v>
      </c>
      <c r="AB1111" t="s">
        <v>5262</v>
      </c>
      <c r="AD1111" t="s">
        <v>6621</v>
      </c>
      <c r="AE1111">
        <v>12</v>
      </c>
      <c r="AF1111" t="s">
        <v>7104</v>
      </c>
      <c r="AG1111" t="s">
        <v>3745</v>
      </c>
      <c r="AH1111">
        <v>22</v>
      </c>
      <c r="AI1111">
        <v>1</v>
      </c>
      <c r="AJ1111">
        <v>0</v>
      </c>
      <c r="AK1111">
        <v>146.42</v>
      </c>
      <c r="AN1111" t="s">
        <v>7138</v>
      </c>
      <c r="AO1111">
        <v>18288</v>
      </c>
      <c r="AU1111">
        <v>3</v>
      </c>
      <c r="AV1111" t="s">
        <v>684</v>
      </c>
      <c r="AW1111" t="s">
        <v>7357</v>
      </c>
    </row>
    <row r="1112" spans="1:50">
      <c r="A1112" s="1">
        <f>HYPERLINK("https://lsnyc.legalserver.org/matter/dynamic-profile/view/1876234","18-1876234")</f>
        <v>0</v>
      </c>
      <c r="B1112" t="s">
        <v>62</v>
      </c>
      <c r="C1112" t="s">
        <v>105</v>
      </c>
      <c r="D1112" t="s">
        <v>138</v>
      </c>
      <c r="F1112" t="s">
        <v>1291</v>
      </c>
      <c r="G1112" t="s">
        <v>1749</v>
      </c>
      <c r="H1112" t="s">
        <v>2488</v>
      </c>
      <c r="I1112" t="s">
        <v>3274</v>
      </c>
      <c r="J1112" t="s">
        <v>3604</v>
      </c>
      <c r="K1112">
        <v>10033</v>
      </c>
      <c r="L1112" t="s">
        <v>3610</v>
      </c>
      <c r="M1112" t="s">
        <v>3610</v>
      </c>
      <c r="O1112" t="s">
        <v>4213</v>
      </c>
      <c r="P1112" t="s">
        <v>4245</v>
      </c>
      <c r="R1112" t="s">
        <v>4258</v>
      </c>
      <c r="S1112" t="s">
        <v>3610</v>
      </c>
      <c r="U1112" t="s">
        <v>4268</v>
      </c>
      <c r="W1112" t="s">
        <v>138</v>
      </c>
      <c r="X1112">
        <v>1295.41</v>
      </c>
      <c r="Y1112" t="s">
        <v>4351</v>
      </c>
      <c r="Z1112" t="s">
        <v>4354</v>
      </c>
      <c r="AB1112" t="s">
        <v>5263</v>
      </c>
      <c r="AD1112" t="s">
        <v>6622</v>
      </c>
      <c r="AE1112">
        <v>232</v>
      </c>
      <c r="AF1112" t="s">
        <v>7101</v>
      </c>
      <c r="AG1112" t="s">
        <v>7118</v>
      </c>
      <c r="AH1112">
        <v>50</v>
      </c>
      <c r="AI1112">
        <v>1</v>
      </c>
      <c r="AJ1112">
        <v>0</v>
      </c>
      <c r="AK1112">
        <v>146.59</v>
      </c>
      <c r="AN1112" t="s">
        <v>7138</v>
      </c>
      <c r="AO1112">
        <v>17796</v>
      </c>
      <c r="AU1112">
        <v>1.7</v>
      </c>
      <c r="AV1112" t="s">
        <v>426</v>
      </c>
      <c r="AW1112" t="s">
        <v>7342</v>
      </c>
    </row>
    <row r="1113" spans="1:50">
      <c r="A1113" s="1">
        <f>HYPERLINK("https://lsnyc.legalserver.org/matter/dynamic-profile/view/1843438","17-1843438")</f>
        <v>0</v>
      </c>
      <c r="B1113" t="s">
        <v>80</v>
      </c>
      <c r="C1113" t="s">
        <v>104</v>
      </c>
      <c r="D1113" t="s">
        <v>354</v>
      </c>
      <c r="E1113" t="s">
        <v>548</v>
      </c>
      <c r="F1113" t="s">
        <v>727</v>
      </c>
      <c r="G1113" t="s">
        <v>1576</v>
      </c>
      <c r="H1113" t="s">
        <v>3019</v>
      </c>
      <c r="I1113" t="s">
        <v>3306</v>
      </c>
      <c r="J1113" t="s">
        <v>3604</v>
      </c>
      <c r="K1113">
        <v>10040</v>
      </c>
      <c r="L1113" t="s">
        <v>3610</v>
      </c>
      <c r="M1113" t="s">
        <v>3609</v>
      </c>
      <c r="N1113" t="s">
        <v>4004</v>
      </c>
      <c r="O1113" t="s">
        <v>4209</v>
      </c>
      <c r="P1113" t="s">
        <v>4241</v>
      </c>
      <c r="Q1113" t="s">
        <v>4248</v>
      </c>
      <c r="R1113" t="s">
        <v>4258</v>
      </c>
      <c r="S1113" t="s">
        <v>3611</v>
      </c>
      <c r="U1113" t="s">
        <v>4268</v>
      </c>
      <c r="W1113" t="s">
        <v>354</v>
      </c>
      <c r="X1113">
        <v>951.52</v>
      </c>
      <c r="Y1113" t="s">
        <v>4351</v>
      </c>
      <c r="Z1113" t="s">
        <v>4354</v>
      </c>
      <c r="AA1113" t="s">
        <v>4374</v>
      </c>
      <c r="AB1113" t="s">
        <v>5264</v>
      </c>
      <c r="AD1113" t="s">
        <v>6623</v>
      </c>
      <c r="AE1113">
        <v>56</v>
      </c>
      <c r="AF1113" t="s">
        <v>7101</v>
      </c>
      <c r="AG1113" t="s">
        <v>3745</v>
      </c>
      <c r="AH1113">
        <v>20</v>
      </c>
      <c r="AI1113">
        <v>3</v>
      </c>
      <c r="AJ1113">
        <v>0</v>
      </c>
      <c r="AK1113">
        <v>146.91</v>
      </c>
      <c r="AN1113" t="s">
        <v>7139</v>
      </c>
      <c r="AO1113">
        <v>30000</v>
      </c>
      <c r="AU1113">
        <v>16.7</v>
      </c>
      <c r="AV1113" t="s">
        <v>225</v>
      </c>
      <c r="AW1113" t="s">
        <v>7342</v>
      </c>
    </row>
    <row r="1114" spans="1:50">
      <c r="A1114" s="1">
        <f>HYPERLINK("https://lsnyc.legalserver.org/matter/dynamic-profile/view/1896346","19-1896346")</f>
        <v>0</v>
      </c>
      <c r="B1114" t="s">
        <v>64</v>
      </c>
      <c r="C1114" t="s">
        <v>104</v>
      </c>
      <c r="D1114" t="s">
        <v>340</v>
      </c>
      <c r="E1114" t="s">
        <v>340</v>
      </c>
      <c r="F1114" t="s">
        <v>1292</v>
      </c>
      <c r="G1114" t="s">
        <v>2145</v>
      </c>
      <c r="H1114" t="s">
        <v>3020</v>
      </c>
      <c r="I1114" t="s">
        <v>3274</v>
      </c>
      <c r="J1114" t="s">
        <v>3604</v>
      </c>
      <c r="K1114">
        <v>10026</v>
      </c>
      <c r="L1114" t="s">
        <v>3610</v>
      </c>
      <c r="M1114" t="s">
        <v>3610</v>
      </c>
      <c r="N1114" t="s">
        <v>4005</v>
      </c>
      <c r="O1114" t="s">
        <v>4209</v>
      </c>
      <c r="P1114" t="s">
        <v>4242</v>
      </c>
      <c r="Q1114" t="s">
        <v>4250</v>
      </c>
      <c r="R1114" t="s">
        <v>4257</v>
      </c>
      <c r="S1114" t="s">
        <v>3611</v>
      </c>
      <c r="T1114" t="s">
        <v>4257</v>
      </c>
      <c r="U1114" t="s">
        <v>4268</v>
      </c>
      <c r="V1114" t="s">
        <v>4278</v>
      </c>
      <c r="W1114" t="s">
        <v>340</v>
      </c>
      <c r="X1114">
        <v>969</v>
      </c>
      <c r="Y1114" t="s">
        <v>4351</v>
      </c>
      <c r="Z1114" t="s">
        <v>4355</v>
      </c>
      <c r="AA1114" t="s">
        <v>4373</v>
      </c>
      <c r="AB1114" t="s">
        <v>5265</v>
      </c>
      <c r="AD1114" t="s">
        <v>6624</v>
      </c>
      <c r="AE1114">
        <v>18</v>
      </c>
      <c r="AF1114" t="s">
        <v>7101</v>
      </c>
      <c r="AG1114" t="s">
        <v>3745</v>
      </c>
      <c r="AH1114">
        <v>10</v>
      </c>
      <c r="AI1114">
        <v>3</v>
      </c>
      <c r="AJ1114">
        <v>1</v>
      </c>
      <c r="AK1114">
        <v>147.57</v>
      </c>
      <c r="AN1114" t="s">
        <v>7138</v>
      </c>
      <c r="AO1114">
        <v>38000</v>
      </c>
      <c r="AR1114" t="s">
        <v>4228</v>
      </c>
      <c r="AS1114" t="s">
        <v>7231</v>
      </c>
      <c r="AT1114" t="s">
        <v>7246</v>
      </c>
      <c r="AU1114">
        <v>1.5</v>
      </c>
      <c r="AV1114" t="s">
        <v>340</v>
      </c>
      <c r="AW1114" t="s">
        <v>7340</v>
      </c>
    </row>
    <row r="1115" spans="1:50">
      <c r="A1115" s="1">
        <f>HYPERLINK("https://lsnyc.legalserver.org/matter/dynamic-profile/view/1877924","18-1877924")</f>
        <v>0</v>
      </c>
      <c r="B1115" t="s">
        <v>61</v>
      </c>
      <c r="C1115" t="s">
        <v>104</v>
      </c>
      <c r="D1115" t="s">
        <v>440</v>
      </c>
      <c r="E1115" t="s">
        <v>201</v>
      </c>
      <c r="F1115" t="s">
        <v>980</v>
      </c>
      <c r="G1115" t="s">
        <v>1858</v>
      </c>
      <c r="H1115" t="s">
        <v>2472</v>
      </c>
      <c r="I1115" t="s">
        <v>3350</v>
      </c>
      <c r="J1115" t="s">
        <v>3604</v>
      </c>
      <c r="K1115">
        <v>10034</v>
      </c>
      <c r="L1115" t="s">
        <v>3610</v>
      </c>
      <c r="M1115" t="s">
        <v>3610</v>
      </c>
      <c r="O1115" t="s">
        <v>4217</v>
      </c>
      <c r="P1115" t="s">
        <v>4245</v>
      </c>
      <c r="Q1115" t="s">
        <v>4249</v>
      </c>
      <c r="R1115" t="s">
        <v>4258</v>
      </c>
      <c r="S1115" t="s">
        <v>3611</v>
      </c>
      <c r="U1115" t="s">
        <v>4268</v>
      </c>
      <c r="W1115" t="s">
        <v>440</v>
      </c>
      <c r="X1115">
        <v>774.26</v>
      </c>
      <c r="Y1115" t="s">
        <v>4351</v>
      </c>
      <c r="Z1115" t="s">
        <v>4357</v>
      </c>
      <c r="AA1115" t="s">
        <v>4377</v>
      </c>
      <c r="AB1115" t="s">
        <v>4757</v>
      </c>
      <c r="AD1115" t="s">
        <v>6154</v>
      </c>
      <c r="AE1115">
        <v>67</v>
      </c>
      <c r="AF1115" t="s">
        <v>7101</v>
      </c>
      <c r="AG1115" t="s">
        <v>7118</v>
      </c>
      <c r="AH1115">
        <v>39</v>
      </c>
      <c r="AI1115">
        <v>3</v>
      </c>
      <c r="AJ1115">
        <v>1</v>
      </c>
      <c r="AK1115">
        <v>147.58</v>
      </c>
      <c r="AN1115" t="s">
        <v>7139</v>
      </c>
      <c r="AO1115">
        <v>37042</v>
      </c>
      <c r="AU1115">
        <v>1.9</v>
      </c>
      <c r="AV1115" t="s">
        <v>216</v>
      </c>
      <c r="AW1115" t="s">
        <v>7342</v>
      </c>
      <c r="AX1115" t="s">
        <v>7377</v>
      </c>
    </row>
    <row r="1116" spans="1:50">
      <c r="A1116" s="1">
        <f>HYPERLINK("https://lsnyc.legalserver.org/matter/dynamic-profile/view/1850277","17-1850277")</f>
        <v>0</v>
      </c>
      <c r="B1116" t="s">
        <v>61</v>
      </c>
      <c r="C1116" t="s">
        <v>104</v>
      </c>
      <c r="D1116" t="s">
        <v>419</v>
      </c>
      <c r="E1116" t="s">
        <v>201</v>
      </c>
      <c r="F1116" t="s">
        <v>847</v>
      </c>
      <c r="G1116" t="s">
        <v>1656</v>
      </c>
      <c r="H1116" t="s">
        <v>3021</v>
      </c>
      <c r="I1116">
        <v>47</v>
      </c>
      <c r="J1116" t="s">
        <v>3604</v>
      </c>
      <c r="K1116">
        <v>10034</v>
      </c>
      <c r="L1116" t="s">
        <v>3610</v>
      </c>
      <c r="M1116" t="s">
        <v>3610</v>
      </c>
      <c r="O1116" t="s">
        <v>4210</v>
      </c>
      <c r="P1116" t="s">
        <v>4242</v>
      </c>
      <c r="Q1116" t="s">
        <v>4250</v>
      </c>
      <c r="R1116" t="s">
        <v>4258</v>
      </c>
      <c r="S1116" t="s">
        <v>3611</v>
      </c>
      <c r="U1116" t="s">
        <v>4268</v>
      </c>
      <c r="W1116" t="s">
        <v>419</v>
      </c>
      <c r="X1116">
        <v>1340</v>
      </c>
      <c r="Y1116" t="s">
        <v>4351</v>
      </c>
      <c r="Z1116" t="s">
        <v>4354</v>
      </c>
      <c r="AA1116" t="s">
        <v>4373</v>
      </c>
      <c r="AB1116" t="s">
        <v>5266</v>
      </c>
      <c r="AE1116">
        <v>50</v>
      </c>
      <c r="AF1116" t="s">
        <v>7101</v>
      </c>
      <c r="AG1116" t="s">
        <v>3745</v>
      </c>
      <c r="AH1116">
        <v>2</v>
      </c>
      <c r="AI1116">
        <v>2</v>
      </c>
      <c r="AJ1116">
        <v>0</v>
      </c>
      <c r="AK1116">
        <v>147.78</v>
      </c>
      <c r="AN1116" t="s">
        <v>7138</v>
      </c>
      <c r="AO1116">
        <v>24000</v>
      </c>
      <c r="AU1116">
        <v>1.6</v>
      </c>
      <c r="AV1116" t="s">
        <v>218</v>
      </c>
      <c r="AW1116" t="s">
        <v>7342</v>
      </c>
    </row>
    <row r="1117" spans="1:50">
      <c r="A1117" s="1">
        <f>HYPERLINK("https://lsnyc.legalserver.org/matter/dynamic-profile/view/1856266","18-1856266")</f>
        <v>0</v>
      </c>
      <c r="B1117" t="s">
        <v>64</v>
      </c>
      <c r="C1117" t="s">
        <v>104</v>
      </c>
      <c r="D1117" t="s">
        <v>181</v>
      </c>
      <c r="E1117" t="s">
        <v>277</v>
      </c>
      <c r="F1117" t="s">
        <v>1233</v>
      </c>
      <c r="G1117" t="s">
        <v>2146</v>
      </c>
      <c r="H1117" t="s">
        <v>2642</v>
      </c>
      <c r="I1117" t="s">
        <v>3505</v>
      </c>
      <c r="J1117" t="s">
        <v>3604</v>
      </c>
      <c r="K1117">
        <v>10034</v>
      </c>
      <c r="L1117" t="s">
        <v>3610</v>
      </c>
      <c r="M1117" t="s">
        <v>3609</v>
      </c>
      <c r="O1117" t="s">
        <v>4213</v>
      </c>
      <c r="P1117" t="s">
        <v>4241</v>
      </c>
      <c r="Q1117" t="s">
        <v>4248</v>
      </c>
      <c r="R1117" t="s">
        <v>4258</v>
      </c>
      <c r="S1117" t="s">
        <v>3610</v>
      </c>
      <c r="U1117" t="s">
        <v>4268</v>
      </c>
      <c r="W1117" t="s">
        <v>181</v>
      </c>
      <c r="X1117">
        <v>1295</v>
      </c>
      <c r="Y1117" t="s">
        <v>4351</v>
      </c>
      <c r="Z1117" t="s">
        <v>4357</v>
      </c>
      <c r="AA1117" t="s">
        <v>4379</v>
      </c>
      <c r="AB1117" t="s">
        <v>5267</v>
      </c>
      <c r="AD1117" t="s">
        <v>6625</v>
      </c>
      <c r="AE1117">
        <v>49</v>
      </c>
      <c r="AF1117" t="s">
        <v>7101</v>
      </c>
      <c r="AG1117" t="s">
        <v>3745</v>
      </c>
      <c r="AH1117">
        <v>15</v>
      </c>
      <c r="AI1117">
        <v>2</v>
      </c>
      <c r="AJ1117">
        <v>0</v>
      </c>
      <c r="AK1117">
        <v>147.78</v>
      </c>
      <c r="AN1117" t="s">
        <v>7139</v>
      </c>
      <c r="AO1117">
        <v>24000</v>
      </c>
      <c r="AU1117">
        <v>0.15</v>
      </c>
      <c r="AV1117" t="s">
        <v>335</v>
      </c>
      <c r="AW1117" t="s">
        <v>7342</v>
      </c>
    </row>
    <row r="1118" spans="1:50">
      <c r="A1118" s="1">
        <f>HYPERLINK("https://lsnyc.legalserver.org/matter/dynamic-profile/view/1894261","19-1894261")</f>
        <v>0</v>
      </c>
      <c r="B1118" t="s">
        <v>63</v>
      </c>
      <c r="C1118" t="s">
        <v>104</v>
      </c>
      <c r="D1118" t="s">
        <v>140</v>
      </c>
      <c r="E1118" t="s">
        <v>140</v>
      </c>
      <c r="F1118" t="s">
        <v>1210</v>
      </c>
      <c r="G1118" t="s">
        <v>1594</v>
      </c>
      <c r="H1118" t="s">
        <v>3022</v>
      </c>
      <c r="J1118" t="s">
        <v>3604</v>
      </c>
      <c r="K1118">
        <v>10034</v>
      </c>
      <c r="L1118" t="s">
        <v>3610</v>
      </c>
      <c r="M1118" t="s">
        <v>3609</v>
      </c>
      <c r="N1118" t="s">
        <v>4006</v>
      </c>
      <c r="O1118" t="s">
        <v>4209</v>
      </c>
      <c r="P1118" t="s">
        <v>4242</v>
      </c>
      <c r="Q1118" t="s">
        <v>4250</v>
      </c>
      <c r="R1118" t="s">
        <v>4258</v>
      </c>
      <c r="U1118" t="s">
        <v>4268</v>
      </c>
      <c r="W1118" t="s">
        <v>140</v>
      </c>
      <c r="X1118">
        <v>0</v>
      </c>
      <c r="Y1118" t="s">
        <v>4351</v>
      </c>
      <c r="Z1118" t="s">
        <v>4354</v>
      </c>
      <c r="AA1118" t="s">
        <v>4373</v>
      </c>
      <c r="AB1118" t="s">
        <v>5268</v>
      </c>
      <c r="AD1118" t="s">
        <v>6626</v>
      </c>
      <c r="AE1118">
        <v>60</v>
      </c>
      <c r="AF1118" t="s">
        <v>7101</v>
      </c>
      <c r="AG1118" t="s">
        <v>3745</v>
      </c>
      <c r="AH1118">
        <v>0</v>
      </c>
      <c r="AI1118">
        <v>2</v>
      </c>
      <c r="AJ1118">
        <v>0</v>
      </c>
      <c r="AK1118">
        <v>147.84</v>
      </c>
      <c r="AN1118" t="s">
        <v>7145</v>
      </c>
      <c r="AO1118">
        <v>25000</v>
      </c>
      <c r="AU1118">
        <v>0.1</v>
      </c>
      <c r="AV1118" t="s">
        <v>140</v>
      </c>
      <c r="AW1118" t="s">
        <v>7348</v>
      </c>
      <c r="AX1118" t="s">
        <v>7377</v>
      </c>
    </row>
    <row r="1119" spans="1:50">
      <c r="A1119" s="1">
        <f>HYPERLINK("https://lsnyc.legalserver.org/matter/dynamic-profile/view/1864513","18-1864513")</f>
        <v>0</v>
      </c>
      <c r="B1119" t="s">
        <v>53</v>
      </c>
      <c r="C1119" t="s">
        <v>105</v>
      </c>
      <c r="D1119" t="s">
        <v>157</v>
      </c>
      <c r="F1119" t="s">
        <v>1293</v>
      </c>
      <c r="G1119" t="s">
        <v>2147</v>
      </c>
      <c r="H1119" t="s">
        <v>2508</v>
      </c>
      <c r="I1119">
        <v>410</v>
      </c>
      <c r="J1119" t="s">
        <v>3604</v>
      </c>
      <c r="K1119">
        <v>10029</v>
      </c>
      <c r="L1119" t="s">
        <v>3610</v>
      </c>
      <c r="M1119" t="s">
        <v>3610</v>
      </c>
      <c r="N1119" t="s">
        <v>3642</v>
      </c>
      <c r="O1119" t="s">
        <v>4213</v>
      </c>
      <c r="P1119" t="s">
        <v>4241</v>
      </c>
      <c r="R1119" t="s">
        <v>4258</v>
      </c>
      <c r="S1119" t="s">
        <v>3610</v>
      </c>
      <c r="U1119" t="s">
        <v>4268</v>
      </c>
      <c r="V1119" t="s">
        <v>4274</v>
      </c>
      <c r="W1119" t="s">
        <v>157</v>
      </c>
      <c r="X1119">
        <v>0</v>
      </c>
      <c r="Y1119" t="s">
        <v>4351</v>
      </c>
      <c r="Z1119" t="s">
        <v>4352</v>
      </c>
      <c r="AB1119" t="s">
        <v>5269</v>
      </c>
      <c r="AE1119">
        <v>108</v>
      </c>
      <c r="AF1119" t="s">
        <v>7106</v>
      </c>
      <c r="AG1119" t="s">
        <v>7116</v>
      </c>
      <c r="AH1119">
        <v>19</v>
      </c>
      <c r="AI1119">
        <v>2</v>
      </c>
      <c r="AJ1119">
        <v>0</v>
      </c>
      <c r="AK1119">
        <v>148.19</v>
      </c>
      <c r="AN1119" t="s">
        <v>7139</v>
      </c>
      <c r="AO1119">
        <v>24392</v>
      </c>
      <c r="AU1119">
        <v>0.5</v>
      </c>
      <c r="AV1119" t="s">
        <v>688</v>
      </c>
      <c r="AW1119" t="s">
        <v>7341</v>
      </c>
    </row>
    <row r="1120" spans="1:50">
      <c r="A1120" s="1">
        <f>HYPERLINK("https://lsnyc.legalserver.org/matter/dynamic-profile/view/1861343","18-1861343")</f>
        <v>0</v>
      </c>
      <c r="B1120" t="s">
        <v>55</v>
      </c>
      <c r="C1120" t="s">
        <v>104</v>
      </c>
      <c r="D1120" t="s">
        <v>400</v>
      </c>
      <c r="E1120" t="s">
        <v>488</v>
      </c>
      <c r="F1120" t="s">
        <v>1155</v>
      </c>
      <c r="G1120" t="s">
        <v>2148</v>
      </c>
      <c r="H1120" t="s">
        <v>2622</v>
      </c>
      <c r="I1120" t="s">
        <v>3291</v>
      </c>
      <c r="J1120" t="s">
        <v>3604</v>
      </c>
      <c r="K1120">
        <v>10035</v>
      </c>
      <c r="L1120" t="s">
        <v>3610</v>
      </c>
      <c r="M1120" t="s">
        <v>3610</v>
      </c>
      <c r="O1120" t="s">
        <v>4220</v>
      </c>
      <c r="P1120" t="s">
        <v>4245</v>
      </c>
      <c r="Q1120" t="s">
        <v>4249</v>
      </c>
      <c r="R1120" t="s">
        <v>4258</v>
      </c>
      <c r="S1120" t="s">
        <v>3611</v>
      </c>
      <c r="U1120" t="s">
        <v>4268</v>
      </c>
      <c r="V1120" t="s">
        <v>4274</v>
      </c>
      <c r="W1120" t="s">
        <v>400</v>
      </c>
      <c r="X1120">
        <v>1133.6</v>
      </c>
      <c r="Y1120" t="s">
        <v>4351</v>
      </c>
      <c r="Z1120" t="s">
        <v>4228</v>
      </c>
      <c r="AA1120" t="s">
        <v>4385</v>
      </c>
      <c r="AB1120" t="s">
        <v>5270</v>
      </c>
      <c r="AD1120" t="s">
        <v>6627</v>
      </c>
      <c r="AE1120">
        <v>72</v>
      </c>
      <c r="AF1120" t="s">
        <v>7101</v>
      </c>
      <c r="AG1120" t="s">
        <v>3745</v>
      </c>
      <c r="AH1120">
        <v>7</v>
      </c>
      <c r="AI1120">
        <v>1</v>
      </c>
      <c r="AJ1120">
        <v>0</v>
      </c>
      <c r="AK1120">
        <v>148.27</v>
      </c>
      <c r="AN1120" t="s">
        <v>7138</v>
      </c>
      <c r="AO1120">
        <v>18000</v>
      </c>
      <c r="AU1120">
        <v>2.7</v>
      </c>
      <c r="AV1120" t="s">
        <v>492</v>
      </c>
      <c r="AW1120" t="s">
        <v>7341</v>
      </c>
    </row>
    <row r="1121" spans="1:49">
      <c r="A1121" s="1">
        <f>HYPERLINK("https://lsnyc.legalserver.org/matter/dynamic-profile/view/1873831","18-1873831")</f>
        <v>0</v>
      </c>
      <c r="B1121" t="s">
        <v>64</v>
      </c>
      <c r="C1121" t="s">
        <v>104</v>
      </c>
      <c r="D1121" t="s">
        <v>287</v>
      </c>
      <c r="E1121" t="s">
        <v>642</v>
      </c>
      <c r="F1121" t="s">
        <v>1294</v>
      </c>
      <c r="G1121" t="s">
        <v>1768</v>
      </c>
      <c r="H1121" t="s">
        <v>2739</v>
      </c>
      <c r="I1121" t="s">
        <v>3387</v>
      </c>
      <c r="J1121" t="s">
        <v>3604</v>
      </c>
      <c r="K1121">
        <v>10032</v>
      </c>
      <c r="L1121" t="s">
        <v>3610</v>
      </c>
      <c r="M1121" t="s">
        <v>3610</v>
      </c>
      <c r="O1121" t="s">
        <v>4209</v>
      </c>
      <c r="P1121" t="s">
        <v>4242</v>
      </c>
      <c r="Q1121" t="s">
        <v>4250</v>
      </c>
      <c r="R1121" t="s">
        <v>4258</v>
      </c>
      <c r="S1121" t="s">
        <v>3611</v>
      </c>
      <c r="U1121" t="s">
        <v>4268</v>
      </c>
      <c r="W1121" t="s">
        <v>287</v>
      </c>
      <c r="X1121">
        <v>787.17</v>
      </c>
      <c r="Y1121" t="s">
        <v>4351</v>
      </c>
      <c r="Z1121" t="s">
        <v>4354</v>
      </c>
      <c r="AA1121" t="s">
        <v>4373</v>
      </c>
      <c r="AB1121" t="s">
        <v>5271</v>
      </c>
      <c r="AD1121" t="s">
        <v>6628</v>
      </c>
      <c r="AE1121">
        <v>54</v>
      </c>
      <c r="AF1121" t="s">
        <v>7101</v>
      </c>
      <c r="AG1121" t="s">
        <v>3745</v>
      </c>
      <c r="AH1121">
        <v>35</v>
      </c>
      <c r="AI1121">
        <v>1</v>
      </c>
      <c r="AJ1121">
        <v>0</v>
      </c>
      <c r="AK1121">
        <v>148.27</v>
      </c>
      <c r="AN1121" t="s">
        <v>7138</v>
      </c>
      <c r="AO1121">
        <v>18000</v>
      </c>
      <c r="AU1121">
        <v>5.3</v>
      </c>
      <c r="AV1121" t="s">
        <v>642</v>
      </c>
      <c r="AW1121" t="s">
        <v>7342</v>
      </c>
    </row>
    <row r="1122" spans="1:49">
      <c r="A1122" s="1">
        <f>HYPERLINK("https://lsnyc.legalserver.org/matter/dynamic-profile/view/0828020","17-0828020")</f>
        <v>0</v>
      </c>
      <c r="B1122" t="s">
        <v>64</v>
      </c>
      <c r="C1122" t="s">
        <v>105</v>
      </c>
      <c r="D1122" t="s">
        <v>300</v>
      </c>
      <c r="F1122" t="s">
        <v>771</v>
      </c>
      <c r="G1122" t="s">
        <v>1754</v>
      </c>
      <c r="H1122" t="s">
        <v>2651</v>
      </c>
      <c r="I1122" t="s">
        <v>3342</v>
      </c>
      <c r="J1122" t="s">
        <v>3604</v>
      </c>
      <c r="K1122">
        <v>10034</v>
      </c>
      <c r="L1122" t="s">
        <v>3610</v>
      </c>
      <c r="M1122" t="s">
        <v>3609</v>
      </c>
      <c r="O1122" t="s">
        <v>4211</v>
      </c>
      <c r="P1122" t="s">
        <v>4241</v>
      </c>
      <c r="R1122" t="s">
        <v>4258</v>
      </c>
      <c r="S1122" t="s">
        <v>3610</v>
      </c>
      <c r="U1122" t="s">
        <v>4268</v>
      </c>
      <c r="W1122" t="s">
        <v>436</v>
      </c>
      <c r="X1122">
        <v>1285.83</v>
      </c>
      <c r="Y1122" t="s">
        <v>4351</v>
      </c>
      <c r="Z1122" t="s">
        <v>4352</v>
      </c>
      <c r="AB1122" t="s">
        <v>4960</v>
      </c>
      <c r="AD1122" t="s">
        <v>6629</v>
      </c>
      <c r="AE1122">
        <v>25</v>
      </c>
      <c r="AF1122" t="s">
        <v>7101</v>
      </c>
      <c r="AG1122" t="s">
        <v>3745</v>
      </c>
      <c r="AH1122">
        <v>37</v>
      </c>
      <c r="AI1122">
        <v>2</v>
      </c>
      <c r="AJ1122">
        <v>0</v>
      </c>
      <c r="AK1122">
        <v>148.82</v>
      </c>
      <c r="AN1122" t="s">
        <v>7139</v>
      </c>
      <c r="AO1122">
        <v>24168</v>
      </c>
      <c r="AU1122">
        <v>33.6</v>
      </c>
      <c r="AV1122" t="s">
        <v>109</v>
      </c>
      <c r="AW1122" t="s">
        <v>7341</v>
      </c>
    </row>
    <row r="1123" spans="1:49">
      <c r="A1123" s="1">
        <f>HYPERLINK("https://lsnyc.legalserver.org/matter/dynamic-profile/view/1841884","17-1841884")</f>
        <v>0</v>
      </c>
      <c r="B1123" t="s">
        <v>53</v>
      </c>
      <c r="C1123" t="s">
        <v>104</v>
      </c>
      <c r="D1123" t="s">
        <v>210</v>
      </c>
      <c r="E1123" t="s">
        <v>271</v>
      </c>
      <c r="F1123" t="s">
        <v>820</v>
      </c>
      <c r="G1123" t="s">
        <v>1594</v>
      </c>
      <c r="H1123" t="s">
        <v>2462</v>
      </c>
      <c r="I1123" t="s">
        <v>3318</v>
      </c>
      <c r="J1123" t="s">
        <v>3604</v>
      </c>
      <c r="K1123">
        <v>10040</v>
      </c>
      <c r="L1123" t="s">
        <v>3610</v>
      </c>
      <c r="M1123" t="s">
        <v>3610</v>
      </c>
      <c r="N1123" t="s">
        <v>3669</v>
      </c>
      <c r="O1123" t="s">
        <v>4213</v>
      </c>
      <c r="P1123" t="s">
        <v>4241</v>
      </c>
      <c r="Q1123" t="s">
        <v>4248</v>
      </c>
      <c r="R1123" t="s">
        <v>4258</v>
      </c>
      <c r="S1123" t="s">
        <v>3610</v>
      </c>
      <c r="U1123" t="s">
        <v>4268</v>
      </c>
      <c r="W1123" t="s">
        <v>133</v>
      </c>
      <c r="X1123">
        <v>850.98</v>
      </c>
      <c r="Y1123" t="s">
        <v>4351</v>
      </c>
      <c r="Z1123" t="s">
        <v>4354</v>
      </c>
      <c r="AA1123" t="s">
        <v>4379</v>
      </c>
      <c r="AB1123" t="s">
        <v>5272</v>
      </c>
      <c r="AE1123">
        <v>31</v>
      </c>
      <c r="AF1123" t="s">
        <v>7101</v>
      </c>
      <c r="AG1123" t="s">
        <v>3745</v>
      </c>
      <c r="AH1123">
        <v>20</v>
      </c>
      <c r="AI1123">
        <v>1</v>
      </c>
      <c r="AJ1123">
        <v>0</v>
      </c>
      <c r="AK1123">
        <v>149.25</v>
      </c>
      <c r="AN1123" t="s">
        <v>7139</v>
      </c>
      <c r="AO1123">
        <v>18000</v>
      </c>
      <c r="AP1123" t="s">
        <v>7171</v>
      </c>
      <c r="AQ1123" t="s">
        <v>7197</v>
      </c>
      <c r="AR1123" t="s">
        <v>7208</v>
      </c>
      <c r="AS1123" t="s">
        <v>7231</v>
      </c>
      <c r="AT1123" t="s">
        <v>7241</v>
      </c>
      <c r="AU1123">
        <v>2.7</v>
      </c>
      <c r="AV1123" t="s">
        <v>271</v>
      </c>
      <c r="AW1123" t="s">
        <v>7342</v>
      </c>
    </row>
    <row r="1124" spans="1:49">
      <c r="A1124" s="1">
        <f>HYPERLINK("https://lsnyc.legalserver.org/matter/dynamic-profile/view/1853960","17-1853960")</f>
        <v>0</v>
      </c>
      <c r="B1124" t="s">
        <v>57</v>
      </c>
      <c r="C1124" t="s">
        <v>104</v>
      </c>
      <c r="D1124" t="s">
        <v>125</v>
      </c>
      <c r="E1124" t="s">
        <v>372</v>
      </c>
      <c r="F1124" t="s">
        <v>1295</v>
      </c>
      <c r="G1124" t="s">
        <v>2149</v>
      </c>
      <c r="H1124" t="s">
        <v>3023</v>
      </c>
      <c r="I1124" t="s">
        <v>3322</v>
      </c>
      <c r="J1124" t="s">
        <v>3604</v>
      </c>
      <c r="K1124">
        <v>10035</v>
      </c>
      <c r="L1124" t="s">
        <v>3610</v>
      </c>
      <c r="M1124" t="s">
        <v>3609</v>
      </c>
      <c r="O1124" t="s">
        <v>4237</v>
      </c>
      <c r="P1124" t="s">
        <v>4243</v>
      </c>
      <c r="Q1124" t="s">
        <v>4252</v>
      </c>
      <c r="R1124" t="s">
        <v>4258</v>
      </c>
      <c r="S1124" t="s">
        <v>3611</v>
      </c>
      <c r="U1124" t="s">
        <v>4270</v>
      </c>
      <c r="W1124" t="s">
        <v>125</v>
      </c>
      <c r="X1124">
        <v>2875</v>
      </c>
      <c r="Y1124" t="s">
        <v>4351</v>
      </c>
      <c r="Z1124" t="s">
        <v>4357</v>
      </c>
      <c r="AA1124" t="s">
        <v>4376</v>
      </c>
      <c r="AB1124" t="s">
        <v>5273</v>
      </c>
      <c r="AD1124" t="s">
        <v>6630</v>
      </c>
      <c r="AE1124">
        <v>134</v>
      </c>
      <c r="AF1124" t="s">
        <v>7105</v>
      </c>
      <c r="AG1124" t="s">
        <v>7116</v>
      </c>
      <c r="AH1124">
        <v>21</v>
      </c>
      <c r="AI1124">
        <v>1</v>
      </c>
      <c r="AJ1124">
        <v>0</v>
      </c>
      <c r="AK1124">
        <v>149.25</v>
      </c>
      <c r="AN1124" t="s">
        <v>7138</v>
      </c>
      <c r="AO1124">
        <v>18000</v>
      </c>
      <c r="AU1124">
        <v>24.5</v>
      </c>
      <c r="AV1124" t="s">
        <v>280</v>
      </c>
      <c r="AW1124" t="s">
        <v>7341</v>
      </c>
    </row>
    <row r="1125" spans="1:49">
      <c r="A1125" s="1">
        <f>HYPERLINK("https://lsnyc.legalserver.org/matter/dynamic-profile/view/1839720","17-1839720")</f>
        <v>0</v>
      </c>
      <c r="B1125" t="s">
        <v>53</v>
      </c>
      <c r="C1125" t="s">
        <v>105</v>
      </c>
      <c r="D1125" t="s">
        <v>434</v>
      </c>
      <c r="F1125" t="s">
        <v>1296</v>
      </c>
      <c r="G1125" t="s">
        <v>2150</v>
      </c>
      <c r="H1125" t="s">
        <v>2544</v>
      </c>
      <c r="I1125" t="s">
        <v>3338</v>
      </c>
      <c r="J1125" t="s">
        <v>3604</v>
      </c>
      <c r="K1125">
        <v>10034</v>
      </c>
      <c r="L1125" t="s">
        <v>3610</v>
      </c>
      <c r="M1125" t="s">
        <v>3609</v>
      </c>
      <c r="O1125" t="s">
        <v>4220</v>
      </c>
      <c r="P1125" t="s">
        <v>4241</v>
      </c>
      <c r="R1125" t="s">
        <v>4258</v>
      </c>
      <c r="S1125" t="s">
        <v>3611</v>
      </c>
      <c r="U1125" t="s">
        <v>4268</v>
      </c>
      <c r="W1125" t="s">
        <v>516</v>
      </c>
      <c r="X1125">
        <v>1300</v>
      </c>
      <c r="Y1125" t="s">
        <v>4351</v>
      </c>
      <c r="Z1125" t="s">
        <v>4354</v>
      </c>
      <c r="AB1125" t="s">
        <v>5274</v>
      </c>
      <c r="AD1125" t="s">
        <v>6631</v>
      </c>
      <c r="AE1125">
        <v>65</v>
      </c>
      <c r="AF1125" t="s">
        <v>7103</v>
      </c>
      <c r="AG1125" t="s">
        <v>3745</v>
      </c>
      <c r="AH1125">
        <v>4</v>
      </c>
      <c r="AI1125">
        <v>1</v>
      </c>
      <c r="AJ1125">
        <v>0</v>
      </c>
      <c r="AK1125">
        <v>149.25</v>
      </c>
      <c r="AN1125" t="s">
        <v>7138</v>
      </c>
      <c r="AO1125">
        <v>18000</v>
      </c>
      <c r="AU1125">
        <v>13.85</v>
      </c>
      <c r="AV1125" t="s">
        <v>325</v>
      </c>
      <c r="AW1125" t="s">
        <v>7342</v>
      </c>
    </row>
    <row r="1126" spans="1:49">
      <c r="A1126" s="1">
        <f>HYPERLINK("https://lsnyc.legalserver.org/matter/dynamic-profile/view/1860080","18-1860080")</f>
        <v>0</v>
      </c>
      <c r="B1126" t="s">
        <v>58</v>
      </c>
      <c r="C1126" t="s">
        <v>105</v>
      </c>
      <c r="D1126" t="s">
        <v>126</v>
      </c>
      <c r="F1126" t="s">
        <v>1297</v>
      </c>
      <c r="G1126" t="s">
        <v>1663</v>
      </c>
      <c r="H1126" t="s">
        <v>3024</v>
      </c>
      <c r="I1126" t="s">
        <v>3335</v>
      </c>
      <c r="J1126" t="s">
        <v>3604</v>
      </c>
      <c r="K1126">
        <v>10034</v>
      </c>
      <c r="L1126" t="s">
        <v>3609</v>
      </c>
      <c r="M1126" t="s">
        <v>3609</v>
      </c>
      <c r="O1126" t="s">
        <v>4211</v>
      </c>
      <c r="P1126" t="s">
        <v>4246</v>
      </c>
      <c r="R1126" t="s">
        <v>4258</v>
      </c>
      <c r="S1126" t="s">
        <v>3611</v>
      </c>
      <c r="U1126" t="s">
        <v>4271</v>
      </c>
      <c r="X1126">
        <v>560</v>
      </c>
      <c r="Y1126" t="s">
        <v>4351</v>
      </c>
      <c r="AB1126" t="s">
        <v>5275</v>
      </c>
      <c r="AD1126" t="s">
        <v>6632</v>
      </c>
      <c r="AE1126">
        <v>25</v>
      </c>
      <c r="AF1126" t="s">
        <v>7105</v>
      </c>
      <c r="AG1126" t="s">
        <v>3745</v>
      </c>
      <c r="AH1126">
        <v>3</v>
      </c>
      <c r="AI1126">
        <v>1</v>
      </c>
      <c r="AJ1126">
        <v>0</v>
      </c>
      <c r="AK1126">
        <v>149.25</v>
      </c>
      <c r="AN1126" t="s">
        <v>7138</v>
      </c>
      <c r="AO1126">
        <v>18000</v>
      </c>
      <c r="AU1126">
        <v>0.5</v>
      </c>
      <c r="AV1126" t="s">
        <v>126</v>
      </c>
      <c r="AW1126" t="s">
        <v>7343</v>
      </c>
    </row>
    <row r="1127" spans="1:49">
      <c r="A1127" s="1">
        <f>HYPERLINK("https://lsnyc.legalserver.org/matter/dynamic-profile/view/0804632","16-0804632")</f>
        <v>0</v>
      </c>
      <c r="B1127" t="s">
        <v>67</v>
      </c>
      <c r="C1127" t="s">
        <v>104</v>
      </c>
      <c r="D1127" t="s">
        <v>577</v>
      </c>
      <c r="E1127" t="s">
        <v>209</v>
      </c>
      <c r="F1127" t="s">
        <v>1083</v>
      </c>
      <c r="G1127" t="s">
        <v>1846</v>
      </c>
      <c r="H1127" t="s">
        <v>2864</v>
      </c>
      <c r="I1127" t="s">
        <v>3477</v>
      </c>
      <c r="J1127" t="s">
        <v>3604</v>
      </c>
      <c r="K1127">
        <v>10034</v>
      </c>
      <c r="L1127" t="s">
        <v>3610</v>
      </c>
      <c r="M1127" t="s">
        <v>3610</v>
      </c>
      <c r="N1127" t="s">
        <v>4007</v>
      </c>
      <c r="O1127" t="s">
        <v>4210</v>
      </c>
      <c r="P1127" t="s">
        <v>4241</v>
      </c>
      <c r="Q1127" t="s">
        <v>4255</v>
      </c>
      <c r="R1127" t="s">
        <v>4258</v>
      </c>
      <c r="S1127" t="s">
        <v>3611</v>
      </c>
      <c r="U1127" t="s">
        <v>4268</v>
      </c>
      <c r="V1127" t="s">
        <v>4274</v>
      </c>
      <c r="W1127" t="s">
        <v>577</v>
      </c>
      <c r="X1127">
        <v>711</v>
      </c>
      <c r="Y1127" t="s">
        <v>4351</v>
      </c>
      <c r="Z1127" t="s">
        <v>4368</v>
      </c>
      <c r="AA1127" t="s">
        <v>4374</v>
      </c>
      <c r="AB1127" t="s">
        <v>5276</v>
      </c>
      <c r="AD1127" t="s">
        <v>6633</v>
      </c>
      <c r="AE1127">
        <v>66</v>
      </c>
      <c r="AF1127" t="s">
        <v>7101</v>
      </c>
      <c r="AG1127" t="s">
        <v>3745</v>
      </c>
      <c r="AH1127">
        <v>42</v>
      </c>
      <c r="AI1127">
        <v>1</v>
      </c>
      <c r="AJ1127">
        <v>1</v>
      </c>
      <c r="AK1127">
        <v>149.31</v>
      </c>
      <c r="AN1127" t="s">
        <v>7138</v>
      </c>
      <c r="AO1127">
        <v>23920</v>
      </c>
      <c r="AU1127">
        <v>173.35</v>
      </c>
      <c r="AV1127" t="s">
        <v>432</v>
      </c>
      <c r="AW1127" t="s">
        <v>7341</v>
      </c>
    </row>
    <row r="1128" spans="1:49">
      <c r="A1128" s="1">
        <f>HYPERLINK("https://lsnyc.legalserver.org/matter/dynamic-profile/view/1865948","18-1865948")</f>
        <v>0</v>
      </c>
      <c r="B1128" t="s">
        <v>57</v>
      </c>
      <c r="C1128" t="s">
        <v>104</v>
      </c>
      <c r="D1128" t="s">
        <v>460</v>
      </c>
      <c r="E1128" t="s">
        <v>655</v>
      </c>
      <c r="F1128" t="s">
        <v>1298</v>
      </c>
      <c r="G1128" t="s">
        <v>2151</v>
      </c>
      <c r="H1128" t="s">
        <v>3025</v>
      </c>
      <c r="I1128" t="s">
        <v>3506</v>
      </c>
      <c r="J1128" t="s">
        <v>3604</v>
      </c>
      <c r="K1128">
        <v>10029</v>
      </c>
      <c r="L1128" t="s">
        <v>3610</v>
      </c>
      <c r="M1128" t="s">
        <v>3610</v>
      </c>
      <c r="O1128" t="s">
        <v>4212</v>
      </c>
      <c r="P1128" t="s">
        <v>4243</v>
      </c>
      <c r="Q1128" t="s">
        <v>4252</v>
      </c>
      <c r="R1128" t="s">
        <v>4258</v>
      </c>
      <c r="S1128" t="s">
        <v>3611</v>
      </c>
      <c r="U1128" t="s">
        <v>4270</v>
      </c>
      <c r="W1128" t="s">
        <v>460</v>
      </c>
      <c r="X1128">
        <v>3222</v>
      </c>
      <c r="Y1128" t="s">
        <v>4351</v>
      </c>
      <c r="Z1128" t="s">
        <v>4357</v>
      </c>
      <c r="AA1128" t="s">
        <v>4376</v>
      </c>
      <c r="AB1128" t="s">
        <v>5277</v>
      </c>
      <c r="AD1128" t="s">
        <v>6634</v>
      </c>
      <c r="AE1128">
        <v>272</v>
      </c>
      <c r="AF1128" t="s">
        <v>7110</v>
      </c>
      <c r="AG1128" t="s">
        <v>7116</v>
      </c>
      <c r="AH1128">
        <v>12</v>
      </c>
      <c r="AI1128">
        <v>1</v>
      </c>
      <c r="AJ1128">
        <v>0</v>
      </c>
      <c r="AK1128">
        <v>149.57</v>
      </c>
      <c r="AN1128" t="s">
        <v>7138</v>
      </c>
      <c r="AO1128">
        <v>18158.04</v>
      </c>
      <c r="AU1128">
        <v>6.25</v>
      </c>
      <c r="AV1128" t="s">
        <v>468</v>
      </c>
      <c r="AW1128" t="s">
        <v>7341</v>
      </c>
    </row>
    <row r="1129" spans="1:49">
      <c r="A1129" s="1">
        <f>HYPERLINK("https://lsnyc.legalserver.org/matter/dynamic-profile/view/1852010","17-1852010")</f>
        <v>0</v>
      </c>
      <c r="B1129" t="s">
        <v>61</v>
      </c>
      <c r="C1129" t="s">
        <v>105</v>
      </c>
      <c r="D1129" t="s">
        <v>578</v>
      </c>
      <c r="F1129" t="s">
        <v>1167</v>
      </c>
      <c r="G1129" t="s">
        <v>1753</v>
      </c>
      <c r="H1129" t="s">
        <v>2655</v>
      </c>
      <c r="I1129" t="s">
        <v>3446</v>
      </c>
      <c r="J1129" t="s">
        <v>3604</v>
      </c>
      <c r="K1129">
        <v>10034</v>
      </c>
      <c r="L1129" t="s">
        <v>3610</v>
      </c>
      <c r="M1129" t="s">
        <v>3609</v>
      </c>
      <c r="O1129" t="s">
        <v>4221</v>
      </c>
      <c r="P1129" t="s">
        <v>4244</v>
      </c>
      <c r="R1129" t="s">
        <v>4258</v>
      </c>
      <c r="S1129" t="s">
        <v>3611</v>
      </c>
      <c r="U1129" t="s">
        <v>4268</v>
      </c>
      <c r="W1129" t="s">
        <v>578</v>
      </c>
      <c r="X1129">
        <v>952.4299999999999</v>
      </c>
      <c r="Y1129" t="s">
        <v>4351</v>
      </c>
      <c r="Z1129" t="s">
        <v>4354</v>
      </c>
      <c r="AB1129" t="s">
        <v>5278</v>
      </c>
      <c r="AD1129" t="s">
        <v>6635</v>
      </c>
      <c r="AE1129">
        <v>25</v>
      </c>
      <c r="AF1129" t="s">
        <v>7101</v>
      </c>
      <c r="AG1129" t="s">
        <v>7118</v>
      </c>
      <c r="AH1129">
        <v>32</v>
      </c>
      <c r="AI1129">
        <v>1</v>
      </c>
      <c r="AJ1129">
        <v>0</v>
      </c>
      <c r="AK1129">
        <v>149.85</v>
      </c>
      <c r="AN1129" t="s">
        <v>7139</v>
      </c>
      <c r="AO1129">
        <v>18072</v>
      </c>
      <c r="AU1129">
        <v>3.4</v>
      </c>
      <c r="AV1129" t="s">
        <v>410</v>
      </c>
      <c r="AW1129" t="s">
        <v>7342</v>
      </c>
    </row>
    <row r="1130" spans="1:49">
      <c r="A1130" s="1">
        <f>HYPERLINK("https://lsnyc.legalserver.org/matter/dynamic-profile/view/1864054","18-1864054")</f>
        <v>0</v>
      </c>
      <c r="B1130" t="s">
        <v>56</v>
      </c>
      <c r="C1130" t="s">
        <v>105</v>
      </c>
      <c r="D1130" t="s">
        <v>161</v>
      </c>
      <c r="F1130" t="s">
        <v>1299</v>
      </c>
      <c r="G1130" t="s">
        <v>2152</v>
      </c>
      <c r="H1130" t="s">
        <v>2534</v>
      </c>
      <c r="I1130" t="s">
        <v>3348</v>
      </c>
      <c r="J1130" t="s">
        <v>3604</v>
      </c>
      <c r="K1130">
        <v>10040</v>
      </c>
      <c r="L1130" t="s">
        <v>3610</v>
      </c>
      <c r="M1130" t="s">
        <v>3609</v>
      </c>
      <c r="N1130" t="s">
        <v>3656</v>
      </c>
      <c r="O1130" t="s">
        <v>4213</v>
      </c>
      <c r="P1130" t="s">
        <v>4241</v>
      </c>
      <c r="R1130" t="s">
        <v>4258</v>
      </c>
      <c r="S1130" t="s">
        <v>3610</v>
      </c>
      <c r="U1130" t="s">
        <v>4268</v>
      </c>
      <c r="W1130" t="s">
        <v>161</v>
      </c>
      <c r="X1130">
        <v>1398.48</v>
      </c>
      <c r="Y1130" t="s">
        <v>4351</v>
      </c>
      <c r="Z1130" t="s">
        <v>4357</v>
      </c>
      <c r="AB1130" t="s">
        <v>5279</v>
      </c>
      <c r="AD1130" t="s">
        <v>6636</v>
      </c>
      <c r="AE1130">
        <v>44</v>
      </c>
      <c r="AF1130" t="s">
        <v>7101</v>
      </c>
      <c r="AG1130" t="s">
        <v>3745</v>
      </c>
      <c r="AH1130">
        <v>18</v>
      </c>
      <c r="AI1130">
        <v>1</v>
      </c>
      <c r="AJ1130">
        <v>0</v>
      </c>
      <c r="AK1130">
        <v>149.92</v>
      </c>
      <c r="AL1130" t="s">
        <v>246</v>
      </c>
      <c r="AN1130" t="s">
        <v>7139</v>
      </c>
      <c r="AO1130">
        <v>18200</v>
      </c>
      <c r="AU1130">
        <v>0.01</v>
      </c>
      <c r="AV1130" t="s">
        <v>131</v>
      </c>
      <c r="AW1130" t="s">
        <v>7342</v>
      </c>
    </row>
    <row r="1131" spans="1:49">
      <c r="A1131" s="1">
        <f>HYPERLINK("https://lsnyc.legalserver.org/matter/dynamic-profile/view/1877030","18-1877030")</f>
        <v>0</v>
      </c>
      <c r="B1131" t="s">
        <v>80</v>
      </c>
      <c r="C1131" t="s">
        <v>104</v>
      </c>
      <c r="D1131" t="s">
        <v>198</v>
      </c>
      <c r="E1131" t="s">
        <v>673</v>
      </c>
      <c r="F1131" t="s">
        <v>1300</v>
      </c>
      <c r="G1131" t="s">
        <v>1922</v>
      </c>
      <c r="H1131" t="s">
        <v>2891</v>
      </c>
      <c r="I1131" t="s">
        <v>3507</v>
      </c>
      <c r="J1131" t="s">
        <v>3604</v>
      </c>
      <c r="K1131">
        <v>10025</v>
      </c>
      <c r="L1131" t="s">
        <v>3610</v>
      </c>
      <c r="M1131" t="s">
        <v>3610</v>
      </c>
      <c r="O1131" t="s">
        <v>4211</v>
      </c>
      <c r="P1131" t="s">
        <v>4242</v>
      </c>
      <c r="Q1131" t="s">
        <v>4250</v>
      </c>
      <c r="R1131" t="s">
        <v>4258</v>
      </c>
      <c r="S1131" t="s">
        <v>3611</v>
      </c>
      <c r="U1131" t="s">
        <v>4268</v>
      </c>
      <c r="W1131" t="s">
        <v>198</v>
      </c>
      <c r="X1131">
        <v>1155.17</v>
      </c>
      <c r="Y1131" t="s">
        <v>4351</v>
      </c>
      <c r="Z1131" t="s">
        <v>4354</v>
      </c>
      <c r="AA1131" t="s">
        <v>4373</v>
      </c>
      <c r="AB1131" t="s">
        <v>5280</v>
      </c>
      <c r="AD1131" t="s">
        <v>6637</v>
      </c>
      <c r="AE1131">
        <v>120</v>
      </c>
      <c r="AG1131" t="s">
        <v>3745</v>
      </c>
      <c r="AH1131">
        <v>8</v>
      </c>
      <c r="AI1131">
        <v>1</v>
      </c>
      <c r="AJ1131">
        <v>0</v>
      </c>
      <c r="AK1131">
        <v>149.92</v>
      </c>
      <c r="AN1131" t="s">
        <v>7138</v>
      </c>
      <c r="AO1131">
        <v>18200</v>
      </c>
      <c r="AU1131">
        <v>0.4</v>
      </c>
      <c r="AV1131" t="s">
        <v>167</v>
      </c>
      <c r="AW1131" t="s">
        <v>7341</v>
      </c>
    </row>
    <row r="1132" spans="1:49">
      <c r="A1132" s="1">
        <f>HYPERLINK("https://lsnyc.legalserver.org/matter/dynamic-profile/view/1872457","18-1872457")</f>
        <v>0</v>
      </c>
      <c r="B1132" t="s">
        <v>73</v>
      </c>
      <c r="C1132" t="s">
        <v>104</v>
      </c>
      <c r="D1132" t="s">
        <v>137</v>
      </c>
      <c r="E1132" t="s">
        <v>260</v>
      </c>
      <c r="F1132" t="s">
        <v>704</v>
      </c>
      <c r="G1132" t="s">
        <v>2153</v>
      </c>
      <c r="H1132" t="s">
        <v>3026</v>
      </c>
      <c r="I1132" t="s">
        <v>3436</v>
      </c>
      <c r="J1132" t="s">
        <v>3604</v>
      </c>
      <c r="K1132">
        <v>10033</v>
      </c>
      <c r="L1132" t="s">
        <v>3610</v>
      </c>
      <c r="M1132" t="s">
        <v>3610</v>
      </c>
      <c r="O1132" t="s">
        <v>4220</v>
      </c>
      <c r="P1132" t="s">
        <v>4242</v>
      </c>
      <c r="Q1132" t="s">
        <v>4250</v>
      </c>
      <c r="R1132" t="s">
        <v>4258</v>
      </c>
      <c r="S1132" t="s">
        <v>3611</v>
      </c>
      <c r="U1132" t="s">
        <v>4268</v>
      </c>
      <c r="W1132" t="s">
        <v>137</v>
      </c>
      <c r="X1132">
        <v>786.61</v>
      </c>
      <c r="Y1132" t="s">
        <v>4351</v>
      </c>
      <c r="Z1132" t="s">
        <v>4354</v>
      </c>
      <c r="AA1132" t="s">
        <v>4373</v>
      </c>
      <c r="AB1132" t="s">
        <v>5281</v>
      </c>
      <c r="AD1132" t="s">
        <v>6638</v>
      </c>
      <c r="AE1132">
        <v>49</v>
      </c>
      <c r="AF1132" t="s">
        <v>7101</v>
      </c>
      <c r="AG1132" t="s">
        <v>3745</v>
      </c>
      <c r="AH1132">
        <v>30</v>
      </c>
      <c r="AI1132">
        <v>2</v>
      </c>
      <c r="AJ1132">
        <v>0</v>
      </c>
      <c r="AK1132">
        <v>150.06</v>
      </c>
      <c r="AN1132" t="s">
        <v>7139</v>
      </c>
      <c r="AO1132">
        <v>24700</v>
      </c>
      <c r="AU1132">
        <v>0.7</v>
      </c>
      <c r="AV1132" t="s">
        <v>260</v>
      </c>
      <c r="AW1132" t="s">
        <v>7342</v>
      </c>
    </row>
    <row r="1133" spans="1:49">
      <c r="A1133" s="1">
        <f>HYPERLINK("https://lsnyc.legalserver.org/matter/dynamic-profile/view/1872229","18-1872229")</f>
        <v>0</v>
      </c>
      <c r="B1133" t="s">
        <v>56</v>
      </c>
      <c r="C1133" t="s">
        <v>105</v>
      </c>
      <c r="D1133" t="s">
        <v>528</v>
      </c>
      <c r="F1133" t="s">
        <v>733</v>
      </c>
      <c r="G1133" t="s">
        <v>1642</v>
      </c>
      <c r="H1133" t="s">
        <v>3027</v>
      </c>
      <c r="I1133" t="s">
        <v>3508</v>
      </c>
      <c r="J1133" t="s">
        <v>3604</v>
      </c>
      <c r="K1133">
        <v>10033</v>
      </c>
      <c r="L1133" t="s">
        <v>3610</v>
      </c>
      <c r="M1133" t="s">
        <v>3610</v>
      </c>
      <c r="N1133" t="s">
        <v>4008</v>
      </c>
      <c r="O1133" t="s">
        <v>4210</v>
      </c>
      <c r="P1133" t="s">
        <v>4241</v>
      </c>
      <c r="R1133" t="s">
        <v>4258</v>
      </c>
      <c r="S1133" t="s">
        <v>3611</v>
      </c>
      <c r="U1133" t="s">
        <v>4268</v>
      </c>
      <c r="W1133" t="s">
        <v>528</v>
      </c>
      <c r="X1133">
        <v>1849.62</v>
      </c>
      <c r="Y1133" t="s">
        <v>4351</v>
      </c>
      <c r="Z1133" t="s">
        <v>4354</v>
      </c>
      <c r="AB1133" t="s">
        <v>5244</v>
      </c>
      <c r="AD1133" t="s">
        <v>6639</v>
      </c>
      <c r="AE1133">
        <v>19</v>
      </c>
      <c r="AF1133" t="s">
        <v>7101</v>
      </c>
      <c r="AG1133" t="s">
        <v>3745</v>
      </c>
      <c r="AH1133">
        <v>15</v>
      </c>
      <c r="AI1133">
        <v>3</v>
      </c>
      <c r="AJ1133">
        <v>0</v>
      </c>
      <c r="AK1133">
        <v>150.14</v>
      </c>
      <c r="AN1133" t="s">
        <v>7139</v>
      </c>
      <c r="AO1133">
        <v>31200</v>
      </c>
      <c r="AU1133">
        <v>88.2</v>
      </c>
      <c r="AV1133" t="s">
        <v>678</v>
      </c>
      <c r="AW1133" t="s">
        <v>7342</v>
      </c>
    </row>
    <row r="1134" spans="1:49">
      <c r="A1134" s="1">
        <f>HYPERLINK("https://lsnyc.legalserver.org/matter/dynamic-profile/view/1851168","17-1851168")</f>
        <v>0</v>
      </c>
      <c r="B1134" t="s">
        <v>67</v>
      </c>
      <c r="C1134" t="s">
        <v>104</v>
      </c>
      <c r="D1134" t="s">
        <v>286</v>
      </c>
      <c r="E1134" t="s">
        <v>209</v>
      </c>
      <c r="F1134" t="s">
        <v>1298</v>
      </c>
      <c r="G1134" t="s">
        <v>2151</v>
      </c>
      <c r="H1134" t="s">
        <v>3025</v>
      </c>
      <c r="I1134" t="s">
        <v>3506</v>
      </c>
      <c r="J1134" t="s">
        <v>3604</v>
      </c>
      <c r="K1134">
        <v>10029</v>
      </c>
      <c r="L1134" t="s">
        <v>3610</v>
      </c>
      <c r="M1134" t="s">
        <v>3610</v>
      </c>
      <c r="N1134" t="s">
        <v>4009</v>
      </c>
      <c r="O1134" t="s">
        <v>4209</v>
      </c>
      <c r="P1134" t="s">
        <v>4241</v>
      </c>
      <c r="Q1134" t="s">
        <v>4248</v>
      </c>
      <c r="R1134" t="s">
        <v>4258</v>
      </c>
      <c r="S1134" t="s">
        <v>3610</v>
      </c>
      <c r="U1134" t="s">
        <v>4268</v>
      </c>
      <c r="V1134" t="s">
        <v>4274</v>
      </c>
      <c r="W1134" t="s">
        <v>572</v>
      </c>
      <c r="X1134">
        <v>3072</v>
      </c>
      <c r="Y1134" t="s">
        <v>4351</v>
      </c>
      <c r="Z1134" t="s">
        <v>4357</v>
      </c>
      <c r="AA1134" t="s">
        <v>4374</v>
      </c>
      <c r="AB1134" t="s">
        <v>5277</v>
      </c>
      <c r="AD1134" t="s">
        <v>6634</v>
      </c>
      <c r="AE1134">
        <v>272</v>
      </c>
      <c r="AF1134" t="s">
        <v>7110</v>
      </c>
      <c r="AG1134" t="s">
        <v>7116</v>
      </c>
      <c r="AH1134">
        <v>12</v>
      </c>
      <c r="AI1134">
        <v>1</v>
      </c>
      <c r="AJ1134">
        <v>0</v>
      </c>
      <c r="AK1134">
        <v>150.56</v>
      </c>
      <c r="AN1134" t="s">
        <v>7138</v>
      </c>
      <c r="AO1134">
        <v>18158.04</v>
      </c>
      <c r="AU1134">
        <v>54.85</v>
      </c>
      <c r="AV1134" t="s">
        <v>658</v>
      </c>
      <c r="AW1134" t="s">
        <v>7360</v>
      </c>
    </row>
    <row r="1135" spans="1:49">
      <c r="A1135" s="1">
        <f>HYPERLINK("https://lsnyc.legalserver.org/matter/dynamic-profile/view/0821898","16-0821898")</f>
        <v>0</v>
      </c>
      <c r="B1135" t="s">
        <v>64</v>
      </c>
      <c r="C1135" t="s">
        <v>105</v>
      </c>
      <c r="D1135" t="s">
        <v>395</v>
      </c>
      <c r="F1135" t="s">
        <v>711</v>
      </c>
      <c r="G1135" t="s">
        <v>2154</v>
      </c>
      <c r="H1135" t="s">
        <v>2681</v>
      </c>
      <c r="I1135">
        <v>37</v>
      </c>
      <c r="J1135" t="s">
        <v>3604</v>
      </c>
      <c r="K1135">
        <v>10032</v>
      </c>
      <c r="L1135" t="s">
        <v>3610</v>
      </c>
      <c r="M1135" t="s">
        <v>3609</v>
      </c>
      <c r="O1135" t="s">
        <v>4211</v>
      </c>
      <c r="P1135" t="s">
        <v>4241</v>
      </c>
      <c r="R1135" t="s">
        <v>4258</v>
      </c>
      <c r="S1135" t="s">
        <v>3610</v>
      </c>
      <c r="U1135" t="s">
        <v>4268</v>
      </c>
      <c r="W1135" t="s">
        <v>4282</v>
      </c>
      <c r="X1135">
        <v>770</v>
      </c>
      <c r="Y1135" t="s">
        <v>4351</v>
      </c>
      <c r="Z1135" t="s">
        <v>4352</v>
      </c>
      <c r="AB1135" t="s">
        <v>5282</v>
      </c>
      <c r="AD1135" t="s">
        <v>6640</v>
      </c>
      <c r="AE1135">
        <v>35</v>
      </c>
      <c r="AF1135" t="s">
        <v>7101</v>
      </c>
      <c r="AG1135" t="s">
        <v>3745</v>
      </c>
      <c r="AH1135">
        <v>45</v>
      </c>
      <c r="AI1135">
        <v>3</v>
      </c>
      <c r="AJ1135">
        <v>0</v>
      </c>
      <c r="AK1135">
        <v>150.79</v>
      </c>
      <c r="AN1135" t="s">
        <v>7139</v>
      </c>
      <c r="AO1135">
        <v>30400</v>
      </c>
      <c r="AU1135">
        <v>1.75</v>
      </c>
      <c r="AV1135" t="s">
        <v>142</v>
      </c>
      <c r="AW1135" t="s">
        <v>7341</v>
      </c>
    </row>
    <row r="1136" spans="1:49">
      <c r="A1136" s="1">
        <f>HYPERLINK("https://lsnyc.legalserver.org/matter/dynamic-profile/view/1836404","17-1836404")</f>
        <v>0</v>
      </c>
      <c r="B1136" t="s">
        <v>56</v>
      </c>
      <c r="C1136" t="s">
        <v>105</v>
      </c>
      <c r="D1136" t="s">
        <v>418</v>
      </c>
      <c r="F1136" t="s">
        <v>1299</v>
      </c>
      <c r="G1136" t="s">
        <v>2152</v>
      </c>
      <c r="H1136" t="s">
        <v>2534</v>
      </c>
      <c r="I1136" t="s">
        <v>3348</v>
      </c>
      <c r="J1136" t="s">
        <v>3604</v>
      </c>
      <c r="K1136">
        <v>10040</v>
      </c>
      <c r="L1136" t="s">
        <v>3610</v>
      </c>
      <c r="M1136" t="s">
        <v>3609</v>
      </c>
      <c r="O1136" t="s">
        <v>4218</v>
      </c>
      <c r="P1136" t="s">
        <v>4243</v>
      </c>
      <c r="R1136" t="s">
        <v>4258</v>
      </c>
      <c r="S1136" t="s">
        <v>3610</v>
      </c>
      <c r="U1136" t="s">
        <v>4268</v>
      </c>
      <c r="W1136" t="s">
        <v>355</v>
      </c>
      <c r="X1136">
        <v>1398.48</v>
      </c>
      <c r="Y1136" t="s">
        <v>4351</v>
      </c>
      <c r="Z1136" t="s">
        <v>4352</v>
      </c>
      <c r="AB1136" t="s">
        <v>5279</v>
      </c>
      <c r="AD1136" t="s">
        <v>6636</v>
      </c>
      <c r="AE1136">
        <v>45</v>
      </c>
      <c r="AF1136" t="s">
        <v>7101</v>
      </c>
      <c r="AG1136" t="s">
        <v>3745</v>
      </c>
      <c r="AH1136">
        <v>18</v>
      </c>
      <c r="AI1136">
        <v>1</v>
      </c>
      <c r="AJ1136">
        <v>0</v>
      </c>
      <c r="AK1136">
        <v>150.91</v>
      </c>
      <c r="AL1136" t="s">
        <v>246</v>
      </c>
      <c r="AN1136" t="s">
        <v>7139</v>
      </c>
      <c r="AO1136">
        <v>18200</v>
      </c>
      <c r="AU1136">
        <v>0.51</v>
      </c>
      <c r="AV1136" t="s">
        <v>131</v>
      </c>
      <c r="AW1136" t="s">
        <v>7341</v>
      </c>
    </row>
    <row r="1137" spans="1:50">
      <c r="A1137" s="1">
        <f>HYPERLINK("https://lsnyc.legalserver.org/matter/dynamic-profile/view/1867127","18-1867127")</f>
        <v>0</v>
      </c>
      <c r="B1137" t="s">
        <v>64</v>
      </c>
      <c r="C1137" t="s">
        <v>105</v>
      </c>
      <c r="D1137" t="s">
        <v>240</v>
      </c>
      <c r="F1137" t="s">
        <v>733</v>
      </c>
      <c r="G1137" t="s">
        <v>2155</v>
      </c>
      <c r="H1137" t="s">
        <v>2499</v>
      </c>
      <c r="I1137">
        <v>46</v>
      </c>
      <c r="J1137" t="s">
        <v>3604</v>
      </c>
      <c r="K1137">
        <v>10032</v>
      </c>
      <c r="L1137" t="s">
        <v>3610</v>
      </c>
      <c r="M1137" t="s">
        <v>3609</v>
      </c>
      <c r="N1137" t="s">
        <v>4010</v>
      </c>
      <c r="O1137" t="s">
        <v>4219</v>
      </c>
      <c r="P1137" t="s">
        <v>4241</v>
      </c>
      <c r="R1137" t="s">
        <v>4258</v>
      </c>
      <c r="S1137" t="s">
        <v>3611</v>
      </c>
      <c r="U1137" t="s">
        <v>4268</v>
      </c>
      <c r="V1137" t="s">
        <v>4274</v>
      </c>
      <c r="W1137" t="s">
        <v>240</v>
      </c>
      <c r="X1137">
        <v>1670</v>
      </c>
      <c r="Y1137" t="s">
        <v>4351</v>
      </c>
      <c r="Z1137" t="s">
        <v>4354</v>
      </c>
      <c r="AB1137" t="s">
        <v>5283</v>
      </c>
      <c r="AD1137" t="s">
        <v>6641</v>
      </c>
      <c r="AE1137">
        <v>40</v>
      </c>
      <c r="AF1137" t="s">
        <v>7101</v>
      </c>
      <c r="AG1137" t="s">
        <v>3745</v>
      </c>
      <c r="AH1137">
        <v>28</v>
      </c>
      <c r="AI1137">
        <v>4</v>
      </c>
      <c r="AJ1137">
        <v>0</v>
      </c>
      <c r="AK1137">
        <v>151.39</v>
      </c>
      <c r="AN1137" t="s">
        <v>7139</v>
      </c>
      <c r="AO1137">
        <v>38000</v>
      </c>
      <c r="AU1137">
        <v>115</v>
      </c>
      <c r="AV1137" t="s">
        <v>467</v>
      </c>
      <c r="AW1137" t="s">
        <v>7342</v>
      </c>
    </row>
    <row r="1138" spans="1:50">
      <c r="A1138" s="1">
        <f>HYPERLINK("https://lsnyc.legalserver.org/matter/dynamic-profile/view/1896443","19-1896443")</f>
        <v>0</v>
      </c>
      <c r="B1138" t="s">
        <v>90</v>
      </c>
      <c r="C1138" t="s">
        <v>105</v>
      </c>
      <c r="D1138" t="s">
        <v>118</v>
      </c>
      <c r="F1138" t="s">
        <v>1068</v>
      </c>
      <c r="G1138" t="s">
        <v>1688</v>
      </c>
      <c r="H1138" t="s">
        <v>2671</v>
      </c>
      <c r="I1138">
        <v>41</v>
      </c>
      <c r="J1138" t="s">
        <v>3604</v>
      </c>
      <c r="K1138">
        <v>10034</v>
      </c>
      <c r="L1138" t="s">
        <v>3609</v>
      </c>
      <c r="M1138" t="s">
        <v>3609</v>
      </c>
      <c r="O1138" t="s">
        <v>4211</v>
      </c>
      <c r="P1138" t="s">
        <v>4246</v>
      </c>
      <c r="R1138" t="s">
        <v>4258</v>
      </c>
      <c r="U1138" t="s">
        <v>4268</v>
      </c>
      <c r="X1138">
        <v>541</v>
      </c>
      <c r="Y1138" t="s">
        <v>4351</v>
      </c>
      <c r="AB1138" t="s">
        <v>5001</v>
      </c>
      <c r="AD1138" t="s">
        <v>6377</v>
      </c>
      <c r="AE1138">
        <v>0</v>
      </c>
      <c r="AH1138">
        <v>43</v>
      </c>
      <c r="AI1138">
        <v>2</v>
      </c>
      <c r="AJ1138">
        <v>0</v>
      </c>
      <c r="AK1138">
        <v>151.45</v>
      </c>
      <c r="AN1138" t="s">
        <v>7138</v>
      </c>
      <c r="AO1138">
        <v>25610</v>
      </c>
      <c r="AU1138">
        <v>0</v>
      </c>
      <c r="AW1138" t="s">
        <v>7340</v>
      </c>
    </row>
    <row r="1139" spans="1:50">
      <c r="A1139" s="1">
        <f>HYPERLINK("https://lsnyc.legalserver.org/matter/dynamic-profile/view/1872365","18-1872365")</f>
        <v>0</v>
      </c>
      <c r="B1139" t="s">
        <v>95</v>
      </c>
      <c r="C1139" t="s">
        <v>104</v>
      </c>
      <c r="D1139" t="s">
        <v>310</v>
      </c>
      <c r="E1139" t="s">
        <v>360</v>
      </c>
      <c r="F1139" t="s">
        <v>885</v>
      </c>
      <c r="G1139" t="s">
        <v>2156</v>
      </c>
      <c r="H1139" t="s">
        <v>3028</v>
      </c>
      <c r="I1139" t="s">
        <v>3293</v>
      </c>
      <c r="J1139" t="s">
        <v>3604</v>
      </c>
      <c r="K1139">
        <v>10026</v>
      </c>
      <c r="L1139" t="s">
        <v>3610</v>
      </c>
      <c r="M1139" t="s">
        <v>3610</v>
      </c>
      <c r="N1139" t="s">
        <v>4011</v>
      </c>
      <c r="O1139" t="s">
        <v>4210</v>
      </c>
      <c r="P1139" t="s">
        <v>4242</v>
      </c>
      <c r="Q1139" t="s">
        <v>4250</v>
      </c>
      <c r="R1139" t="s">
        <v>4258</v>
      </c>
      <c r="S1139" t="s">
        <v>3611</v>
      </c>
      <c r="U1139" t="s">
        <v>4268</v>
      </c>
      <c r="W1139" t="s">
        <v>310</v>
      </c>
      <c r="X1139">
        <v>2500</v>
      </c>
      <c r="Y1139" t="s">
        <v>4351</v>
      </c>
      <c r="Z1139" t="s">
        <v>4362</v>
      </c>
      <c r="AA1139" t="s">
        <v>4373</v>
      </c>
      <c r="AB1139" t="s">
        <v>5284</v>
      </c>
      <c r="AD1139" t="s">
        <v>6642</v>
      </c>
      <c r="AE1139">
        <v>0</v>
      </c>
      <c r="AF1139" t="s">
        <v>7105</v>
      </c>
      <c r="AG1139" t="s">
        <v>3745</v>
      </c>
      <c r="AH1139">
        <v>5</v>
      </c>
      <c r="AI1139">
        <v>3</v>
      </c>
      <c r="AJ1139">
        <v>2</v>
      </c>
      <c r="AK1139">
        <v>152.01</v>
      </c>
      <c r="AN1139" t="s">
        <v>7138</v>
      </c>
      <c r="AO1139">
        <v>44720</v>
      </c>
      <c r="AU1139">
        <v>2</v>
      </c>
      <c r="AV1139" t="s">
        <v>553</v>
      </c>
      <c r="AW1139" t="s">
        <v>7344</v>
      </c>
    </row>
    <row r="1140" spans="1:50">
      <c r="A1140" s="1">
        <f>HYPERLINK("https://lsnyc.legalserver.org/matter/dynamic-profile/view/1891916","19-1891916")</f>
        <v>0</v>
      </c>
      <c r="B1140" t="s">
        <v>64</v>
      </c>
      <c r="C1140" t="s">
        <v>104</v>
      </c>
      <c r="D1140" t="s">
        <v>148</v>
      </c>
      <c r="E1140" t="s">
        <v>245</v>
      </c>
      <c r="F1140" t="s">
        <v>730</v>
      </c>
      <c r="G1140" t="s">
        <v>2076</v>
      </c>
      <c r="H1140" t="s">
        <v>2642</v>
      </c>
      <c r="I1140" t="s">
        <v>3288</v>
      </c>
      <c r="J1140" t="s">
        <v>3604</v>
      </c>
      <c r="K1140">
        <v>10034</v>
      </c>
      <c r="L1140" t="s">
        <v>3610</v>
      </c>
      <c r="M1140" t="s">
        <v>3610</v>
      </c>
      <c r="P1140" t="s">
        <v>4242</v>
      </c>
      <c r="Q1140" t="s">
        <v>4250</v>
      </c>
      <c r="R1140" t="s">
        <v>4258</v>
      </c>
      <c r="S1140" t="s">
        <v>3611</v>
      </c>
      <c r="U1140" t="s">
        <v>4268</v>
      </c>
      <c r="W1140" t="s">
        <v>148</v>
      </c>
      <c r="X1140">
        <v>489.71</v>
      </c>
      <c r="Y1140" t="s">
        <v>4351</v>
      </c>
      <c r="Z1140" t="s">
        <v>4354</v>
      </c>
      <c r="AA1140" t="s">
        <v>4373</v>
      </c>
      <c r="AB1140" t="s">
        <v>5285</v>
      </c>
      <c r="AD1140" t="s">
        <v>6643</v>
      </c>
      <c r="AE1140">
        <v>0</v>
      </c>
      <c r="AF1140" t="s">
        <v>7101</v>
      </c>
      <c r="AG1140" t="s">
        <v>3745</v>
      </c>
      <c r="AH1140">
        <v>27</v>
      </c>
      <c r="AI1140">
        <v>1</v>
      </c>
      <c r="AJ1140">
        <v>0</v>
      </c>
      <c r="AK1140">
        <v>152.12</v>
      </c>
      <c r="AN1140" t="s">
        <v>7138</v>
      </c>
      <c r="AO1140">
        <v>19000</v>
      </c>
      <c r="AU1140">
        <v>1.8</v>
      </c>
      <c r="AV1140" t="s">
        <v>245</v>
      </c>
      <c r="AW1140" t="s">
        <v>7342</v>
      </c>
    </row>
    <row r="1141" spans="1:50">
      <c r="A1141" s="1">
        <f>HYPERLINK("https://lsnyc.legalserver.org/matter/dynamic-profile/view/1893340","19-1893340")</f>
        <v>0</v>
      </c>
      <c r="B1141" t="s">
        <v>69</v>
      </c>
      <c r="C1141" t="s">
        <v>104</v>
      </c>
      <c r="D1141" t="s">
        <v>504</v>
      </c>
      <c r="E1141" t="s">
        <v>129</v>
      </c>
      <c r="F1141" t="s">
        <v>1298</v>
      </c>
      <c r="G1141" t="s">
        <v>2151</v>
      </c>
      <c r="H1141" t="s">
        <v>3025</v>
      </c>
      <c r="I1141" t="s">
        <v>3506</v>
      </c>
      <c r="J1141" t="s">
        <v>3604</v>
      </c>
      <c r="K1141">
        <v>10029</v>
      </c>
      <c r="L1141" t="s">
        <v>3610</v>
      </c>
      <c r="M1141" t="s">
        <v>3610</v>
      </c>
      <c r="N1141" t="s">
        <v>4012</v>
      </c>
      <c r="O1141" t="s">
        <v>4210</v>
      </c>
      <c r="P1141" t="s">
        <v>4242</v>
      </c>
      <c r="Q1141" t="s">
        <v>4250</v>
      </c>
      <c r="R1141" t="s">
        <v>4258</v>
      </c>
      <c r="S1141" t="s">
        <v>3611</v>
      </c>
      <c r="U1141" t="s">
        <v>4268</v>
      </c>
      <c r="V1141" t="s">
        <v>4274</v>
      </c>
      <c r="W1141" t="s">
        <v>500</v>
      </c>
      <c r="X1141">
        <v>3287</v>
      </c>
      <c r="Y1141" t="s">
        <v>4351</v>
      </c>
      <c r="Z1141" t="s">
        <v>4357</v>
      </c>
      <c r="AA1141" t="s">
        <v>4373</v>
      </c>
      <c r="AB1141" t="s">
        <v>5277</v>
      </c>
      <c r="AD1141" t="s">
        <v>6634</v>
      </c>
      <c r="AE1141">
        <v>36</v>
      </c>
      <c r="AF1141" t="s">
        <v>7110</v>
      </c>
      <c r="AG1141" t="s">
        <v>7116</v>
      </c>
      <c r="AH1141">
        <v>14</v>
      </c>
      <c r="AI1141">
        <v>1</v>
      </c>
      <c r="AJ1141">
        <v>0</v>
      </c>
      <c r="AK1141">
        <v>152.47</v>
      </c>
      <c r="AN1141" t="s">
        <v>7138</v>
      </c>
      <c r="AO1141">
        <v>19044</v>
      </c>
      <c r="AU1141">
        <v>0.9</v>
      </c>
      <c r="AV1141" t="s">
        <v>4296</v>
      </c>
      <c r="AW1141" t="s">
        <v>7352</v>
      </c>
    </row>
    <row r="1142" spans="1:50">
      <c r="A1142" s="1">
        <f>HYPERLINK("https://lsnyc.legalserver.org/matter/dynamic-profile/view/1879356","18-1879356")</f>
        <v>0</v>
      </c>
      <c r="B1142" t="s">
        <v>61</v>
      </c>
      <c r="C1142" t="s">
        <v>105</v>
      </c>
      <c r="D1142" t="s">
        <v>579</v>
      </c>
      <c r="F1142" t="s">
        <v>723</v>
      </c>
      <c r="G1142" t="s">
        <v>1702</v>
      </c>
      <c r="H1142" t="s">
        <v>2626</v>
      </c>
      <c r="I1142" t="s">
        <v>3509</v>
      </c>
      <c r="J1142" t="s">
        <v>3604</v>
      </c>
      <c r="K1142">
        <v>10034</v>
      </c>
      <c r="L1142" t="s">
        <v>3610</v>
      </c>
      <c r="M1142" t="s">
        <v>3609</v>
      </c>
      <c r="N1142" t="s">
        <v>4013</v>
      </c>
      <c r="O1142" t="s">
        <v>4210</v>
      </c>
      <c r="P1142" t="s">
        <v>4242</v>
      </c>
      <c r="R1142" t="s">
        <v>4258</v>
      </c>
      <c r="S1142" t="s">
        <v>3611</v>
      </c>
      <c r="U1142" t="s">
        <v>4268</v>
      </c>
      <c r="W1142" t="s">
        <v>340</v>
      </c>
      <c r="X1142">
        <v>1039.15</v>
      </c>
      <c r="Y1142" t="s">
        <v>4351</v>
      </c>
      <c r="Z1142" t="s">
        <v>4354</v>
      </c>
      <c r="AB1142" t="s">
        <v>5286</v>
      </c>
      <c r="AD1142" t="s">
        <v>6644</v>
      </c>
      <c r="AE1142">
        <v>46</v>
      </c>
      <c r="AF1142" t="s">
        <v>7101</v>
      </c>
      <c r="AG1142" t="s">
        <v>3745</v>
      </c>
      <c r="AH1142">
        <v>13</v>
      </c>
      <c r="AI1142">
        <v>2</v>
      </c>
      <c r="AJ1142">
        <v>0</v>
      </c>
      <c r="AK1142">
        <v>153.1</v>
      </c>
      <c r="AN1142" t="s">
        <v>7139</v>
      </c>
      <c r="AO1142">
        <v>25200</v>
      </c>
      <c r="AU1142">
        <v>1.6</v>
      </c>
      <c r="AV1142" t="s">
        <v>340</v>
      </c>
      <c r="AW1142" t="s">
        <v>7340</v>
      </c>
      <c r="AX1142" t="s">
        <v>7377</v>
      </c>
    </row>
    <row r="1143" spans="1:50">
      <c r="A1143" s="1">
        <f>HYPERLINK("https://lsnyc.legalserver.org/matter/dynamic-profile/view/0818505","16-0818505")</f>
        <v>0</v>
      </c>
      <c r="B1143" t="s">
        <v>68</v>
      </c>
      <c r="C1143" t="s">
        <v>105</v>
      </c>
      <c r="D1143" t="s">
        <v>580</v>
      </c>
      <c r="F1143" t="s">
        <v>738</v>
      </c>
      <c r="G1143" t="s">
        <v>2157</v>
      </c>
      <c r="H1143" t="s">
        <v>3029</v>
      </c>
      <c r="I1143">
        <v>3005</v>
      </c>
      <c r="J1143" t="s">
        <v>3604</v>
      </c>
      <c r="K1143">
        <v>10035</v>
      </c>
      <c r="L1143" t="s">
        <v>3609</v>
      </c>
      <c r="M1143" t="s">
        <v>3609</v>
      </c>
      <c r="N1143" t="s">
        <v>4014</v>
      </c>
      <c r="O1143" t="s">
        <v>4210</v>
      </c>
      <c r="P1143" t="s">
        <v>4241</v>
      </c>
      <c r="R1143" t="s">
        <v>4258</v>
      </c>
      <c r="S1143" t="s">
        <v>3611</v>
      </c>
      <c r="U1143" t="s">
        <v>4268</v>
      </c>
      <c r="W1143" t="s">
        <v>4304</v>
      </c>
      <c r="X1143">
        <v>2057</v>
      </c>
      <c r="Y1143" t="s">
        <v>4351</v>
      </c>
      <c r="Z1143" t="s">
        <v>4370</v>
      </c>
      <c r="AB1143" t="s">
        <v>4413</v>
      </c>
      <c r="AD1143" t="s">
        <v>6645</v>
      </c>
      <c r="AE1143">
        <v>208</v>
      </c>
      <c r="AF1143" t="s">
        <v>7106</v>
      </c>
      <c r="AG1143" t="s">
        <v>7116</v>
      </c>
      <c r="AH1143">
        <v>10</v>
      </c>
      <c r="AI1143">
        <v>1</v>
      </c>
      <c r="AJ1143">
        <v>0</v>
      </c>
      <c r="AK1143">
        <v>153.2</v>
      </c>
      <c r="AN1143" t="s">
        <v>7138</v>
      </c>
      <c r="AO1143">
        <v>18200</v>
      </c>
      <c r="AU1143">
        <v>96.55</v>
      </c>
      <c r="AV1143" t="s">
        <v>122</v>
      </c>
      <c r="AW1143" t="s">
        <v>7345</v>
      </c>
    </row>
    <row r="1144" spans="1:50">
      <c r="A1144" s="1">
        <f>HYPERLINK("https://lsnyc.legalserver.org/matter/dynamic-profile/view/1902469","19-1902469")</f>
        <v>0</v>
      </c>
      <c r="B1144" t="s">
        <v>88</v>
      </c>
      <c r="C1144" t="s">
        <v>104</v>
      </c>
      <c r="D1144" t="s">
        <v>330</v>
      </c>
      <c r="E1144" t="s">
        <v>512</v>
      </c>
      <c r="F1144" t="s">
        <v>1301</v>
      </c>
      <c r="G1144" t="s">
        <v>2158</v>
      </c>
      <c r="H1144" t="s">
        <v>3030</v>
      </c>
      <c r="I1144">
        <v>152</v>
      </c>
      <c r="J1144" t="s">
        <v>3604</v>
      </c>
      <c r="K1144">
        <v>10044</v>
      </c>
      <c r="L1144" t="s">
        <v>3610</v>
      </c>
      <c r="M1144" t="s">
        <v>3609</v>
      </c>
      <c r="N1144" t="s">
        <v>4015</v>
      </c>
      <c r="O1144" t="s">
        <v>4209</v>
      </c>
      <c r="P1144" t="s">
        <v>4242</v>
      </c>
      <c r="Q1144" t="s">
        <v>4250</v>
      </c>
      <c r="R1144" t="s">
        <v>4258</v>
      </c>
      <c r="S1144" t="s">
        <v>3611</v>
      </c>
      <c r="U1144" t="s">
        <v>4268</v>
      </c>
      <c r="V1144" t="s">
        <v>4275</v>
      </c>
      <c r="W1144" t="s">
        <v>330</v>
      </c>
      <c r="X1144">
        <v>1127</v>
      </c>
      <c r="Y1144" t="s">
        <v>4351</v>
      </c>
      <c r="Z1144" t="s">
        <v>4353</v>
      </c>
      <c r="AA1144" t="s">
        <v>4373</v>
      </c>
      <c r="AB1144" t="s">
        <v>5287</v>
      </c>
      <c r="AD1144" t="s">
        <v>6646</v>
      </c>
      <c r="AE1144">
        <v>0</v>
      </c>
      <c r="AF1144" t="s">
        <v>7105</v>
      </c>
      <c r="AG1144" t="s">
        <v>7116</v>
      </c>
      <c r="AH1144">
        <v>10</v>
      </c>
      <c r="AI1144">
        <v>1</v>
      </c>
      <c r="AJ1144">
        <v>2</v>
      </c>
      <c r="AK1144">
        <v>153.25</v>
      </c>
      <c r="AN1144" t="s">
        <v>7138</v>
      </c>
      <c r="AO1144">
        <v>32688</v>
      </c>
      <c r="AU1144">
        <v>1</v>
      </c>
      <c r="AV1144" t="s">
        <v>330</v>
      </c>
      <c r="AW1144" t="s">
        <v>7344</v>
      </c>
      <c r="AX1144" t="s">
        <v>7377</v>
      </c>
    </row>
    <row r="1145" spans="1:50">
      <c r="A1145" s="1">
        <f>HYPERLINK("https://lsnyc.legalserver.org/matter/dynamic-profile/view/1872562","18-1872562")</f>
        <v>0</v>
      </c>
      <c r="B1145" t="s">
        <v>67</v>
      </c>
      <c r="C1145" t="s">
        <v>105</v>
      </c>
      <c r="D1145" t="s">
        <v>137</v>
      </c>
      <c r="F1145" t="s">
        <v>733</v>
      </c>
      <c r="G1145" t="s">
        <v>2159</v>
      </c>
      <c r="H1145" t="s">
        <v>2951</v>
      </c>
      <c r="I1145" t="s">
        <v>3367</v>
      </c>
      <c r="J1145" t="s">
        <v>3604</v>
      </c>
      <c r="K1145">
        <v>10029</v>
      </c>
      <c r="L1145" t="s">
        <v>3610</v>
      </c>
      <c r="M1145" t="s">
        <v>3610</v>
      </c>
      <c r="N1145" t="s">
        <v>4016</v>
      </c>
      <c r="O1145" t="s">
        <v>4209</v>
      </c>
      <c r="P1145" t="s">
        <v>4245</v>
      </c>
      <c r="R1145" t="s">
        <v>4258</v>
      </c>
      <c r="S1145" t="s">
        <v>3611</v>
      </c>
      <c r="U1145" t="s">
        <v>4268</v>
      </c>
      <c r="V1145" t="s">
        <v>4274</v>
      </c>
      <c r="W1145" t="s">
        <v>493</v>
      </c>
      <c r="X1145">
        <v>900</v>
      </c>
      <c r="Y1145" t="s">
        <v>4351</v>
      </c>
      <c r="Z1145" t="s">
        <v>4365</v>
      </c>
      <c r="AB1145" t="s">
        <v>5288</v>
      </c>
      <c r="AD1145" t="s">
        <v>6647</v>
      </c>
      <c r="AE1145">
        <v>51</v>
      </c>
      <c r="AF1145" t="s">
        <v>7101</v>
      </c>
      <c r="AG1145" t="s">
        <v>3745</v>
      </c>
      <c r="AH1145">
        <v>26</v>
      </c>
      <c r="AI1145">
        <v>2</v>
      </c>
      <c r="AJ1145">
        <v>0</v>
      </c>
      <c r="AK1145">
        <v>153.27</v>
      </c>
      <c r="AN1145" t="s">
        <v>7139</v>
      </c>
      <c r="AO1145">
        <v>25228</v>
      </c>
      <c r="AU1145">
        <v>4.7</v>
      </c>
      <c r="AV1145" t="s">
        <v>315</v>
      </c>
      <c r="AW1145" t="s">
        <v>7346</v>
      </c>
    </row>
    <row r="1146" spans="1:50">
      <c r="A1146" s="1">
        <f>HYPERLINK("https://lsnyc.legalserver.org/matter/dynamic-profile/view/1901440","19-1901440")</f>
        <v>0</v>
      </c>
      <c r="B1146" t="s">
        <v>60</v>
      </c>
      <c r="C1146" t="s">
        <v>105</v>
      </c>
      <c r="D1146" t="s">
        <v>371</v>
      </c>
      <c r="F1146" t="s">
        <v>719</v>
      </c>
      <c r="G1146" t="s">
        <v>2160</v>
      </c>
      <c r="H1146" t="s">
        <v>3031</v>
      </c>
      <c r="I1146" t="s">
        <v>3282</v>
      </c>
      <c r="J1146" t="s">
        <v>3604</v>
      </c>
      <c r="K1146">
        <v>10034</v>
      </c>
      <c r="L1146" t="s">
        <v>3610</v>
      </c>
      <c r="M1146" t="s">
        <v>3609</v>
      </c>
      <c r="O1146" t="s">
        <v>4219</v>
      </c>
      <c r="P1146" t="s">
        <v>4246</v>
      </c>
      <c r="R1146" t="s">
        <v>4258</v>
      </c>
      <c r="S1146" t="s">
        <v>3611</v>
      </c>
      <c r="U1146" t="s">
        <v>4268</v>
      </c>
      <c r="W1146" t="s">
        <v>371</v>
      </c>
      <c r="X1146">
        <v>822.39</v>
      </c>
      <c r="Y1146" t="s">
        <v>4351</v>
      </c>
      <c r="Z1146" t="s">
        <v>4354</v>
      </c>
      <c r="AB1146" t="s">
        <v>5289</v>
      </c>
      <c r="AD1146" t="s">
        <v>6648</v>
      </c>
      <c r="AE1146">
        <v>43</v>
      </c>
      <c r="AF1146" t="s">
        <v>7101</v>
      </c>
      <c r="AG1146" t="s">
        <v>3745</v>
      </c>
      <c r="AH1146">
        <v>3</v>
      </c>
      <c r="AI1146">
        <v>1</v>
      </c>
      <c r="AJ1146">
        <v>0</v>
      </c>
      <c r="AK1146">
        <v>153.72</v>
      </c>
      <c r="AN1146" t="s">
        <v>7139</v>
      </c>
      <c r="AO1146">
        <v>19200</v>
      </c>
      <c r="AU1146">
        <v>2.45</v>
      </c>
      <c r="AV1146" t="s">
        <v>666</v>
      </c>
      <c r="AW1146" t="s">
        <v>7342</v>
      </c>
      <c r="AX1146" t="s">
        <v>7377</v>
      </c>
    </row>
    <row r="1147" spans="1:50">
      <c r="A1147" s="1">
        <f>HYPERLINK("https://lsnyc.legalserver.org/matter/dynamic-profile/view/1892541","19-1892541")</f>
        <v>0</v>
      </c>
      <c r="B1147" t="s">
        <v>61</v>
      </c>
      <c r="C1147" t="s">
        <v>105</v>
      </c>
      <c r="D1147" t="s">
        <v>159</v>
      </c>
      <c r="F1147" t="s">
        <v>1159</v>
      </c>
      <c r="G1147" t="s">
        <v>2161</v>
      </c>
      <c r="H1147" t="s">
        <v>2556</v>
      </c>
      <c r="I1147">
        <v>33</v>
      </c>
      <c r="J1147" t="s">
        <v>3604</v>
      </c>
      <c r="K1147">
        <v>10034</v>
      </c>
      <c r="L1147" t="s">
        <v>3610</v>
      </c>
      <c r="M1147" t="s">
        <v>3610</v>
      </c>
      <c r="O1147" t="s">
        <v>4219</v>
      </c>
      <c r="P1147" t="s">
        <v>4245</v>
      </c>
      <c r="R1147" t="s">
        <v>4258</v>
      </c>
      <c r="S1147" t="s">
        <v>3611</v>
      </c>
      <c r="U1147" t="s">
        <v>4268</v>
      </c>
      <c r="W1147" t="s">
        <v>159</v>
      </c>
      <c r="X1147">
        <v>839</v>
      </c>
      <c r="Y1147" t="s">
        <v>4351</v>
      </c>
      <c r="Z1147" t="s">
        <v>4357</v>
      </c>
      <c r="AB1147" t="s">
        <v>5290</v>
      </c>
      <c r="AD1147" t="s">
        <v>6649</v>
      </c>
      <c r="AE1147">
        <v>25</v>
      </c>
      <c r="AF1147" t="s">
        <v>7101</v>
      </c>
      <c r="AG1147" t="s">
        <v>3745</v>
      </c>
      <c r="AH1147">
        <v>20</v>
      </c>
      <c r="AI1147">
        <v>2</v>
      </c>
      <c r="AJ1147">
        <v>0</v>
      </c>
      <c r="AK1147">
        <v>153.76</v>
      </c>
      <c r="AN1147" t="s">
        <v>7138</v>
      </c>
      <c r="AO1147">
        <v>26000</v>
      </c>
      <c r="AU1147">
        <v>16.2</v>
      </c>
      <c r="AV1147" t="s">
        <v>685</v>
      </c>
      <c r="AW1147" t="s">
        <v>7342</v>
      </c>
      <c r="AX1147" t="s">
        <v>7377</v>
      </c>
    </row>
    <row r="1148" spans="1:50">
      <c r="A1148" s="1">
        <f>HYPERLINK("https://lsnyc.legalserver.org/matter/dynamic-profile/view/1862035","18-1862035")</f>
        <v>0</v>
      </c>
      <c r="B1148" t="s">
        <v>61</v>
      </c>
      <c r="C1148" t="s">
        <v>105</v>
      </c>
      <c r="D1148" t="s">
        <v>581</v>
      </c>
      <c r="F1148" t="s">
        <v>1049</v>
      </c>
      <c r="G1148" t="s">
        <v>2143</v>
      </c>
      <c r="H1148" t="s">
        <v>3032</v>
      </c>
      <c r="I1148" t="s">
        <v>3365</v>
      </c>
      <c r="J1148" t="s">
        <v>3604</v>
      </c>
      <c r="K1148">
        <v>10032</v>
      </c>
      <c r="L1148" t="s">
        <v>3610</v>
      </c>
      <c r="M1148" t="s">
        <v>3609</v>
      </c>
      <c r="O1148" t="s">
        <v>4219</v>
      </c>
      <c r="P1148" t="s">
        <v>4246</v>
      </c>
      <c r="R1148" t="s">
        <v>4258</v>
      </c>
      <c r="S1148" t="s">
        <v>3611</v>
      </c>
      <c r="U1148" t="s">
        <v>4268</v>
      </c>
      <c r="W1148" t="s">
        <v>581</v>
      </c>
      <c r="X1148">
        <v>247.5</v>
      </c>
      <c r="Y1148" t="s">
        <v>4351</v>
      </c>
      <c r="Z1148" t="s">
        <v>4354</v>
      </c>
      <c r="AB1148" t="s">
        <v>5291</v>
      </c>
      <c r="AD1148" t="s">
        <v>6650</v>
      </c>
      <c r="AE1148">
        <v>28</v>
      </c>
      <c r="AF1148" t="s">
        <v>7101</v>
      </c>
      <c r="AG1148" t="s">
        <v>3745</v>
      </c>
      <c r="AH1148">
        <v>30</v>
      </c>
      <c r="AI1148">
        <v>1</v>
      </c>
      <c r="AJ1148">
        <v>0</v>
      </c>
      <c r="AK1148">
        <v>154</v>
      </c>
      <c r="AN1148" t="s">
        <v>7139</v>
      </c>
      <c r="AO1148">
        <v>18696</v>
      </c>
      <c r="AU1148">
        <v>5.1</v>
      </c>
      <c r="AV1148" t="s">
        <v>410</v>
      </c>
      <c r="AW1148" t="s">
        <v>7342</v>
      </c>
    </row>
    <row r="1149" spans="1:50">
      <c r="A1149" s="1">
        <f>HYPERLINK("https://lsnyc.legalserver.org/matter/dynamic-profile/view/1883259","18-1883259")</f>
        <v>0</v>
      </c>
      <c r="B1149" t="s">
        <v>69</v>
      </c>
      <c r="C1149" t="s">
        <v>105</v>
      </c>
      <c r="D1149" t="s">
        <v>345</v>
      </c>
      <c r="F1149" t="s">
        <v>1302</v>
      </c>
      <c r="G1149" t="s">
        <v>2162</v>
      </c>
      <c r="H1149" t="s">
        <v>3023</v>
      </c>
      <c r="I1149" t="s">
        <v>3510</v>
      </c>
      <c r="J1149" t="s">
        <v>3604</v>
      </c>
      <c r="K1149">
        <v>10035</v>
      </c>
      <c r="L1149" t="s">
        <v>3610</v>
      </c>
      <c r="M1149" t="s">
        <v>3610</v>
      </c>
      <c r="N1149" t="s">
        <v>4017</v>
      </c>
      <c r="O1149" t="s">
        <v>4209</v>
      </c>
      <c r="P1149" t="s">
        <v>4241</v>
      </c>
      <c r="R1149" t="s">
        <v>4258</v>
      </c>
      <c r="S1149" t="s">
        <v>3611</v>
      </c>
      <c r="U1149" t="s">
        <v>4268</v>
      </c>
      <c r="V1149" t="s">
        <v>4274</v>
      </c>
      <c r="W1149" t="s">
        <v>657</v>
      </c>
      <c r="X1149">
        <v>186</v>
      </c>
      <c r="Y1149" t="s">
        <v>4351</v>
      </c>
      <c r="Z1149" t="s">
        <v>4354</v>
      </c>
      <c r="AB1149" t="s">
        <v>5292</v>
      </c>
      <c r="AD1149" t="s">
        <v>6651</v>
      </c>
      <c r="AE1149">
        <v>134</v>
      </c>
      <c r="AF1149" t="s">
        <v>7106</v>
      </c>
      <c r="AG1149" t="s">
        <v>7116</v>
      </c>
      <c r="AH1149">
        <v>17</v>
      </c>
      <c r="AI1149">
        <v>2</v>
      </c>
      <c r="AJ1149">
        <v>0</v>
      </c>
      <c r="AK1149">
        <v>156.06</v>
      </c>
      <c r="AN1149" t="s">
        <v>7138</v>
      </c>
      <c r="AO1149">
        <v>25688</v>
      </c>
      <c r="AU1149">
        <v>36.8</v>
      </c>
      <c r="AV1149" t="s">
        <v>501</v>
      </c>
      <c r="AW1149" t="s">
        <v>7366</v>
      </c>
      <c r="AX1149" t="s">
        <v>7377</v>
      </c>
    </row>
    <row r="1150" spans="1:50">
      <c r="A1150" s="1">
        <f>HYPERLINK("https://lsnyc.legalserver.org/matter/dynamic-profile/view/1889161","19-1889161")</f>
        <v>0</v>
      </c>
      <c r="B1150" t="s">
        <v>53</v>
      </c>
      <c r="C1150" t="s">
        <v>104</v>
      </c>
      <c r="D1150" t="s">
        <v>511</v>
      </c>
      <c r="E1150" t="s">
        <v>667</v>
      </c>
      <c r="F1150" t="s">
        <v>979</v>
      </c>
      <c r="G1150" t="s">
        <v>2028</v>
      </c>
      <c r="H1150" t="s">
        <v>3033</v>
      </c>
      <c r="I1150" t="s">
        <v>3311</v>
      </c>
      <c r="J1150" t="s">
        <v>3604</v>
      </c>
      <c r="K1150">
        <v>10031</v>
      </c>
      <c r="L1150" t="s">
        <v>3610</v>
      </c>
      <c r="M1150" t="s">
        <v>3610</v>
      </c>
      <c r="O1150" t="s">
        <v>4211</v>
      </c>
      <c r="P1150" t="s">
        <v>4242</v>
      </c>
      <c r="Q1150" t="s">
        <v>4250</v>
      </c>
      <c r="R1150" t="s">
        <v>4258</v>
      </c>
      <c r="S1150" t="s">
        <v>3611</v>
      </c>
      <c r="U1150" t="s">
        <v>4268</v>
      </c>
      <c r="V1150" t="s">
        <v>4274</v>
      </c>
      <c r="W1150" t="s">
        <v>174</v>
      </c>
      <c r="X1150">
        <v>649.61</v>
      </c>
      <c r="Y1150" t="s">
        <v>4351</v>
      </c>
      <c r="Z1150" t="s">
        <v>4352</v>
      </c>
      <c r="AA1150" t="s">
        <v>4373</v>
      </c>
      <c r="AB1150" t="s">
        <v>5293</v>
      </c>
      <c r="AD1150" t="s">
        <v>6652</v>
      </c>
      <c r="AE1150">
        <v>37</v>
      </c>
      <c r="AF1150" t="s">
        <v>7101</v>
      </c>
      <c r="AG1150" t="s">
        <v>3745</v>
      </c>
      <c r="AH1150">
        <v>40</v>
      </c>
      <c r="AI1150">
        <v>1</v>
      </c>
      <c r="AJ1150">
        <v>0</v>
      </c>
      <c r="AK1150">
        <v>156.12</v>
      </c>
      <c r="AN1150" t="s">
        <v>7139</v>
      </c>
      <c r="AO1150">
        <v>19500</v>
      </c>
      <c r="AU1150">
        <v>0.1</v>
      </c>
      <c r="AV1150" t="s">
        <v>190</v>
      </c>
      <c r="AW1150" t="s">
        <v>7341</v>
      </c>
      <c r="AX1150" t="s">
        <v>7377</v>
      </c>
    </row>
    <row r="1151" spans="1:50">
      <c r="A1151" s="1">
        <f>HYPERLINK("https://lsnyc.legalserver.org/matter/dynamic-profile/view/1882939","18-1882939")</f>
        <v>0</v>
      </c>
      <c r="B1151" t="s">
        <v>61</v>
      </c>
      <c r="C1151" t="s">
        <v>105</v>
      </c>
      <c r="D1151" t="s">
        <v>582</v>
      </c>
      <c r="F1151" t="s">
        <v>1271</v>
      </c>
      <c r="G1151" t="s">
        <v>2163</v>
      </c>
      <c r="H1151" t="s">
        <v>3034</v>
      </c>
      <c r="I1151" t="s">
        <v>3294</v>
      </c>
      <c r="J1151" t="s">
        <v>3604</v>
      </c>
      <c r="K1151">
        <v>10034</v>
      </c>
      <c r="L1151" t="s">
        <v>3610</v>
      </c>
      <c r="M1151" t="s">
        <v>3610</v>
      </c>
      <c r="O1151" t="s">
        <v>4219</v>
      </c>
      <c r="P1151" t="s">
        <v>4244</v>
      </c>
      <c r="R1151" t="s">
        <v>4258</v>
      </c>
      <c r="S1151" t="s">
        <v>3611</v>
      </c>
      <c r="U1151" t="s">
        <v>4268</v>
      </c>
      <c r="W1151" t="s">
        <v>582</v>
      </c>
      <c r="X1151">
        <v>999.88</v>
      </c>
      <c r="Y1151" t="s">
        <v>4351</v>
      </c>
      <c r="Z1151" t="s">
        <v>4354</v>
      </c>
      <c r="AB1151" t="s">
        <v>5294</v>
      </c>
      <c r="AD1151" t="s">
        <v>6653</v>
      </c>
      <c r="AE1151">
        <v>6</v>
      </c>
      <c r="AF1151" t="s">
        <v>7101</v>
      </c>
      <c r="AG1151" t="s">
        <v>7118</v>
      </c>
      <c r="AH1151">
        <v>11</v>
      </c>
      <c r="AI1151">
        <v>1</v>
      </c>
      <c r="AJ1151">
        <v>0</v>
      </c>
      <c r="AK1151">
        <v>156.33</v>
      </c>
      <c r="AN1151" t="s">
        <v>7138</v>
      </c>
      <c r="AO1151">
        <v>18978.96</v>
      </c>
      <c r="AU1151">
        <v>1.8</v>
      </c>
      <c r="AV1151" t="s">
        <v>582</v>
      </c>
      <c r="AW1151" t="s">
        <v>7342</v>
      </c>
      <c r="AX1151" t="s">
        <v>7377</v>
      </c>
    </row>
    <row r="1152" spans="1:50">
      <c r="A1152" s="1">
        <f>HYPERLINK("https://lsnyc.legalserver.org/matter/dynamic-profile/view/0831773","17-0831773")</f>
        <v>0</v>
      </c>
      <c r="B1152" t="s">
        <v>64</v>
      </c>
      <c r="C1152" t="s">
        <v>105</v>
      </c>
      <c r="D1152" t="s">
        <v>583</v>
      </c>
      <c r="F1152" t="s">
        <v>1303</v>
      </c>
      <c r="G1152" t="s">
        <v>2164</v>
      </c>
      <c r="H1152" t="s">
        <v>2854</v>
      </c>
      <c r="I1152">
        <v>21</v>
      </c>
      <c r="J1152" t="s">
        <v>3604</v>
      </c>
      <c r="K1152">
        <v>10034</v>
      </c>
      <c r="L1152" t="s">
        <v>3610</v>
      </c>
      <c r="M1152" t="s">
        <v>3609</v>
      </c>
      <c r="N1152" t="s">
        <v>4018</v>
      </c>
      <c r="O1152" t="s">
        <v>4214</v>
      </c>
      <c r="P1152" t="s">
        <v>4241</v>
      </c>
      <c r="R1152" t="s">
        <v>4258</v>
      </c>
      <c r="S1152" t="s">
        <v>3611</v>
      </c>
      <c r="U1152" t="s">
        <v>4268</v>
      </c>
      <c r="W1152" t="s">
        <v>4282</v>
      </c>
      <c r="X1152">
        <v>1200</v>
      </c>
      <c r="Y1152" t="s">
        <v>4351</v>
      </c>
      <c r="Z1152" t="s">
        <v>4354</v>
      </c>
      <c r="AB1152" t="s">
        <v>5295</v>
      </c>
      <c r="AD1152" t="s">
        <v>6654</v>
      </c>
      <c r="AE1152">
        <v>24</v>
      </c>
      <c r="AF1152" t="s">
        <v>7101</v>
      </c>
      <c r="AG1152" t="s">
        <v>3745</v>
      </c>
      <c r="AH1152">
        <v>2</v>
      </c>
      <c r="AI1152">
        <v>3</v>
      </c>
      <c r="AJ1152">
        <v>1</v>
      </c>
      <c r="AK1152">
        <v>156.42</v>
      </c>
      <c r="AN1152" t="s">
        <v>7138</v>
      </c>
      <c r="AO1152">
        <v>38480</v>
      </c>
      <c r="AU1152">
        <v>3.7</v>
      </c>
      <c r="AV1152" t="s">
        <v>219</v>
      </c>
      <c r="AW1152" t="s">
        <v>7375</v>
      </c>
    </row>
    <row r="1153" spans="1:50">
      <c r="A1153" s="1">
        <f>HYPERLINK("https://lsnyc.legalserver.org/matter/dynamic-profile/view/1865879","18-1865879")</f>
        <v>0</v>
      </c>
      <c r="B1153" t="s">
        <v>53</v>
      </c>
      <c r="C1153" t="s">
        <v>104</v>
      </c>
      <c r="D1153" t="s">
        <v>392</v>
      </c>
      <c r="E1153" t="s">
        <v>667</v>
      </c>
      <c r="F1153" t="s">
        <v>979</v>
      </c>
      <c r="G1153" t="s">
        <v>1623</v>
      </c>
      <c r="H1153" t="s">
        <v>3035</v>
      </c>
      <c r="I1153">
        <v>1007</v>
      </c>
      <c r="J1153" t="s">
        <v>3604</v>
      </c>
      <c r="K1153">
        <v>10029</v>
      </c>
      <c r="L1153" t="s">
        <v>3610</v>
      </c>
      <c r="M1153" t="s">
        <v>3609</v>
      </c>
      <c r="N1153" t="s">
        <v>4019</v>
      </c>
      <c r="O1153" t="s">
        <v>4210</v>
      </c>
      <c r="P1153" t="s">
        <v>4241</v>
      </c>
      <c r="Q1153" t="s">
        <v>4248</v>
      </c>
      <c r="R1153" t="s">
        <v>4258</v>
      </c>
      <c r="S1153" t="s">
        <v>3611</v>
      </c>
      <c r="U1153" t="s">
        <v>4268</v>
      </c>
      <c r="V1153" t="s">
        <v>4274</v>
      </c>
      <c r="W1153" t="s">
        <v>616</v>
      </c>
      <c r="X1153">
        <v>800</v>
      </c>
      <c r="Y1153" t="s">
        <v>4351</v>
      </c>
      <c r="Z1153" t="s">
        <v>4354</v>
      </c>
      <c r="AA1153" t="s">
        <v>4374</v>
      </c>
      <c r="AB1153" t="s">
        <v>5296</v>
      </c>
      <c r="AD1153" t="s">
        <v>6655</v>
      </c>
      <c r="AE1153">
        <v>88</v>
      </c>
      <c r="AF1153" t="s">
        <v>7110</v>
      </c>
      <c r="AG1153" t="s">
        <v>3745</v>
      </c>
      <c r="AH1153">
        <v>2</v>
      </c>
      <c r="AI1153">
        <v>1</v>
      </c>
      <c r="AJ1153">
        <v>0</v>
      </c>
      <c r="AK1153">
        <v>156.51</v>
      </c>
      <c r="AN1153" t="s">
        <v>7138</v>
      </c>
      <c r="AO1153">
        <v>19000</v>
      </c>
      <c r="AQ1153" t="s">
        <v>7197</v>
      </c>
      <c r="AR1153" t="s">
        <v>7205</v>
      </c>
      <c r="AS1153" t="s">
        <v>7231</v>
      </c>
      <c r="AT1153" t="s">
        <v>7268</v>
      </c>
      <c r="AU1153">
        <v>51.3</v>
      </c>
      <c r="AV1153" t="s">
        <v>342</v>
      </c>
      <c r="AW1153" t="s">
        <v>7351</v>
      </c>
      <c r="AX1153" t="s">
        <v>7377</v>
      </c>
    </row>
    <row r="1154" spans="1:50">
      <c r="A1154" s="1">
        <f>HYPERLINK("https://lsnyc.legalserver.org/matter/dynamic-profile/view/1874439","18-1874439")</f>
        <v>0</v>
      </c>
      <c r="B1154" t="s">
        <v>73</v>
      </c>
      <c r="C1154" t="s">
        <v>104</v>
      </c>
      <c r="D1154" t="s">
        <v>393</v>
      </c>
      <c r="E1154" t="s">
        <v>204</v>
      </c>
      <c r="F1154" t="s">
        <v>733</v>
      </c>
      <c r="G1154" t="s">
        <v>2165</v>
      </c>
      <c r="H1154" t="s">
        <v>2811</v>
      </c>
      <c r="I1154" t="s">
        <v>3511</v>
      </c>
      <c r="J1154" t="s">
        <v>3604</v>
      </c>
      <c r="K1154">
        <v>10034</v>
      </c>
      <c r="L1154" t="s">
        <v>3610</v>
      </c>
      <c r="M1154" t="s">
        <v>3610</v>
      </c>
      <c r="O1154" t="s">
        <v>4219</v>
      </c>
      <c r="P1154" t="s">
        <v>4242</v>
      </c>
      <c r="Q1154" t="s">
        <v>4250</v>
      </c>
      <c r="R1154" t="s">
        <v>4258</v>
      </c>
      <c r="S1154" t="s">
        <v>3611</v>
      </c>
      <c r="U1154" t="s">
        <v>4268</v>
      </c>
      <c r="W1154" t="s">
        <v>393</v>
      </c>
      <c r="X1154">
        <v>1450</v>
      </c>
      <c r="Y1154" t="s">
        <v>4351</v>
      </c>
      <c r="Z1154" t="s">
        <v>4364</v>
      </c>
      <c r="AA1154" t="s">
        <v>4373</v>
      </c>
      <c r="AB1154" t="s">
        <v>5297</v>
      </c>
      <c r="AE1154">
        <v>57</v>
      </c>
      <c r="AF1154" t="s">
        <v>7101</v>
      </c>
      <c r="AG1154" t="s">
        <v>3745</v>
      </c>
      <c r="AH1154">
        <v>6</v>
      </c>
      <c r="AI1154">
        <v>4</v>
      </c>
      <c r="AJ1154">
        <v>1</v>
      </c>
      <c r="AK1154">
        <v>156.52</v>
      </c>
      <c r="AN1154" t="s">
        <v>7139</v>
      </c>
      <c r="AO1154">
        <v>46048</v>
      </c>
      <c r="AU1154">
        <v>2.3</v>
      </c>
      <c r="AV1154" t="s">
        <v>136</v>
      </c>
      <c r="AW1154" t="s">
        <v>7342</v>
      </c>
    </row>
    <row r="1155" spans="1:50">
      <c r="A1155" s="1">
        <f>HYPERLINK("https://lsnyc.legalserver.org/matter/dynamic-profile/view/1870466","18-1870466")</f>
        <v>0</v>
      </c>
      <c r="B1155" t="s">
        <v>63</v>
      </c>
      <c r="C1155" t="s">
        <v>105</v>
      </c>
      <c r="D1155" t="s">
        <v>141</v>
      </c>
      <c r="F1155" t="s">
        <v>1304</v>
      </c>
      <c r="G1155" t="s">
        <v>2080</v>
      </c>
      <c r="H1155" t="s">
        <v>2494</v>
      </c>
      <c r="I1155" t="s">
        <v>3345</v>
      </c>
      <c r="J1155" t="s">
        <v>3604</v>
      </c>
      <c r="K1155">
        <v>10032</v>
      </c>
      <c r="L1155" t="s">
        <v>3610</v>
      </c>
      <c r="M1155" t="s">
        <v>3609</v>
      </c>
      <c r="O1155" t="s">
        <v>4220</v>
      </c>
      <c r="P1155" t="s">
        <v>4245</v>
      </c>
      <c r="R1155" t="s">
        <v>4258</v>
      </c>
      <c r="S1155" t="s">
        <v>3610</v>
      </c>
      <c r="U1155" t="s">
        <v>4268</v>
      </c>
      <c r="W1155" t="s">
        <v>4284</v>
      </c>
      <c r="X1155">
        <v>1245.95</v>
      </c>
      <c r="Y1155" t="s">
        <v>4351</v>
      </c>
      <c r="Z1155" t="s">
        <v>4354</v>
      </c>
      <c r="AB1155" t="s">
        <v>5298</v>
      </c>
      <c r="AE1155">
        <v>49</v>
      </c>
      <c r="AF1155" t="s">
        <v>7101</v>
      </c>
      <c r="AG1155" t="s">
        <v>3745</v>
      </c>
      <c r="AH1155">
        <v>10</v>
      </c>
      <c r="AI1155">
        <v>1</v>
      </c>
      <c r="AJ1155">
        <v>1</v>
      </c>
      <c r="AK1155">
        <v>157.21</v>
      </c>
      <c r="AN1155" t="s">
        <v>7139</v>
      </c>
      <c r="AO1155">
        <v>25876</v>
      </c>
      <c r="AU1155">
        <v>0</v>
      </c>
      <c r="AW1155" t="s">
        <v>7342</v>
      </c>
    </row>
    <row r="1156" spans="1:50">
      <c r="A1156" s="1">
        <f>HYPERLINK("https://lsnyc.legalserver.org/matter/dynamic-profile/view/1870463","18-1870463")</f>
        <v>0</v>
      </c>
      <c r="B1156" t="s">
        <v>63</v>
      </c>
      <c r="C1156" t="s">
        <v>104</v>
      </c>
      <c r="D1156" t="s">
        <v>141</v>
      </c>
      <c r="E1156" t="s">
        <v>377</v>
      </c>
      <c r="F1156" t="s">
        <v>1304</v>
      </c>
      <c r="G1156" t="s">
        <v>2080</v>
      </c>
      <c r="H1156" t="s">
        <v>2494</v>
      </c>
      <c r="I1156" t="s">
        <v>3345</v>
      </c>
      <c r="J1156" t="s">
        <v>3604</v>
      </c>
      <c r="K1156">
        <v>10032</v>
      </c>
      <c r="L1156" t="s">
        <v>3610</v>
      </c>
      <c r="M1156" t="s">
        <v>3609</v>
      </c>
      <c r="O1156" t="s">
        <v>4219</v>
      </c>
      <c r="P1156" t="s">
        <v>4242</v>
      </c>
      <c r="Q1156" t="s">
        <v>4250</v>
      </c>
      <c r="R1156" t="s">
        <v>4258</v>
      </c>
      <c r="S1156" t="s">
        <v>3610</v>
      </c>
      <c r="U1156" t="s">
        <v>4268</v>
      </c>
      <c r="W1156" t="s">
        <v>4284</v>
      </c>
      <c r="X1156">
        <v>1245.95</v>
      </c>
      <c r="Y1156" t="s">
        <v>4351</v>
      </c>
      <c r="Z1156" t="s">
        <v>4354</v>
      </c>
      <c r="AA1156" t="s">
        <v>4379</v>
      </c>
      <c r="AB1156" t="s">
        <v>5298</v>
      </c>
      <c r="AE1156">
        <v>49</v>
      </c>
      <c r="AF1156" t="s">
        <v>7101</v>
      </c>
      <c r="AG1156" t="s">
        <v>3745</v>
      </c>
      <c r="AH1156">
        <v>10</v>
      </c>
      <c r="AI1156">
        <v>1</v>
      </c>
      <c r="AJ1156">
        <v>1</v>
      </c>
      <c r="AK1156">
        <v>157.21</v>
      </c>
      <c r="AN1156" t="s">
        <v>7139</v>
      </c>
      <c r="AO1156">
        <v>25876</v>
      </c>
      <c r="AU1156">
        <v>0</v>
      </c>
      <c r="AV1156" t="s">
        <v>552</v>
      </c>
      <c r="AW1156" t="s">
        <v>7342</v>
      </c>
    </row>
    <row r="1157" spans="1:50">
      <c r="A1157" s="1">
        <f>HYPERLINK("https://lsnyc.legalserver.org/matter/dynamic-profile/view/1868051","18-1868051")</f>
        <v>0</v>
      </c>
      <c r="B1157" t="s">
        <v>57</v>
      </c>
      <c r="C1157" t="s">
        <v>104</v>
      </c>
      <c r="D1157" t="s">
        <v>224</v>
      </c>
      <c r="E1157" t="s">
        <v>655</v>
      </c>
      <c r="F1157" t="s">
        <v>902</v>
      </c>
      <c r="G1157" t="s">
        <v>2166</v>
      </c>
      <c r="H1157" t="s">
        <v>3036</v>
      </c>
      <c r="I1157" t="s">
        <v>3338</v>
      </c>
      <c r="J1157" t="s">
        <v>3604</v>
      </c>
      <c r="K1157">
        <v>10035</v>
      </c>
      <c r="L1157" t="s">
        <v>3610</v>
      </c>
      <c r="M1157" t="s">
        <v>3610</v>
      </c>
      <c r="O1157" t="s">
        <v>4212</v>
      </c>
      <c r="P1157" t="s">
        <v>4242</v>
      </c>
      <c r="Q1157" t="s">
        <v>4250</v>
      </c>
      <c r="R1157" t="s">
        <v>4258</v>
      </c>
      <c r="S1157" t="s">
        <v>3611</v>
      </c>
      <c r="U1157" t="s">
        <v>4270</v>
      </c>
      <c r="W1157" t="s">
        <v>224</v>
      </c>
      <c r="X1157">
        <v>843.01</v>
      </c>
      <c r="Y1157" t="s">
        <v>4351</v>
      </c>
      <c r="Z1157" t="s">
        <v>4356</v>
      </c>
      <c r="AA1157" t="s">
        <v>4381</v>
      </c>
      <c r="AB1157" t="s">
        <v>5299</v>
      </c>
      <c r="AD1157" t="s">
        <v>6656</v>
      </c>
      <c r="AE1157">
        <v>0</v>
      </c>
      <c r="AF1157" t="s">
        <v>7104</v>
      </c>
      <c r="AG1157" t="s">
        <v>3745</v>
      </c>
      <c r="AH1157">
        <v>11</v>
      </c>
      <c r="AI1157">
        <v>1</v>
      </c>
      <c r="AJ1157">
        <v>1</v>
      </c>
      <c r="AK1157">
        <v>157.47</v>
      </c>
      <c r="AN1157" t="s">
        <v>7138</v>
      </c>
      <c r="AO1157">
        <v>25920</v>
      </c>
      <c r="AU1157">
        <v>1.25</v>
      </c>
      <c r="AV1157" t="s">
        <v>302</v>
      </c>
      <c r="AW1157" t="s">
        <v>7341</v>
      </c>
    </row>
    <row r="1158" spans="1:50">
      <c r="A1158" s="1">
        <f>HYPERLINK("https://lsnyc.legalserver.org/matter/dynamic-profile/view/1836438","17-1836438")</f>
        <v>0</v>
      </c>
      <c r="B1158" t="s">
        <v>72</v>
      </c>
      <c r="C1158" t="s">
        <v>105</v>
      </c>
      <c r="D1158" t="s">
        <v>584</v>
      </c>
      <c r="F1158" t="s">
        <v>703</v>
      </c>
      <c r="G1158" t="s">
        <v>1844</v>
      </c>
      <c r="H1158" t="s">
        <v>2839</v>
      </c>
      <c r="I1158" t="s">
        <v>3333</v>
      </c>
      <c r="J1158" t="s">
        <v>3604</v>
      </c>
      <c r="K1158">
        <v>10029</v>
      </c>
      <c r="L1158" t="s">
        <v>3610</v>
      </c>
      <c r="M1158" t="s">
        <v>3609</v>
      </c>
      <c r="N1158" t="s">
        <v>4020</v>
      </c>
      <c r="O1158" t="s">
        <v>4210</v>
      </c>
      <c r="P1158" t="s">
        <v>4241</v>
      </c>
      <c r="R1158" t="s">
        <v>4258</v>
      </c>
      <c r="S1158" t="s">
        <v>3611</v>
      </c>
      <c r="U1158" t="s">
        <v>4268</v>
      </c>
      <c r="V1158" t="s">
        <v>4274</v>
      </c>
      <c r="W1158" t="s">
        <v>497</v>
      </c>
      <c r="X1158">
        <v>1085</v>
      </c>
      <c r="Y1158" t="s">
        <v>4351</v>
      </c>
      <c r="Z1158" t="s">
        <v>4354</v>
      </c>
      <c r="AB1158" t="s">
        <v>5300</v>
      </c>
      <c r="AD1158" t="s">
        <v>6657</v>
      </c>
      <c r="AE1158">
        <v>10</v>
      </c>
      <c r="AF1158" t="s">
        <v>7101</v>
      </c>
      <c r="AG1158" t="s">
        <v>3745</v>
      </c>
      <c r="AH1158">
        <v>11</v>
      </c>
      <c r="AI1158">
        <v>1</v>
      </c>
      <c r="AJ1158">
        <v>0</v>
      </c>
      <c r="AK1158">
        <v>157.55</v>
      </c>
      <c r="AN1158" t="s">
        <v>7138</v>
      </c>
      <c r="AO1158">
        <v>19000</v>
      </c>
      <c r="AU1158">
        <v>80.55</v>
      </c>
      <c r="AV1158" t="s">
        <v>7286</v>
      </c>
      <c r="AW1158" t="s">
        <v>7341</v>
      </c>
      <c r="AX1158" t="s">
        <v>7377</v>
      </c>
    </row>
    <row r="1159" spans="1:50">
      <c r="A1159" s="1">
        <f>HYPERLINK("https://lsnyc.legalserver.org/matter/dynamic-profile/view/1902038","19-1902038")</f>
        <v>0</v>
      </c>
      <c r="B1159" t="s">
        <v>62</v>
      </c>
      <c r="C1159" t="s">
        <v>105</v>
      </c>
      <c r="D1159" t="s">
        <v>122</v>
      </c>
      <c r="F1159" t="s">
        <v>1018</v>
      </c>
      <c r="G1159" t="s">
        <v>1594</v>
      </c>
      <c r="H1159" t="s">
        <v>2907</v>
      </c>
      <c r="I1159" t="s">
        <v>3396</v>
      </c>
      <c r="J1159" t="s">
        <v>3604</v>
      </c>
      <c r="K1159">
        <v>10034</v>
      </c>
      <c r="L1159" t="s">
        <v>3610</v>
      </c>
      <c r="M1159" t="s">
        <v>3609</v>
      </c>
      <c r="O1159" t="s">
        <v>4211</v>
      </c>
      <c r="P1159" t="s">
        <v>4245</v>
      </c>
      <c r="R1159" t="s">
        <v>4258</v>
      </c>
      <c r="S1159" t="s">
        <v>3611</v>
      </c>
      <c r="U1159" t="s">
        <v>4268</v>
      </c>
      <c r="W1159" t="s">
        <v>122</v>
      </c>
      <c r="X1159">
        <v>156</v>
      </c>
      <c r="Y1159" t="s">
        <v>4351</v>
      </c>
      <c r="Z1159" t="s">
        <v>4354</v>
      </c>
      <c r="AB1159" t="s">
        <v>5301</v>
      </c>
      <c r="AD1159" t="s">
        <v>6658</v>
      </c>
      <c r="AE1159">
        <v>126</v>
      </c>
      <c r="AF1159" t="s">
        <v>7101</v>
      </c>
      <c r="AG1159" t="s">
        <v>3745</v>
      </c>
      <c r="AH1159">
        <v>7</v>
      </c>
      <c r="AI1159">
        <v>2</v>
      </c>
      <c r="AJ1159">
        <v>1</v>
      </c>
      <c r="AK1159">
        <v>157.69</v>
      </c>
      <c r="AN1159" t="s">
        <v>7138</v>
      </c>
      <c r="AO1159">
        <v>33636</v>
      </c>
      <c r="AU1159">
        <v>9.800000000000001</v>
      </c>
      <c r="AV1159" t="s">
        <v>7293</v>
      </c>
      <c r="AW1159" t="s">
        <v>7342</v>
      </c>
      <c r="AX1159" t="s">
        <v>3745</v>
      </c>
    </row>
    <row r="1160" spans="1:50">
      <c r="A1160" s="1">
        <f>HYPERLINK("https://lsnyc.legalserver.org/matter/dynamic-profile/view/1887937","19-1887937")</f>
        <v>0</v>
      </c>
      <c r="B1160" t="s">
        <v>61</v>
      </c>
      <c r="C1160" t="s">
        <v>105</v>
      </c>
      <c r="D1160" t="s">
        <v>194</v>
      </c>
      <c r="F1160" t="s">
        <v>1159</v>
      </c>
      <c r="G1160" t="s">
        <v>2161</v>
      </c>
      <c r="H1160" t="s">
        <v>2556</v>
      </c>
      <c r="I1160">
        <v>33</v>
      </c>
      <c r="J1160" t="s">
        <v>3604</v>
      </c>
      <c r="K1160">
        <v>10034</v>
      </c>
      <c r="L1160" t="s">
        <v>3610</v>
      </c>
      <c r="M1160" t="s">
        <v>3610</v>
      </c>
      <c r="N1160" t="s">
        <v>3739</v>
      </c>
      <c r="O1160" t="s">
        <v>4213</v>
      </c>
      <c r="P1160" t="s">
        <v>4241</v>
      </c>
      <c r="R1160" t="s">
        <v>4258</v>
      </c>
      <c r="S1160" t="s">
        <v>3610</v>
      </c>
      <c r="U1160" t="s">
        <v>4268</v>
      </c>
      <c r="W1160" t="s">
        <v>194</v>
      </c>
      <c r="X1160">
        <v>839</v>
      </c>
      <c r="Y1160" t="s">
        <v>4351</v>
      </c>
      <c r="Z1160" t="s">
        <v>4354</v>
      </c>
      <c r="AB1160" t="s">
        <v>5290</v>
      </c>
      <c r="AD1160" t="s">
        <v>6649</v>
      </c>
      <c r="AE1160">
        <v>25</v>
      </c>
      <c r="AF1160" t="s">
        <v>7101</v>
      </c>
      <c r="AG1160" t="s">
        <v>3745</v>
      </c>
      <c r="AH1160">
        <v>20</v>
      </c>
      <c r="AI1160">
        <v>2</v>
      </c>
      <c r="AJ1160">
        <v>0</v>
      </c>
      <c r="AK1160">
        <v>157.96</v>
      </c>
      <c r="AN1160" t="s">
        <v>7138</v>
      </c>
      <c r="AO1160">
        <v>26000</v>
      </c>
      <c r="AU1160">
        <v>1</v>
      </c>
      <c r="AV1160" t="s">
        <v>680</v>
      </c>
      <c r="AW1160" t="s">
        <v>7342</v>
      </c>
    </row>
    <row r="1161" spans="1:50">
      <c r="A1161" s="1">
        <f>HYPERLINK("https://lsnyc.legalserver.org/matter/dynamic-profile/view/1878781","18-1878781")</f>
        <v>0</v>
      </c>
      <c r="B1161" t="s">
        <v>53</v>
      </c>
      <c r="C1161" t="s">
        <v>105</v>
      </c>
      <c r="D1161" t="s">
        <v>342</v>
      </c>
      <c r="F1161" t="s">
        <v>1305</v>
      </c>
      <c r="G1161" t="s">
        <v>1810</v>
      </c>
      <c r="H1161" t="s">
        <v>2998</v>
      </c>
      <c r="I1161">
        <v>7</v>
      </c>
      <c r="J1161" t="s">
        <v>3604</v>
      </c>
      <c r="K1161">
        <v>10029</v>
      </c>
      <c r="L1161" t="s">
        <v>3610</v>
      </c>
      <c r="M1161" t="s">
        <v>3610</v>
      </c>
      <c r="N1161" t="s">
        <v>3983</v>
      </c>
      <c r="O1161" t="s">
        <v>4213</v>
      </c>
      <c r="P1161" t="s">
        <v>4241</v>
      </c>
      <c r="R1161" t="s">
        <v>4258</v>
      </c>
      <c r="S1161" t="s">
        <v>3610</v>
      </c>
      <c r="U1161" t="s">
        <v>4268</v>
      </c>
      <c r="V1161" t="s">
        <v>4274</v>
      </c>
      <c r="W1161" t="s">
        <v>4335</v>
      </c>
      <c r="X1161">
        <v>900</v>
      </c>
      <c r="Y1161" t="s">
        <v>4351</v>
      </c>
      <c r="Z1161" t="s">
        <v>4363</v>
      </c>
      <c r="AB1161" t="s">
        <v>5302</v>
      </c>
      <c r="AD1161" t="s">
        <v>6659</v>
      </c>
      <c r="AE1161">
        <v>8</v>
      </c>
      <c r="AF1161" t="s">
        <v>7101</v>
      </c>
      <c r="AG1161" t="s">
        <v>3745</v>
      </c>
      <c r="AH1161">
        <v>20</v>
      </c>
      <c r="AI1161">
        <v>2</v>
      </c>
      <c r="AJ1161">
        <v>0</v>
      </c>
      <c r="AK1161">
        <v>157.96</v>
      </c>
      <c r="AN1161" t="s">
        <v>7139</v>
      </c>
      <c r="AO1161">
        <v>26000</v>
      </c>
      <c r="AU1161">
        <v>34.75</v>
      </c>
      <c r="AV1161" t="s">
        <v>689</v>
      </c>
      <c r="AW1161" t="s">
        <v>7351</v>
      </c>
    </row>
    <row r="1162" spans="1:50">
      <c r="A1162" s="1">
        <f>HYPERLINK("https://lsnyc.legalserver.org/matter/dynamic-profile/view/1859754","18-1859754")</f>
        <v>0</v>
      </c>
      <c r="B1162" t="s">
        <v>59</v>
      </c>
      <c r="C1162" t="s">
        <v>104</v>
      </c>
      <c r="D1162" t="s">
        <v>178</v>
      </c>
      <c r="E1162" t="s">
        <v>140</v>
      </c>
      <c r="F1162" t="s">
        <v>1273</v>
      </c>
      <c r="G1162" t="s">
        <v>2167</v>
      </c>
      <c r="H1162" t="s">
        <v>3037</v>
      </c>
      <c r="I1162" t="s">
        <v>3335</v>
      </c>
      <c r="J1162" t="s">
        <v>3604</v>
      </c>
      <c r="K1162">
        <v>10002</v>
      </c>
      <c r="L1162" t="s">
        <v>3610</v>
      </c>
      <c r="M1162" t="s">
        <v>3609</v>
      </c>
      <c r="N1162" t="s">
        <v>4021</v>
      </c>
      <c r="O1162" t="s">
        <v>4210</v>
      </c>
      <c r="P1162" t="s">
        <v>4242</v>
      </c>
      <c r="Q1162" t="s">
        <v>4250</v>
      </c>
      <c r="R1162" t="s">
        <v>4258</v>
      </c>
      <c r="S1162" t="s">
        <v>3611</v>
      </c>
      <c r="U1162" t="s">
        <v>4268</v>
      </c>
      <c r="W1162" t="s">
        <v>178</v>
      </c>
      <c r="X1162">
        <v>823</v>
      </c>
      <c r="Y1162" t="s">
        <v>4351</v>
      </c>
      <c r="Z1162" t="s">
        <v>4354</v>
      </c>
      <c r="AA1162" t="s">
        <v>4373</v>
      </c>
      <c r="AB1162" t="s">
        <v>5303</v>
      </c>
      <c r="AD1162" t="s">
        <v>6660</v>
      </c>
      <c r="AE1162">
        <v>0</v>
      </c>
      <c r="AF1162" t="s">
        <v>7101</v>
      </c>
      <c r="AG1162" t="s">
        <v>3745</v>
      </c>
      <c r="AH1162">
        <v>44</v>
      </c>
      <c r="AI1162">
        <v>2</v>
      </c>
      <c r="AJ1162">
        <v>0</v>
      </c>
      <c r="AK1162">
        <v>158.13</v>
      </c>
      <c r="AN1162" t="s">
        <v>7139</v>
      </c>
      <c r="AO1162">
        <v>25680</v>
      </c>
      <c r="AU1162">
        <v>0.5</v>
      </c>
      <c r="AV1162" t="s">
        <v>397</v>
      </c>
      <c r="AW1162" t="s">
        <v>7350</v>
      </c>
    </row>
    <row r="1163" spans="1:50">
      <c r="A1163" s="1">
        <f>HYPERLINK("https://lsnyc.legalserver.org/matter/dynamic-profile/view/1875869","18-1875869")</f>
        <v>0</v>
      </c>
      <c r="B1163" t="s">
        <v>53</v>
      </c>
      <c r="C1163" t="s">
        <v>104</v>
      </c>
      <c r="D1163" t="s">
        <v>573</v>
      </c>
      <c r="E1163" t="s">
        <v>656</v>
      </c>
      <c r="F1163" t="s">
        <v>1306</v>
      </c>
      <c r="G1163" t="s">
        <v>2168</v>
      </c>
      <c r="H1163" t="s">
        <v>3038</v>
      </c>
      <c r="I1163" t="s">
        <v>3512</v>
      </c>
      <c r="J1163" t="s">
        <v>3604</v>
      </c>
      <c r="K1163">
        <v>10035</v>
      </c>
      <c r="L1163" t="s">
        <v>3610</v>
      </c>
      <c r="M1163" t="s">
        <v>3610</v>
      </c>
      <c r="N1163" t="s">
        <v>4022</v>
      </c>
      <c r="O1163" t="s">
        <v>4209</v>
      </c>
      <c r="P1163" t="s">
        <v>4242</v>
      </c>
      <c r="Q1163" t="s">
        <v>4250</v>
      </c>
      <c r="R1163" t="s">
        <v>4258</v>
      </c>
      <c r="S1163" t="s">
        <v>3611</v>
      </c>
      <c r="U1163" t="s">
        <v>4268</v>
      </c>
      <c r="V1163" t="s">
        <v>4274</v>
      </c>
      <c r="W1163" t="s">
        <v>4335</v>
      </c>
      <c r="X1163">
        <v>1800</v>
      </c>
      <c r="Y1163" t="s">
        <v>4351</v>
      </c>
      <c r="Z1163" t="s">
        <v>4366</v>
      </c>
      <c r="AA1163" t="s">
        <v>4373</v>
      </c>
      <c r="AB1163" t="s">
        <v>5304</v>
      </c>
      <c r="AD1163" t="s">
        <v>6661</v>
      </c>
      <c r="AE1163">
        <v>200</v>
      </c>
      <c r="AF1163" t="s">
        <v>7106</v>
      </c>
      <c r="AG1163" t="s">
        <v>7116</v>
      </c>
      <c r="AH1163">
        <v>6</v>
      </c>
      <c r="AI1163">
        <v>1</v>
      </c>
      <c r="AJ1163">
        <v>0</v>
      </c>
      <c r="AK1163">
        <v>158.15</v>
      </c>
      <c r="AN1163" t="s">
        <v>7138</v>
      </c>
      <c r="AO1163">
        <v>19200</v>
      </c>
      <c r="AU1163">
        <v>1.5</v>
      </c>
      <c r="AV1163" t="s">
        <v>220</v>
      </c>
      <c r="AW1163" t="s">
        <v>7369</v>
      </c>
    </row>
    <row r="1164" spans="1:50">
      <c r="A1164" s="1">
        <f>HYPERLINK("https://lsnyc.legalserver.org/matter/dynamic-profile/view/1879315","18-1879315")</f>
        <v>0</v>
      </c>
      <c r="B1164" t="s">
        <v>63</v>
      </c>
      <c r="C1164" t="s">
        <v>104</v>
      </c>
      <c r="D1164" t="s">
        <v>579</v>
      </c>
      <c r="E1164" t="s">
        <v>579</v>
      </c>
      <c r="F1164" t="s">
        <v>1307</v>
      </c>
      <c r="G1164" t="s">
        <v>2169</v>
      </c>
      <c r="H1164" t="s">
        <v>2610</v>
      </c>
      <c r="I1164" t="s">
        <v>3513</v>
      </c>
      <c r="J1164" t="s">
        <v>3604</v>
      </c>
      <c r="K1164">
        <v>10034</v>
      </c>
      <c r="L1164" t="s">
        <v>3609</v>
      </c>
      <c r="M1164" t="s">
        <v>3609</v>
      </c>
      <c r="O1164" t="s">
        <v>4211</v>
      </c>
      <c r="P1164" t="s">
        <v>4245</v>
      </c>
      <c r="Q1164" t="s">
        <v>4249</v>
      </c>
      <c r="R1164" t="s">
        <v>4258</v>
      </c>
      <c r="S1164" t="s">
        <v>3611</v>
      </c>
      <c r="U1164" t="s">
        <v>4268</v>
      </c>
      <c r="X1164">
        <v>1008.83</v>
      </c>
      <c r="Y1164" t="s">
        <v>4351</v>
      </c>
      <c r="Z1164" t="s">
        <v>4354</v>
      </c>
      <c r="AA1164" t="s">
        <v>4373</v>
      </c>
      <c r="AB1164" t="s">
        <v>5305</v>
      </c>
      <c r="AD1164" t="s">
        <v>6662</v>
      </c>
      <c r="AE1164">
        <v>146</v>
      </c>
      <c r="AF1164" t="s">
        <v>7101</v>
      </c>
      <c r="AG1164" t="s">
        <v>3745</v>
      </c>
      <c r="AH1164">
        <v>15</v>
      </c>
      <c r="AI1164">
        <v>1</v>
      </c>
      <c r="AJ1164">
        <v>0</v>
      </c>
      <c r="AK1164">
        <v>158.15</v>
      </c>
      <c r="AN1164" t="s">
        <v>7138</v>
      </c>
      <c r="AO1164">
        <v>19200</v>
      </c>
      <c r="AU1164">
        <v>0.5</v>
      </c>
      <c r="AV1164" t="s">
        <v>579</v>
      </c>
      <c r="AW1164" t="s">
        <v>7340</v>
      </c>
    </row>
    <row r="1165" spans="1:50">
      <c r="A1165" s="1">
        <f>HYPERLINK("https://lsnyc.legalserver.org/matter/dynamic-profile/view/1903631","19-1903631")</f>
        <v>0</v>
      </c>
      <c r="B1165" t="s">
        <v>78</v>
      </c>
      <c r="C1165" t="s">
        <v>105</v>
      </c>
      <c r="D1165" t="s">
        <v>325</v>
      </c>
      <c r="F1165" t="s">
        <v>1163</v>
      </c>
      <c r="G1165" t="s">
        <v>2170</v>
      </c>
      <c r="H1165" t="s">
        <v>3039</v>
      </c>
      <c r="I1165" t="s">
        <v>3351</v>
      </c>
      <c r="J1165" t="s">
        <v>3604</v>
      </c>
      <c r="K1165">
        <v>10021</v>
      </c>
      <c r="L1165" t="s">
        <v>3609</v>
      </c>
      <c r="M1165" t="s">
        <v>3609</v>
      </c>
      <c r="N1165">
        <v>53659</v>
      </c>
      <c r="O1165" t="s">
        <v>4209</v>
      </c>
      <c r="R1165" t="s">
        <v>4258</v>
      </c>
      <c r="U1165" t="s">
        <v>4268</v>
      </c>
      <c r="X1165">
        <v>830.13</v>
      </c>
      <c r="Y1165" t="s">
        <v>4351</v>
      </c>
      <c r="AB1165" t="s">
        <v>5306</v>
      </c>
      <c r="AD1165" t="s">
        <v>6663</v>
      </c>
      <c r="AE1165">
        <v>0</v>
      </c>
      <c r="AH1165">
        <v>43</v>
      </c>
      <c r="AI1165">
        <v>1</v>
      </c>
      <c r="AJ1165">
        <v>0</v>
      </c>
      <c r="AK1165">
        <v>158.33</v>
      </c>
      <c r="AN1165" t="s">
        <v>7138</v>
      </c>
      <c r="AO1165">
        <v>19776</v>
      </c>
      <c r="AU1165">
        <v>0.5</v>
      </c>
      <c r="AV1165" t="s">
        <v>325</v>
      </c>
      <c r="AW1165" t="s">
        <v>7340</v>
      </c>
    </row>
    <row r="1166" spans="1:50">
      <c r="A1166" s="1">
        <f>HYPERLINK("https://lsnyc.legalserver.org/matter/dynamic-profile/view/1833514","17-1833514")</f>
        <v>0</v>
      </c>
      <c r="B1166" t="s">
        <v>84</v>
      </c>
      <c r="C1166" t="s">
        <v>104</v>
      </c>
      <c r="D1166" t="s">
        <v>166</v>
      </c>
      <c r="E1166" t="s">
        <v>521</v>
      </c>
      <c r="F1166" t="s">
        <v>1296</v>
      </c>
      <c r="G1166" t="s">
        <v>1885</v>
      </c>
      <c r="H1166" t="s">
        <v>3040</v>
      </c>
      <c r="I1166" t="s">
        <v>3375</v>
      </c>
      <c r="J1166" t="s">
        <v>3604</v>
      </c>
      <c r="K1166">
        <v>10035</v>
      </c>
      <c r="L1166" t="s">
        <v>3610</v>
      </c>
      <c r="M1166" t="s">
        <v>3609</v>
      </c>
      <c r="N1166" t="s">
        <v>4023</v>
      </c>
      <c r="O1166" t="s">
        <v>4210</v>
      </c>
      <c r="P1166" t="s">
        <v>4241</v>
      </c>
      <c r="Q1166" t="s">
        <v>4248</v>
      </c>
      <c r="R1166" t="s">
        <v>4258</v>
      </c>
      <c r="S1166" t="s">
        <v>3611</v>
      </c>
      <c r="U1166" t="s">
        <v>4268</v>
      </c>
      <c r="W1166" t="s">
        <v>4282</v>
      </c>
      <c r="X1166">
        <v>180</v>
      </c>
      <c r="Y1166" t="s">
        <v>4351</v>
      </c>
      <c r="Z1166" t="s">
        <v>4371</v>
      </c>
      <c r="AA1166" t="s">
        <v>4374</v>
      </c>
      <c r="AB1166" t="s">
        <v>5307</v>
      </c>
      <c r="AD1166" t="s">
        <v>6664</v>
      </c>
      <c r="AE1166">
        <v>23</v>
      </c>
      <c r="AF1166" t="s">
        <v>7101</v>
      </c>
      <c r="AG1166" t="s">
        <v>3745</v>
      </c>
      <c r="AH1166">
        <v>15</v>
      </c>
      <c r="AI1166">
        <v>2</v>
      </c>
      <c r="AJ1166">
        <v>1</v>
      </c>
      <c r="AK1166">
        <v>158.67</v>
      </c>
      <c r="AN1166" t="s">
        <v>7138</v>
      </c>
      <c r="AO1166">
        <v>32400</v>
      </c>
      <c r="AU1166">
        <v>33.5</v>
      </c>
      <c r="AV1166" t="s">
        <v>329</v>
      </c>
      <c r="AW1166" t="s">
        <v>7341</v>
      </c>
    </row>
    <row r="1167" spans="1:50">
      <c r="A1167" s="1">
        <f>HYPERLINK("https://lsnyc.legalserver.org/matter/dynamic-profile/view/1865221","18-1865221")</f>
        <v>0</v>
      </c>
      <c r="B1167" t="s">
        <v>59</v>
      </c>
      <c r="C1167" t="s">
        <v>104</v>
      </c>
      <c r="D1167" t="s">
        <v>117</v>
      </c>
      <c r="E1167" t="s">
        <v>145</v>
      </c>
      <c r="F1167" t="s">
        <v>1308</v>
      </c>
      <c r="G1167" t="s">
        <v>2171</v>
      </c>
      <c r="H1167" t="s">
        <v>3041</v>
      </c>
      <c r="I1167">
        <v>17</v>
      </c>
      <c r="J1167" t="s">
        <v>3604</v>
      </c>
      <c r="K1167">
        <v>10027</v>
      </c>
      <c r="L1167" t="s">
        <v>3610</v>
      </c>
      <c r="M1167" t="s">
        <v>3610</v>
      </c>
      <c r="P1167" t="s">
        <v>4244</v>
      </c>
      <c r="Q1167" t="s">
        <v>4250</v>
      </c>
      <c r="R1167" t="s">
        <v>4258</v>
      </c>
      <c r="S1167" t="s">
        <v>3611</v>
      </c>
      <c r="U1167" t="s">
        <v>4268</v>
      </c>
      <c r="W1167" t="s">
        <v>278</v>
      </c>
      <c r="X1167">
        <v>1238</v>
      </c>
      <c r="Y1167" t="s">
        <v>4351</v>
      </c>
      <c r="Z1167" t="s">
        <v>4357</v>
      </c>
      <c r="AA1167" t="s">
        <v>4384</v>
      </c>
      <c r="AB1167" t="s">
        <v>5308</v>
      </c>
      <c r="AD1167" t="s">
        <v>6665</v>
      </c>
      <c r="AE1167">
        <v>36</v>
      </c>
      <c r="AF1167" t="s">
        <v>7112</v>
      </c>
      <c r="AG1167" t="s">
        <v>3745</v>
      </c>
      <c r="AH1167">
        <v>9</v>
      </c>
      <c r="AI1167">
        <v>2</v>
      </c>
      <c r="AJ1167">
        <v>1</v>
      </c>
      <c r="AK1167">
        <v>158.81</v>
      </c>
      <c r="AN1167" t="s">
        <v>7138</v>
      </c>
      <c r="AO1167">
        <v>33000</v>
      </c>
      <c r="AU1167">
        <v>1</v>
      </c>
      <c r="AV1167" t="s">
        <v>592</v>
      </c>
      <c r="AW1167" t="s">
        <v>7344</v>
      </c>
    </row>
    <row r="1168" spans="1:50">
      <c r="A1168" s="1">
        <f>HYPERLINK("https://lsnyc.legalserver.org/matter/dynamic-profile/view/0820639","16-0820639")</f>
        <v>0</v>
      </c>
      <c r="B1168" t="s">
        <v>64</v>
      </c>
      <c r="C1168" t="s">
        <v>104</v>
      </c>
      <c r="D1168" t="s">
        <v>255</v>
      </c>
      <c r="E1168" t="s">
        <v>417</v>
      </c>
      <c r="F1168" t="s">
        <v>723</v>
      </c>
      <c r="G1168" t="s">
        <v>1579</v>
      </c>
      <c r="H1168" t="s">
        <v>2730</v>
      </c>
      <c r="I1168" t="s">
        <v>3293</v>
      </c>
      <c r="J1168" t="s">
        <v>3604</v>
      </c>
      <c r="K1168">
        <v>10034</v>
      </c>
      <c r="L1168" t="s">
        <v>3609</v>
      </c>
      <c r="M1168" t="s">
        <v>3609</v>
      </c>
      <c r="N1168" t="s">
        <v>4024</v>
      </c>
      <c r="O1168" t="s">
        <v>4213</v>
      </c>
      <c r="P1168" t="s">
        <v>4241</v>
      </c>
      <c r="Q1168" t="s">
        <v>4248</v>
      </c>
      <c r="R1168" t="s">
        <v>4258</v>
      </c>
      <c r="S1168" t="s">
        <v>3610</v>
      </c>
      <c r="U1168" t="s">
        <v>4268</v>
      </c>
      <c r="W1168" t="s">
        <v>560</v>
      </c>
      <c r="X1168">
        <v>954.8099999999999</v>
      </c>
      <c r="Y1168" t="s">
        <v>4351</v>
      </c>
      <c r="AA1168" t="s">
        <v>4379</v>
      </c>
      <c r="AB1168" t="s">
        <v>5309</v>
      </c>
      <c r="AD1168" t="s">
        <v>6666</v>
      </c>
      <c r="AE1168">
        <v>65</v>
      </c>
      <c r="AF1168" t="s">
        <v>7101</v>
      </c>
      <c r="AG1168" t="s">
        <v>7118</v>
      </c>
      <c r="AH1168">
        <v>3</v>
      </c>
      <c r="AI1168">
        <v>1</v>
      </c>
      <c r="AJ1168">
        <v>0</v>
      </c>
      <c r="AK1168">
        <v>158.99</v>
      </c>
      <c r="AN1168" t="s">
        <v>7139</v>
      </c>
      <c r="AO1168">
        <v>18888</v>
      </c>
      <c r="AU1168">
        <v>1.15</v>
      </c>
      <c r="AV1168" t="s">
        <v>403</v>
      </c>
      <c r="AW1168" t="s">
        <v>7349</v>
      </c>
    </row>
    <row r="1169" spans="1:50">
      <c r="A1169" s="1">
        <f>HYPERLINK("https://lsnyc.legalserver.org/matter/dynamic-profile/view/1869020","18-1869020")</f>
        <v>0</v>
      </c>
      <c r="B1169" t="s">
        <v>90</v>
      </c>
      <c r="C1169" t="s">
        <v>105</v>
      </c>
      <c r="D1169" t="s">
        <v>464</v>
      </c>
      <c r="F1169" t="s">
        <v>1058</v>
      </c>
      <c r="G1169" t="s">
        <v>1810</v>
      </c>
      <c r="H1169" t="s">
        <v>3042</v>
      </c>
      <c r="I1169" t="s">
        <v>3408</v>
      </c>
      <c r="J1169" t="s">
        <v>3604</v>
      </c>
      <c r="K1169">
        <v>10034</v>
      </c>
      <c r="L1169" t="s">
        <v>3610</v>
      </c>
      <c r="M1169" t="s">
        <v>3609</v>
      </c>
      <c r="N1169" t="s">
        <v>4025</v>
      </c>
      <c r="O1169" t="s">
        <v>4220</v>
      </c>
      <c r="P1169" t="s">
        <v>4243</v>
      </c>
      <c r="R1169" t="s">
        <v>4258</v>
      </c>
      <c r="S1169" t="s">
        <v>3610</v>
      </c>
      <c r="U1169" t="s">
        <v>4268</v>
      </c>
      <c r="W1169" t="s">
        <v>464</v>
      </c>
      <c r="X1169">
        <v>1297.87</v>
      </c>
      <c r="Y1169" t="s">
        <v>4351</v>
      </c>
      <c r="Z1169" t="s">
        <v>4359</v>
      </c>
      <c r="AB1169" t="s">
        <v>5310</v>
      </c>
      <c r="AD1169" t="s">
        <v>6667</v>
      </c>
      <c r="AE1169">
        <v>72</v>
      </c>
      <c r="AF1169" t="s">
        <v>7101</v>
      </c>
      <c r="AG1169" t="s">
        <v>3745</v>
      </c>
      <c r="AH1169">
        <v>28</v>
      </c>
      <c r="AI1169">
        <v>2</v>
      </c>
      <c r="AJ1169">
        <v>2</v>
      </c>
      <c r="AK1169">
        <v>159.36</v>
      </c>
      <c r="AN1169" t="s">
        <v>7138</v>
      </c>
      <c r="AO1169">
        <v>40000</v>
      </c>
      <c r="AU1169">
        <v>0</v>
      </c>
      <c r="AW1169" t="s">
        <v>7342</v>
      </c>
    </row>
    <row r="1170" spans="1:50">
      <c r="A1170" s="1">
        <f>HYPERLINK("https://lsnyc.legalserver.org/matter/dynamic-profile/view/1869025","18-1869025")</f>
        <v>0</v>
      </c>
      <c r="B1170" t="s">
        <v>90</v>
      </c>
      <c r="C1170" t="s">
        <v>105</v>
      </c>
      <c r="D1170" t="s">
        <v>464</v>
      </c>
      <c r="F1170" t="s">
        <v>1058</v>
      </c>
      <c r="G1170" t="s">
        <v>1810</v>
      </c>
      <c r="H1170" t="s">
        <v>3042</v>
      </c>
      <c r="I1170" t="s">
        <v>3408</v>
      </c>
      <c r="J1170" t="s">
        <v>3604</v>
      </c>
      <c r="K1170">
        <v>10034</v>
      </c>
      <c r="L1170" t="s">
        <v>3610</v>
      </c>
      <c r="M1170" t="s">
        <v>3609</v>
      </c>
      <c r="N1170" t="s">
        <v>4026</v>
      </c>
      <c r="O1170" t="s">
        <v>4220</v>
      </c>
      <c r="P1170" t="s">
        <v>4243</v>
      </c>
      <c r="R1170" t="s">
        <v>4258</v>
      </c>
      <c r="S1170" t="s">
        <v>3610</v>
      </c>
      <c r="U1170" t="s">
        <v>4268</v>
      </c>
      <c r="W1170" t="s">
        <v>464</v>
      </c>
      <c r="X1170">
        <v>1297.87</v>
      </c>
      <c r="Y1170" t="s">
        <v>4351</v>
      </c>
      <c r="Z1170" t="s">
        <v>4359</v>
      </c>
      <c r="AB1170" t="s">
        <v>5310</v>
      </c>
      <c r="AD1170" t="s">
        <v>6667</v>
      </c>
      <c r="AE1170">
        <v>72</v>
      </c>
      <c r="AF1170" t="s">
        <v>7101</v>
      </c>
      <c r="AG1170" t="s">
        <v>3745</v>
      </c>
      <c r="AH1170">
        <v>28</v>
      </c>
      <c r="AI1170">
        <v>2</v>
      </c>
      <c r="AJ1170">
        <v>2</v>
      </c>
      <c r="AK1170">
        <v>159.36</v>
      </c>
      <c r="AN1170" t="s">
        <v>7138</v>
      </c>
      <c r="AO1170">
        <v>40000</v>
      </c>
      <c r="AU1170">
        <v>0</v>
      </c>
      <c r="AW1170" t="s">
        <v>7342</v>
      </c>
    </row>
    <row r="1171" spans="1:50">
      <c r="A1171" s="1">
        <f>HYPERLINK("https://lsnyc.legalserver.org/matter/dynamic-profile/view/1873148","18-1873148")</f>
        <v>0</v>
      </c>
      <c r="B1171" t="s">
        <v>56</v>
      </c>
      <c r="C1171" t="s">
        <v>104</v>
      </c>
      <c r="D1171" t="s">
        <v>260</v>
      </c>
      <c r="E1171" t="s">
        <v>360</v>
      </c>
      <c r="F1171" t="s">
        <v>815</v>
      </c>
      <c r="G1171" t="s">
        <v>2172</v>
      </c>
      <c r="H1171" t="s">
        <v>3043</v>
      </c>
      <c r="I1171" t="s">
        <v>3477</v>
      </c>
      <c r="J1171" t="s">
        <v>3604</v>
      </c>
      <c r="K1171">
        <v>10034</v>
      </c>
      <c r="L1171" t="s">
        <v>3610</v>
      </c>
      <c r="M1171" t="s">
        <v>3610</v>
      </c>
      <c r="O1171" t="s">
        <v>4220</v>
      </c>
      <c r="P1171" t="s">
        <v>4242</v>
      </c>
      <c r="Q1171" t="s">
        <v>4250</v>
      </c>
      <c r="R1171" t="s">
        <v>4258</v>
      </c>
      <c r="S1171" t="s">
        <v>3611</v>
      </c>
      <c r="U1171" t="s">
        <v>4268</v>
      </c>
      <c r="W1171" t="s">
        <v>260</v>
      </c>
      <c r="X1171">
        <v>1636.08</v>
      </c>
      <c r="Y1171" t="s">
        <v>4351</v>
      </c>
      <c r="Z1171" t="s">
        <v>4354</v>
      </c>
      <c r="AA1171" t="s">
        <v>4373</v>
      </c>
      <c r="AB1171" t="s">
        <v>5311</v>
      </c>
      <c r="AD1171" t="s">
        <v>6668</v>
      </c>
      <c r="AE1171">
        <v>72</v>
      </c>
      <c r="AF1171" t="s">
        <v>7101</v>
      </c>
      <c r="AG1171" t="s">
        <v>3745</v>
      </c>
      <c r="AH1171">
        <v>18</v>
      </c>
      <c r="AI1171">
        <v>4</v>
      </c>
      <c r="AJ1171">
        <v>0</v>
      </c>
      <c r="AK1171">
        <v>159.36</v>
      </c>
      <c r="AN1171" t="s">
        <v>7139</v>
      </c>
      <c r="AO1171">
        <v>40000</v>
      </c>
      <c r="AU1171">
        <v>2.5</v>
      </c>
      <c r="AV1171" t="s">
        <v>144</v>
      </c>
      <c r="AW1171" t="s">
        <v>7342</v>
      </c>
    </row>
    <row r="1172" spans="1:50">
      <c r="A1172" s="1">
        <f>HYPERLINK("https://lsnyc.legalserver.org/matter/dynamic-profile/view/1848008","17-1848008")</f>
        <v>0</v>
      </c>
      <c r="B1172" t="s">
        <v>67</v>
      </c>
      <c r="C1172" t="s">
        <v>104</v>
      </c>
      <c r="D1172" t="s">
        <v>296</v>
      </c>
      <c r="E1172" t="s">
        <v>209</v>
      </c>
      <c r="F1172" t="s">
        <v>902</v>
      </c>
      <c r="G1172" t="s">
        <v>2166</v>
      </c>
      <c r="H1172" t="s">
        <v>3036</v>
      </c>
      <c r="I1172" t="s">
        <v>3338</v>
      </c>
      <c r="J1172" t="s">
        <v>3604</v>
      </c>
      <c r="K1172">
        <v>10035</v>
      </c>
      <c r="L1172" t="s">
        <v>3610</v>
      </c>
      <c r="M1172" t="s">
        <v>3610</v>
      </c>
      <c r="N1172" t="s">
        <v>4027</v>
      </c>
      <c r="O1172" t="s">
        <v>4209</v>
      </c>
      <c r="P1172" t="s">
        <v>4241</v>
      </c>
      <c r="Q1172" t="s">
        <v>4248</v>
      </c>
      <c r="R1172" t="s">
        <v>4258</v>
      </c>
      <c r="S1172" t="s">
        <v>3611</v>
      </c>
      <c r="U1172" t="s">
        <v>4268</v>
      </c>
      <c r="V1172" t="s">
        <v>4274</v>
      </c>
      <c r="W1172" t="s">
        <v>296</v>
      </c>
      <c r="X1172">
        <v>843.01</v>
      </c>
      <c r="Y1172" t="s">
        <v>4351</v>
      </c>
      <c r="Z1172" t="s">
        <v>4354</v>
      </c>
      <c r="AA1172" t="s">
        <v>4374</v>
      </c>
      <c r="AB1172" t="s">
        <v>5299</v>
      </c>
      <c r="AD1172" t="s">
        <v>6656</v>
      </c>
      <c r="AE1172">
        <v>11</v>
      </c>
      <c r="AF1172" t="s">
        <v>7101</v>
      </c>
      <c r="AG1172" t="s">
        <v>3745</v>
      </c>
      <c r="AH1172">
        <v>21</v>
      </c>
      <c r="AI1172">
        <v>1</v>
      </c>
      <c r="AJ1172">
        <v>1</v>
      </c>
      <c r="AK1172">
        <v>159.38</v>
      </c>
      <c r="AN1172" t="s">
        <v>7138</v>
      </c>
      <c r="AO1172">
        <v>25884</v>
      </c>
      <c r="AU1172">
        <v>17.2</v>
      </c>
      <c r="AV1172" t="s">
        <v>411</v>
      </c>
      <c r="AW1172" t="s">
        <v>7344</v>
      </c>
    </row>
    <row r="1173" spans="1:50">
      <c r="A1173" s="1">
        <f>HYPERLINK("https://lsnyc.legalserver.org/matter/dynamic-profile/view/1854357","17-1854357")</f>
        <v>0</v>
      </c>
      <c r="B1173" t="s">
        <v>81</v>
      </c>
      <c r="C1173" t="s">
        <v>104</v>
      </c>
      <c r="D1173" t="s">
        <v>176</v>
      </c>
      <c r="E1173" t="s">
        <v>335</v>
      </c>
      <c r="F1173" t="s">
        <v>1309</v>
      </c>
      <c r="G1173" t="s">
        <v>1603</v>
      </c>
      <c r="H1173" t="s">
        <v>3044</v>
      </c>
      <c r="I1173" t="s">
        <v>3338</v>
      </c>
      <c r="J1173" t="s">
        <v>3604</v>
      </c>
      <c r="K1173">
        <v>10030</v>
      </c>
      <c r="L1173" t="s">
        <v>3610</v>
      </c>
      <c r="M1173" t="s">
        <v>3610</v>
      </c>
      <c r="O1173" t="s">
        <v>4211</v>
      </c>
      <c r="P1173" t="s">
        <v>4242</v>
      </c>
      <c r="Q1173" t="s">
        <v>4250</v>
      </c>
      <c r="R1173" t="s">
        <v>4258</v>
      </c>
      <c r="S1173" t="s">
        <v>3611</v>
      </c>
      <c r="T1173" t="s">
        <v>4259</v>
      </c>
      <c r="U1173" t="s">
        <v>4268</v>
      </c>
      <c r="W1173" t="s">
        <v>428</v>
      </c>
      <c r="X1173">
        <v>1137</v>
      </c>
      <c r="Y1173" t="s">
        <v>4351</v>
      </c>
      <c r="Z1173" t="s">
        <v>4354</v>
      </c>
      <c r="AA1173" t="s">
        <v>4373</v>
      </c>
      <c r="AB1173" t="s">
        <v>5312</v>
      </c>
      <c r="AD1173" t="s">
        <v>6669</v>
      </c>
      <c r="AE1173">
        <v>111</v>
      </c>
      <c r="AF1173" t="s">
        <v>7101</v>
      </c>
      <c r="AG1173" t="s">
        <v>3745</v>
      </c>
      <c r="AH1173">
        <v>20</v>
      </c>
      <c r="AI1173">
        <v>2</v>
      </c>
      <c r="AJ1173">
        <v>0</v>
      </c>
      <c r="AK1173">
        <v>160.1</v>
      </c>
      <c r="AN1173" t="s">
        <v>7139</v>
      </c>
      <c r="AO1173">
        <v>26000</v>
      </c>
      <c r="AU1173">
        <v>0.1</v>
      </c>
      <c r="AV1173" t="s">
        <v>335</v>
      </c>
      <c r="AW1173" t="s">
        <v>7344</v>
      </c>
    </row>
    <row r="1174" spans="1:50">
      <c r="A1174" s="1">
        <f>HYPERLINK("https://lsnyc.legalserver.org/matter/dynamic-profile/view/1897816","19-1897816")</f>
        <v>0</v>
      </c>
      <c r="B1174" t="s">
        <v>53</v>
      </c>
      <c r="C1174" t="s">
        <v>105</v>
      </c>
      <c r="D1174" t="s">
        <v>134</v>
      </c>
      <c r="F1174" t="s">
        <v>727</v>
      </c>
      <c r="G1174" t="s">
        <v>1441</v>
      </c>
      <c r="H1174" t="s">
        <v>2797</v>
      </c>
      <c r="I1174" t="s">
        <v>3450</v>
      </c>
      <c r="J1174" t="s">
        <v>3604</v>
      </c>
      <c r="K1174">
        <v>10035</v>
      </c>
      <c r="L1174" t="s">
        <v>3610</v>
      </c>
      <c r="M1174" t="s">
        <v>3610</v>
      </c>
      <c r="O1174" t="s">
        <v>4211</v>
      </c>
      <c r="P1174" t="s">
        <v>4245</v>
      </c>
      <c r="R1174" t="s">
        <v>4258</v>
      </c>
      <c r="S1174" t="s">
        <v>3610</v>
      </c>
      <c r="U1174" t="s">
        <v>4268</v>
      </c>
      <c r="V1174" t="s">
        <v>4274</v>
      </c>
      <c r="W1174" t="s">
        <v>134</v>
      </c>
      <c r="X1174">
        <v>552</v>
      </c>
      <c r="Y1174" t="s">
        <v>4351</v>
      </c>
      <c r="Z1174" t="s">
        <v>4361</v>
      </c>
      <c r="AB1174" t="s">
        <v>5313</v>
      </c>
      <c r="AE1174">
        <v>60</v>
      </c>
      <c r="AF1174" t="s">
        <v>7101</v>
      </c>
      <c r="AG1174" t="s">
        <v>7116</v>
      </c>
      <c r="AH1174">
        <v>14</v>
      </c>
      <c r="AI1174">
        <v>1</v>
      </c>
      <c r="AJ1174">
        <v>0</v>
      </c>
      <c r="AK1174">
        <v>160.13</v>
      </c>
      <c r="AN1174" t="s">
        <v>7138</v>
      </c>
      <c r="AO1174">
        <v>20000</v>
      </c>
      <c r="AP1174" t="s">
        <v>7165</v>
      </c>
      <c r="AU1174">
        <v>0</v>
      </c>
      <c r="AW1174" t="s">
        <v>7341</v>
      </c>
      <c r="AX1174" t="s">
        <v>7377</v>
      </c>
    </row>
    <row r="1175" spans="1:50">
      <c r="A1175" s="1">
        <f>HYPERLINK("https://lsnyc.legalserver.org/matter/dynamic-profile/view/1901004","19-1901004")</f>
        <v>0</v>
      </c>
      <c r="B1175" t="s">
        <v>87</v>
      </c>
      <c r="C1175" t="s">
        <v>105</v>
      </c>
      <c r="D1175" t="s">
        <v>150</v>
      </c>
      <c r="F1175" t="s">
        <v>1220</v>
      </c>
      <c r="G1175" t="s">
        <v>2086</v>
      </c>
      <c r="H1175" t="s">
        <v>2472</v>
      </c>
      <c r="I1175" t="s">
        <v>3286</v>
      </c>
      <c r="J1175" t="s">
        <v>3604</v>
      </c>
      <c r="K1175">
        <v>10034</v>
      </c>
      <c r="L1175" t="s">
        <v>3610</v>
      </c>
      <c r="M1175" t="s">
        <v>3609</v>
      </c>
      <c r="O1175" t="s">
        <v>4219</v>
      </c>
      <c r="P1175" t="s">
        <v>4245</v>
      </c>
      <c r="R1175" t="s">
        <v>4258</v>
      </c>
      <c r="S1175" t="s">
        <v>3611</v>
      </c>
      <c r="U1175" t="s">
        <v>4268</v>
      </c>
      <c r="W1175" t="s">
        <v>150</v>
      </c>
      <c r="X1175">
        <v>703.4</v>
      </c>
      <c r="Y1175" t="s">
        <v>4351</v>
      </c>
      <c r="Z1175" t="s">
        <v>4354</v>
      </c>
      <c r="AB1175" t="s">
        <v>5154</v>
      </c>
      <c r="AC1175" t="s">
        <v>5839</v>
      </c>
      <c r="AD1175" t="s">
        <v>6670</v>
      </c>
      <c r="AE1175">
        <v>67</v>
      </c>
      <c r="AF1175" t="s">
        <v>7101</v>
      </c>
      <c r="AG1175" t="s">
        <v>3745</v>
      </c>
      <c r="AH1175">
        <v>19</v>
      </c>
      <c r="AI1175">
        <v>1</v>
      </c>
      <c r="AJ1175">
        <v>0</v>
      </c>
      <c r="AK1175">
        <v>160.13</v>
      </c>
      <c r="AN1175" t="s">
        <v>7138</v>
      </c>
      <c r="AO1175">
        <v>20000</v>
      </c>
      <c r="AU1175">
        <v>2.4</v>
      </c>
      <c r="AV1175" t="s">
        <v>667</v>
      </c>
      <c r="AW1175" t="s">
        <v>7342</v>
      </c>
      <c r="AX1175" t="s">
        <v>7377</v>
      </c>
    </row>
    <row r="1176" spans="1:50">
      <c r="A1176" s="1">
        <f>HYPERLINK("https://lsnyc.legalserver.org/matter/dynamic-profile/view/1902440","19-1902440")</f>
        <v>0</v>
      </c>
      <c r="B1176" t="s">
        <v>62</v>
      </c>
      <c r="C1176" t="s">
        <v>105</v>
      </c>
      <c r="D1176" t="s">
        <v>330</v>
      </c>
      <c r="F1176" t="s">
        <v>711</v>
      </c>
      <c r="G1176" t="s">
        <v>1579</v>
      </c>
      <c r="H1176" t="s">
        <v>3045</v>
      </c>
      <c r="I1176" t="s">
        <v>3274</v>
      </c>
      <c r="J1176" t="s">
        <v>3604</v>
      </c>
      <c r="K1176">
        <v>10033</v>
      </c>
      <c r="L1176" t="s">
        <v>3610</v>
      </c>
      <c r="M1176" t="s">
        <v>3609</v>
      </c>
      <c r="O1176" t="s">
        <v>4219</v>
      </c>
      <c r="P1176" t="s">
        <v>4246</v>
      </c>
      <c r="R1176" t="s">
        <v>4258</v>
      </c>
      <c r="S1176" t="s">
        <v>3611</v>
      </c>
      <c r="U1176" t="s">
        <v>4268</v>
      </c>
      <c r="W1176" t="s">
        <v>330</v>
      </c>
      <c r="X1176">
        <v>1595</v>
      </c>
      <c r="Y1176" t="s">
        <v>4351</v>
      </c>
      <c r="Z1176" t="s">
        <v>4354</v>
      </c>
      <c r="AB1176" t="s">
        <v>5314</v>
      </c>
      <c r="AD1176" t="s">
        <v>6671</v>
      </c>
      <c r="AE1176">
        <v>43</v>
      </c>
      <c r="AF1176" t="s">
        <v>7101</v>
      </c>
      <c r="AG1176" t="s">
        <v>3745</v>
      </c>
      <c r="AH1176">
        <v>1</v>
      </c>
      <c r="AI1176">
        <v>1</v>
      </c>
      <c r="AJ1176">
        <v>0</v>
      </c>
      <c r="AK1176">
        <v>160.13</v>
      </c>
      <c r="AN1176" t="s">
        <v>7138</v>
      </c>
      <c r="AO1176">
        <v>20000</v>
      </c>
      <c r="AU1176">
        <v>1.5</v>
      </c>
      <c r="AV1176" t="s">
        <v>330</v>
      </c>
      <c r="AW1176" t="s">
        <v>7342</v>
      </c>
      <c r="AX1176" t="s">
        <v>7377</v>
      </c>
    </row>
    <row r="1177" spans="1:50">
      <c r="A1177" s="1">
        <f>HYPERLINK("https://lsnyc.legalserver.org/matter/dynamic-profile/view/1901211","19-1901211")</f>
        <v>0</v>
      </c>
      <c r="B1177" t="s">
        <v>66</v>
      </c>
      <c r="C1177" t="s">
        <v>104</v>
      </c>
      <c r="D1177" t="s">
        <v>426</v>
      </c>
      <c r="E1177" t="s">
        <v>612</v>
      </c>
      <c r="F1177" t="s">
        <v>1155</v>
      </c>
      <c r="G1177" t="s">
        <v>2173</v>
      </c>
      <c r="H1177" t="s">
        <v>3046</v>
      </c>
      <c r="I1177" t="s">
        <v>3279</v>
      </c>
      <c r="J1177" t="s">
        <v>3604</v>
      </c>
      <c r="K1177">
        <v>10025</v>
      </c>
      <c r="L1177" t="s">
        <v>3610</v>
      </c>
      <c r="M1177" t="s">
        <v>3609</v>
      </c>
      <c r="O1177" t="s">
        <v>4211</v>
      </c>
      <c r="P1177" t="s">
        <v>4242</v>
      </c>
      <c r="Q1177" t="s">
        <v>4250</v>
      </c>
      <c r="R1177" t="s">
        <v>4258</v>
      </c>
      <c r="S1177" t="s">
        <v>3611</v>
      </c>
      <c r="U1177" t="s">
        <v>4268</v>
      </c>
      <c r="V1177" t="s">
        <v>4274</v>
      </c>
      <c r="W1177" t="s">
        <v>426</v>
      </c>
      <c r="X1177">
        <v>1650</v>
      </c>
      <c r="Y1177" t="s">
        <v>4351</v>
      </c>
      <c r="Z1177" t="s">
        <v>4361</v>
      </c>
      <c r="AA1177" t="s">
        <v>4373</v>
      </c>
      <c r="AB1177" t="s">
        <v>5315</v>
      </c>
      <c r="AD1177" t="s">
        <v>6672</v>
      </c>
      <c r="AE1177">
        <v>18</v>
      </c>
      <c r="AF1177" t="s">
        <v>7105</v>
      </c>
      <c r="AG1177" t="s">
        <v>3745</v>
      </c>
      <c r="AH1177">
        <v>2</v>
      </c>
      <c r="AI1177">
        <v>1</v>
      </c>
      <c r="AJ1177">
        <v>0</v>
      </c>
      <c r="AK1177">
        <v>160.13</v>
      </c>
      <c r="AN1177" t="s">
        <v>7138</v>
      </c>
      <c r="AO1177">
        <v>20000</v>
      </c>
      <c r="AU1177">
        <v>1.4</v>
      </c>
      <c r="AV1177" t="s">
        <v>659</v>
      </c>
      <c r="AW1177" t="s">
        <v>7341</v>
      </c>
      <c r="AX1177" t="s">
        <v>7377</v>
      </c>
    </row>
    <row r="1178" spans="1:50">
      <c r="A1178" s="1">
        <f>HYPERLINK("https://lsnyc.legalserver.org/matter/dynamic-profile/view/1864066","18-1864066")</f>
        <v>0</v>
      </c>
      <c r="B1178" t="s">
        <v>53</v>
      </c>
      <c r="C1178" t="s">
        <v>105</v>
      </c>
      <c r="D1178" t="s">
        <v>161</v>
      </c>
      <c r="F1178" t="s">
        <v>733</v>
      </c>
      <c r="G1178" t="s">
        <v>1846</v>
      </c>
      <c r="H1178" t="s">
        <v>2508</v>
      </c>
      <c r="I1178">
        <v>302</v>
      </c>
      <c r="J1178" t="s">
        <v>3604</v>
      </c>
      <c r="K1178">
        <v>10029</v>
      </c>
      <c r="L1178" t="s">
        <v>3610</v>
      </c>
      <c r="M1178" t="s">
        <v>3610</v>
      </c>
      <c r="N1178" t="s">
        <v>3642</v>
      </c>
      <c r="O1178" t="s">
        <v>4213</v>
      </c>
      <c r="P1178" t="s">
        <v>4241</v>
      </c>
      <c r="R1178" t="s">
        <v>4258</v>
      </c>
      <c r="S1178" t="s">
        <v>3610</v>
      </c>
      <c r="U1178" t="s">
        <v>4268</v>
      </c>
      <c r="V1178" t="s">
        <v>4274</v>
      </c>
      <c r="W1178" t="s">
        <v>161</v>
      </c>
      <c r="X1178">
        <v>0</v>
      </c>
      <c r="Y1178" t="s">
        <v>4351</v>
      </c>
      <c r="Z1178" t="s">
        <v>4352</v>
      </c>
      <c r="AB1178" t="s">
        <v>4628</v>
      </c>
      <c r="AD1178" t="s">
        <v>6673</v>
      </c>
      <c r="AE1178">
        <v>108</v>
      </c>
      <c r="AF1178" t="s">
        <v>7106</v>
      </c>
      <c r="AG1178" t="s">
        <v>7116</v>
      </c>
      <c r="AH1178">
        <v>32</v>
      </c>
      <c r="AI1178">
        <v>1</v>
      </c>
      <c r="AJ1178">
        <v>0</v>
      </c>
      <c r="AK1178">
        <v>160.23</v>
      </c>
      <c r="AN1178" t="s">
        <v>7139</v>
      </c>
      <c r="AO1178">
        <v>19452</v>
      </c>
      <c r="AU1178">
        <v>0.25</v>
      </c>
      <c r="AV1178" t="s">
        <v>688</v>
      </c>
      <c r="AW1178" t="s">
        <v>7341</v>
      </c>
    </row>
    <row r="1179" spans="1:50">
      <c r="A1179" s="1">
        <f>HYPERLINK("https://lsnyc.legalserver.org/matter/dynamic-profile/view/1875523","18-1875523")</f>
        <v>0</v>
      </c>
      <c r="B1179" t="s">
        <v>67</v>
      </c>
      <c r="C1179" t="s">
        <v>104</v>
      </c>
      <c r="D1179" t="s">
        <v>398</v>
      </c>
      <c r="E1179" t="s">
        <v>209</v>
      </c>
      <c r="F1179" t="s">
        <v>992</v>
      </c>
      <c r="G1179" t="s">
        <v>1749</v>
      </c>
      <c r="H1179" t="s">
        <v>2937</v>
      </c>
      <c r="I1179" t="s">
        <v>3279</v>
      </c>
      <c r="J1179" t="s">
        <v>3604</v>
      </c>
      <c r="K1179">
        <v>10035</v>
      </c>
      <c r="L1179" t="s">
        <v>3610</v>
      </c>
      <c r="M1179" t="s">
        <v>3610</v>
      </c>
      <c r="O1179" t="s">
        <v>4211</v>
      </c>
      <c r="P1179" t="s">
        <v>4242</v>
      </c>
      <c r="Q1179" t="s">
        <v>4250</v>
      </c>
      <c r="R1179" t="s">
        <v>4258</v>
      </c>
      <c r="S1179" t="s">
        <v>3611</v>
      </c>
      <c r="U1179" t="s">
        <v>4268</v>
      </c>
      <c r="V1179" t="s">
        <v>4274</v>
      </c>
      <c r="W1179" t="s">
        <v>417</v>
      </c>
      <c r="X1179">
        <v>1850</v>
      </c>
      <c r="Y1179" t="s">
        <v>4351</v>
      </c>
      <c r="Z1179" t="s">
        <v>4371</v>
      </c>
      <c r="AA1179" t="s">
        <v>4373</v>
      </c>
      <c r="AB1179" t="s">
        <v>5316</v>
      </c>
      <c r="AD1179" t="s">
        <v>6674</v>
      </c>
      <c r="AE1179">
        <v>40</v>
      </c>
      <c r="AF1179" t="s">
        <v>7101</v>
      </c>
      <c r="AG1179" t="s">
        <v>3745</v>
      </c>
      <c r="AH1179">
        <v>-1</v>
      </c>
      <c r="AI1179">
        <v>2</v>
      </c>
      <c r="AJ1179">
        <v>0</v>
      </c>
      <c r="AK1179">
        <v>160.48</v>
      </c>
      <c r="AN1179" t="s">
        <v>7138</v>
      </c>
      <c r="AO1179">
        <v>26414.4</v>
      </c>
      <c r="AU1179">
        <v>1.2</v>
      </c>
      <c r="AV1179" t="s">
        <v>209</v>
      </c>
      <c r="AW1179" t="s">
        <v>7357</v>
      </c>
    </row>
    <row r="1180" spans="1:50">
      <c r="A1180" s="1">
        <f>HYPERLINK("https://lsnyc.legalserver.org/matter/dynamic-profile/view/0832569","17-0832569")</f>
        <v>0</v>
      </c>
      <c r="B1180" t="s">
        <v>64</v>
      </c>
      <c r="C1180" t="s">
        <v>104</v>
      </c>
      <c r="D1180" t="s">
        <v>339</v>
      </c>
      <c r="E1180" t="s">
        <v>280</v>
      </c>
      <c r="F1180" t="s">
        <v>1204</v>
      </c>
      <c r="G1180" t="s">
        <v>1756</v>
      </c>
      <c r="H1180" t="s">
        <v>2681</v>
      </c>
      <c r="I1180" t="s">
        <v>3348</v>
      </c>
      <c r="J1180" t="s">
        <v>3604</v>
      </c>
      <c r="K1180">
        <v>10032</v>
      </c>
      <c r="L1180" t="s">
        <v>3610</v>
      </c>
      <c r="M1180" t="s">
        <v>3609</v>
      </c>
      <c r="O1180" t="s">
        <v>4213</v>
      </c>
      <c r="P1180" t="s">
        <v>4244</v>
      </c>
      <c r="Q1180" t="s">
        <v>4254</v>
      </c>
      <c r="R1180" t="s">
        <v>4258</v>
      </c>
      <c r="S1180" t="s">
        <v>3610</v>
      </c>
      <c r="U1180" t="s">
        <v>4268</v>
      </c>
      <c r="W1180" t="s">
        <v>4282</v>
      </c>
      <c r="X1180">
        <v>831</v>
      </c>
      <c r="Y1180" t="s">
        <v>4351</v>
      </c>
      <c r="Z1180" t="s">
        <v>4352</v>
      </c>
      <c r="AA1180" t="s">
        <v>4377</v>
      </c>
      <c r="AB1180" t="s">
        <v>4673</v>
      </c>
      <c r="AD1180" t="s">
        <v>6675</v>
      </c>
      <c r="AE1180">
        <v>0</v>
      </c>
      <c r="AF1180" t="s">
        <v>7101</v>
      </c>
      <c r="AG1180" t="s">
        <v>3745</v>
      </c>
      <c r="AH1180">
        <v>40</v>
      </c>
      <c r="AI1180">
        <v>2</v>
      </c>
      <c r="AJ1180">
        <v>2</v>
      </c>
      <c r="AK1180">
        <v>160.65</v>
      </c>
      <c r="AN1180" t="s">
        <v>7139</v>
      </c>
      <c r="AO1180">
        <v>39520</v>
      </c>
      <c r="AU1180">
        <v>4.8</v>
      </c>
      <c r="AV1180" t="s">
        <v>280</v>
      </c>
      <c r="AW1180" t="s">
        <v>7341</v>
      </c>
    </row>
    <row r="1181" spans="1:50">
      <c r="A1181" s="1">
        <f>HYPERLINK("https://lsnyc.legalserver.org/matter/dynamic-profile/view/0832574","17-0832574")</f>
        <v>0</v>
      </c>
      <c r="B1181" t="s">
        <v>64</v>
      </c>
      <c r="C1181" t="s">
        <v>105</v>
      </c>
      <c r="D1181" t="s">
        <v>339</v>
      </c>
      <c r="F1181" t="s">
        <v>1204</v>
      </c>
      <c r="G1181" t="s">
        <v>1756</v>
      </c>
      <c r="H1181" t="s">
        <v>2681</v>
      </c>
      <c r="I1181" t="s">
        <v>3348</v>
      </c>
      <c r="J1181" t="s">
        <v>3604</v>
      </c>
      <c r="K1181">
        <v>10032</v>
      </c>
      <c r="L1181" t="s">
        <v>3610</v>
      </c>
      <c r="M1181" t="s">
        <v>3609</v>
      </c>
      <c r="O1181" t="s">
        <v>4211</v>
      </c>
      <c r="P1181" t="s">
        <v>4241</v>
      </c>
      <c r="R1181" t="s">
        <v>4258</v>
      </c>
      <c r="S1181" t="s">
        <v>3610</v>
      </c>
      <c r="U1181" t="s">
        <v>4268</v>
      </c>
      <c r="W1181" t="s">
        <v>4283</v>
      </c>
      <c r="X1181">
        <v>831</v>
      </c>
      <c r="Y1181" t="s">
        <v>4351</v>
      </c>
      <c r="Z1181" t="s">
        <v>4352</v>
      </c>
      <c r="AB1181" t="s">
        <v>4673</v>
      </c>
      <c r="AD1181" t="s">
        <v>6675</v>
      </c>
      <c r="AE1181">
        <v>44</v>
      </c>
      <c r="AF1181" t="s">
        <v>7101</v>
      </c>
      <c r="AG1181" t="s">
        <v>3745</v>
      </c>
      <c r="AH1181">
        <v>40</v>
      </c>
      <c r="AI1181">
        <v>2</v>
      </c>
      <c r="AJ1181">
        <v>2</v>
      </c>
      <c r="AK1181">
        <v>160.65</v>
      </c>
      <c r="AL1181" t="s">
        <v>4311</v>
      </c>
      <c r="AN1181" t="s">
        <v>7139</v>
      </c>
      <c r="AO1181">
        <v>68640</v>
      </c>
      <c r="AU1181">
        <v>17.55</v>
      </c>
      <c r="AV1181" t="s">
        <v>298</v>
      </c>
      <c r="AW1181" t="s">
        <v>7341</v>
      </c>
    </row>
    <row r="1182" spans="1:50">
      <c r="A1182" s="1">
        <f>HYPERLINK("https://lsnyc.legalserver.org/matter/dynamic-profile/view/0801984","16-0801984")</f>
        <v>0</v>
      </c>
      <c r="B1182" t="s">
        <v>51</v>
      </c>
      <c r="C1182" t="s">
        <v>104</v>
      </c>
      <c r="D1182" t="s">
        <v>585</v>
      </c>
      <c r="E1182" t="s">
        <v>385</v>
      </c>
      <c r="F1182" t="s">
        <v>738</v>
      </c>
      <c r="G1182" t="s">
        <v>2174</v>
      </c>
      <c r="H1182" t="s">
        <v>2683</v>
      </c>
      <c r="I1182" t="s">
        <v>3395</v>
      </c>
      <c r="J1182" t="s">
        <v>3604</v>
      </c>
      <c r="K1182">
        <v>10034</v>
      </c>
      <c r="L1182" t="s">
        <v>3610</v>
      </c>
      <c r="M1182" t="s">
        <v>3610</v>
      </c>
      <c r="N1182" t="s">
        <v>4028</v>
      </c>
      <c r="O1182" t="s">
        <v>4209</v>
      </c>
      <c r="P1182" t="s">
        <v>4241</v>
      </c>
      <c r="Q1182" t="s">
        <v>4255</v>
      </c>
      <c r="R1182" t="s">
        <v>4258</v>
      </c>
      <c r="S1182" t="s">
        <v>3611</v>
      </c>
      <c r="U1182" t="s">
        <v>4268</v>
      </c>
      <c r="V1182" t="s">
        <v>4274</v>
      </c>
      <c r="W1182" t="s">
        <v>585</v>
      </c>
      <c r="X1182">
        <v>1448.89</v>
      </c>
      <c r="Y1182" t="s">
        <v>4351</v>
      </c>
      <c r="Z1182" t="s">
        <v>4357</v>
      </c>
      <c r="AA1182" t="s">
        <v>4374</v>
      </c>
      <c r="AB1182" t="s">
        <v>5317</v>
      </c>
      <c r="AD1182" t="s">
        <v>6676</v>
      </c>
      <c r="AE1182">
        <v>32</v>
      </c>
      <c r="AF1182" t="s">
        <v>7101</v>
      </c>
      <c r="AG1182" t="s">
        <v>3745</v>
      </c>
      <c r="AH1182">
        <v>15</v>
      </c>
      <c r="AI1182">
        <v>1</v>
      </c>
      <c r="AJ1182">
        <v>0</v>
      </c>
      <c r="AK1182">
        <v>161.62</v>
      </c>
      <c r="AN1182" t="s">
        <v>7138</v>
      </c>
      <c r="AO1182">
        <v>19200</v>
      </c>
      <c r="AU1182">
        <v>43.6</v>
      </c>
      <c r="AV1182" t="s">
        <v>7327</v>
      </c>
      <c r="AW1182" t="s">
        <v>7341</v>
      </c>
    </row>
    <row r="1183" spans="1:50">
      <c r="A1183" s="1">
        <f>HYPERLINK("https://lsnyc.legalserver.org/matter/dynamic-profile/view/1862088","18-1862088")</f>
        <v>0</v>
      </c>
      <c r="B1183" t="s">
        <v>94</v>
      </c>
      <c r="C1183" t="s">
        <v>105</v>
      </c>
      <c r="D1183" t="s">
        <v>581</v>
      </c>
      <c r="F1183" t="s">
        <v>1310</v>
      </c>
      <c r="G1183" t="s">
        <v>1744</v>
      </c>
      <c r="H1183" t="s">
        <v>3047</v>
      </c>
      <c r="I1183">
        <v>713</v>
      </c>
      <c r="J1183" t="s">
        <v>3604</v>
      </c>
      <c r="K1183">
        <v>10001</v>
      </c>
      <c r="L1183" t="s">
        <v>3610</v>
      </c>
      <c r="M1183" t="s">
        <v>3609</v>
      </c>
      <c r="O1183" t="s">
        <v>4210</v>
      </c>
      <c r="P1183" t="s">
        <v>4241</v>
      </c>
      <c r="R1183" t="s">
        <v>4258</v>
      </c>
      <c r="S1183" t="s">
        <v>3611</v>
      </c>
      <c r="U1183" t="s">
        <v>4268</v>
      </c>
      <c r="X1183">
        <v>800</v>
      </c>
      <c r="Y1183" t="s">
        <v>4351</v>
      </c>
      <c r="Z1183" t="s">
        <v>4371</v>
      </c>
      <c r="AB1183" t="s">
        <v>5318</v>
      </c>
      <c r="AD1183" t="s">
        <v>6677</v>
      </c>
      <c r="AE1183">
        <v>0</v>
      </c>
      <c r="AF1183" t="s">
        <v>7105</v>
      </c>
      <c r="AH1183">
        <v>18</v>
      </c>
      <c r="AI1183">
        <v>2</v>
      </c>
      <c r="AJ1183">
        <v>1</v>
      </c>
      <c r="AK1183">
        <v>161.69</v>
      </c>
      <c r="AN1183" t="s">
        <v>7143</v>
      </c>
      <c r="AO1183">
        <v>33600</v>
      </c>
      <c r="AU1183">
        <v>105.65</v>
      </c>
      <c r="AV1183" t="s">
        <v>7293</v>
      </c>
      <c r="AW1183" t="s">
        <v>7344</v>
      </c>
    </row>
    <row r="1184" spans="1:50">
      <c r="A1184" s="1">
        <f>HYPERLINK("https://lsnyc.legalserver.org/matter/dynamic-profile/view/1869476","18-1869476")</f>
        <v>0</v>
      </c>
      <c r="B1184" t="s">
        <v>53</v>
      </c>
      <c r="C1184" t="s">
        <v>104</v>
      </c>
      <c r="D1184" t="s">
        <v>171</v>
      </c>
      <c r="E1184" t="s">
        <v>656</v>
      </c>
      <c r="F1184" t="s">
        <v>1311</v>
      </c>
      <c r="G1184" t="s">
        <v>2175</v>
      </c>
      <c r="H1184" t="s">
        <v>3048</v>
      </c>
      <c r="I1184" t="s">
        <v>3276</v>
      </c>
      <c r="J1184" t="s">
        <v>3604</v>
      </c>
      <c r="K1184">
        <v>10035</v>
      </c>
      <c r="L1184" t="s">
        <v>3610</v>
      </c>
      <c r="M1184" t="s">
        <v>3610</v>
      </c>
      <c r="N1184" t="s">
        <v>4029</v>
      </c>
      <c r="O1184" t="s">
        <v>4209</v>
      </c>
      <c r="P1184" t="s">
        <v>4242</v>
      </c>
      <c r="Q1184" t="s">
        <v>4250</v>
      </c>
      <c r="R1184" t="s">
        <v>4258</v>
      </c>
      <c r="S1184" t="s">
        <v>3611</v>
      </c>
      <c r="U1184" t="s">
        <v>4268</v>
      </c>
      <c r="V1184" t="s">
        <v>4274</v>
      </c>
      <c r="W1184" t="s">
        <v>566</v>
      </c>
      <c r="X1184">
        <v>1141</v>
      </c>
      <c r="Y1184" t="s">
        <v>4351</v>
      </c>
      <c r="Z1184" t="s">
        <v>4354</v>
      </c>
      <c r="AA1184" t="s">
        <v>4373</v>
      </c>
      <c r="AB1184" t="s">
        <v>5319</v>
      </c>
      <c r="AD1184" t="s">
        <v>6678</v>
      </c>
      <c r="AE1184">
        <v>42</v>
      </c>
      <c r="AF1184" t="s">
        <v>7105</v>
      </c>
      <c r="AG1184" t="s">
        <v>3745</v>
      </c>
      <c r="AH1184">
        <v>6</v>
      </c>
      <c r="AI1184">
        <v>2</v>
      </c>
      <c r="AJ1184">
        <v>3</v>
      </c>
      <c r="AK1184">
        <v>161.81</v>
      </c>
      <c r="AN1184" t="s">
        <v>7138</v>
      </c>
      <c r="AO1184">
        <v>47604</v>
      </c>
      <c r="AU1184">
        <v>2</v>
      </c>
      <c r="AV1184" t="s">
        <v>566</v>
      </c>
      <c r="AW1184" t="s">
        <v>7360</v>
      </c>
    </row>
    <row r="1185" spans="1:50">
      <c r="A1185" s="1">
        <f>HYPERLINK("https://lsnyc.legalserver.org/matter/dynamic-profile/view/1875858","18-1875858")</f>
        <v>0</v>
      </c>
      <c r="B1185" t="s">
        <v>64</v>
      </c>
      <c r="C1185" t="s">
        <v>104</v>
      </c>
      <c r="D1185" t="s">
        <v>573</v>
      </c>
      <c r="E1185" t="s">
        <v>136</v>
      </c>
      <c r="F1185" t="s">
        <v>1109</v>
      </c>
      <c r="G1185" t="s">
        <v>1684</v>
      </c>
      <c r="H1185" t="s">
        <v>2616</v>
      </c>
      <c r="I1185" t="s">
        <v>3348</v>
      </c>
      <c r="J1185" t="s">
        <v>3604</v>
      </c>
      <c r="K1185">
        <v>10033</v>
      </c>
      <c r="L1185" t="s">
        <v>3610</v>
      </c>
      <c r="M1185" t="s">
        <v>3609</v>
      </c>
      <c r="O1185" t="s">
        <v>4211</v>
      </c>
      <c r="P1185" t="s">
        <v>4242</v>
      </c>
      <c r="Q1185" t="s">
        <v>4250</v>
      </c>
      <c r="R1185" t="s">
        <v>4258</v>
      </c>
      <c r="S1185" t="s">
        <v>3611</v>
      </c>
      <c r="U1185" t="s">
        <v>4268</v>
      </c>
      <c r="W1185" t="s">
        <v>573</v>
      </c>
      <c r="X1185">
        <v>918.28</v>
      </c>
      <c r="Y1185" t="s">
        <v>4351</v>
      </c>
      <c r="Z1185" t="s">
        <v>4354</v>
      </c>
      <c r="AA1185" t="s">
        <v>4373</v>
      </c>
      <c r="AB1185" t="s">
        <v>5320</v>
      </c>
      <c r="AD1185" t="s">
        <v>6679</v>
      </c>
      <c r="AE1185">
        <v>39</v>
      </c>
      <c r="AF1185" t="s">
        <v>7101</v>
      </c>
      <c r="AG1185" t="s">
        <v>3745</v>
      </c>
      <c r="AH1185">
        <v>4</v>
      </c>
      <c r="AI1185">
        <v>2</v>
      </c>
      <c r="AJ1185">
        <v>0</v>
      </c>
      <c r="AK1185">
        <v>161.85</v>
      </c>
      <c r="AN1185" t="s">
        <v>7139</v>
      </c>
      <c r="AO1185">
        <v>26640</v>
      </c>
      <c r="AU1185">
        <v>0.3</v>
      </c>
      <c r="AV1185" t="s">
        <v>136</v>
      </c>
      <c r="AW1185" t="s">
        <v>7342</v>
      </c>
    </row>
    <row r="1186" spans="1:50">
      <c r="A1186" s="1">
        <f>HYPERLINK("https://lsnyc.legalserver.org/matter/dynamic-profile/view/1879905","18-1879905")</f>
        <v>0</v>
      </c>
      <c r="B1186" t="s">
        <v>64</v>
      </c>
      <c r="C1186" t="s">
        <v>105</v>
      </c>
      <c r="D1186" t="s">
        <v>334</v>
      </c>
      <c r="F1186" t="s">
        <v>1312</v>
      </c>
      <c r="G1186" t="s">
        <v>1599</v>
      </c>
      <c r="H1186" t="s">
        <v>2576</v>
      </c>
      <c r="I1186" t="s">
        <v>3430</v>
      </c>
      <c r="J1186" t="s">
        <v>3604</v>
      </c>
      <c r="K1186">
        <v>10040</v>
      </c>
      <c r="L1186" t="s">
        <v>3610</v>
      </c>
      <c r="M1186" t="s">
        <v>3611</v>
      </c>
      <c r="O1186" t="s">
        <v>4218</v>
      </c>
      <c r="P1186" t="s">
        <v>4243</v>
      </c>
      <c r="R1186" t="s">
        <v>4258</v>
      </c>
      <c r="S1186" t="s">
        <v>3610</v>
      </c>
      <c r="U1186" t="s">
        <v>4268</v>
      </c>
      <c r="W1186" t="s">
        <v>334</v>
      </c>
      <c r="X1186">
        <v>1585</v>
      </c>
      <c r="Y1186" t="s">
        <v>4351</v>
      </c>
      <c r="Z1186" t="s">
        <v>4357</v>
      </c>
      <c r="AB1186" t="s">
        <v>5321</v>
      </c>
      <c r="AE1186">
        <v>88</v>
      </c>
      <c r="AF1186" t="s">
        <v>7101</v>
      </c>
      <c r="AH1186">
        <v>20</v>
      </c>
      <c r="AI1186">
        <v>3</v>
      </c>
      <c r="AJ1186">
        <v>2</v>
      </c>
      <c r="AK1186">
        <v>163.15</v>
      </c>
      <c r="AN1186" t="s">
        <v>7138</v>
      </c>
      <c r="AO1186">
        <v>48000</v>
      </c>
      <c r="AU1186">
        <v>0</v>
      </c>
      <c r="AW1186" t="s">
        <v>7342</v>
      </c>
    </row>
    <row r="1187" spans="1:50">
      <c r="A1187" s="1">
        <f>HYPERLINK("https://lsnyc.legalserver.org/matter/dynamic-profile/view/1864044","18-1864044")</f>
        <v>0</v>
      </c>
      <c r="B1187" t="s">
        <v>56</v>
      </c>
      <c r="C1187" t="s">
        <v>105</v>
      </c>
      <c r="D1187" t="s">
        <v>161</v>
      </c>
      <c r="F1187" t="s">
        <v>777</v>
      </c>
      <c r="G1187" t="s">
        <v>1746</v>
      </c>
      <c r="H1187" t="s">
        <v>2534</v>
      </c>
      <c r="I1187" t="s">
        <v>3316</v>
      </c>
      <c r="J1187" t="s">
        <v>3604</v>
      </c>
      <c r="K1187">
        <v>10040</v>
      </c>
      <c r="L1187" t="s">
        <v>3610</v>
      </c>
      <c r="M1187" t="s">
        <v>3609</v>
      </c>
      <c r="N1187" t="s">
        <v>3656</v>
      </c>
      <c r="O1187" t="s">
        <v>4213</v>
      </c>
      <c r="P1187" t="s">
        <v>4241</v>
      </c>
      <c r="R1187" t="s">
        <v>4258</v>
      </c>
      <c r="S1187" t="s">
        <v>3610</v>
      </c>
      <c r="U1187" t="s">
        <v>4268</v>
      </c>
      <c r="W1187" t="s">
        <v>161</v>
      </c>
      <c r="X1187">
        <v>1355</v>
      </c>
      <c r="Y1187" t="s">
        <v>4351</v>
      </c>
      <c r="Z1187" t="s">
        <v>4357</v>
      </c>
      <c r="AB1187" t="s">
        <v>5322</v>
      </c>
      <c r="AD1187" t="s">
        <v>6680</v>
      </c>
      <c r="AE1187">
        <v>44</v>
      </c>
      <c r="AF1187" t="s">
        <v>7101</v>
      </c>
      <c r="AG1187" t="s">
        <v>3745</v>
      </c>
      <c r="AH1187">
        <v>19</v>
      </c>
      <c r="AI1187">
        <v>3</v>
      </c>
      <c r="AJ1187">
        <v>2</v>
      </c>
      <c r="AK1187">
        <v>163.15</v>
      </c>
      <c r="AL1187" t="s">
        <v>246</v>
      </c>
      <c r="AN1187" t="s">
        <v>7139</v>
      </c>
      <c r="AO1187">
        <v>76800</v>
      </c>
      <c r="AU1187">
        <v>1.2</v>
      </c>
      <c r="AV1187" t="s">
        <v>245</v>
      </c>
      <c r="AW1187" t="s">
        <v>7342</v>
      </c>
    </row>
    <row r="1188" spans="1:50">
      <c r="A1188" s="1">
        <f>HYPERLINK("https://lsnyc.legalserver.org/matter/dynamic-profile/view/1902423","19-1902423")</f>
        <v>0</v>
      </c>
      <c r="B1188" t="s">
        <v>62</v>
      </c>
      <c r="C1188" t="s">
        <v>104</v>
      </c>
      <c r="D1188" t="s">
        <v>330</v>
      </c>
      <c r="E1188" t="s">
        <v>529</v>
      </c>
      <c r="F1188" t="s">
        <v>1275</v>
      </c>
      <c r="G1188" t="s">
        <v>2176</v>
      </c>
      <c r="H1188" t="s">
        <v>2478</v>
      </c>
      <c r="I1188" t="s">
        <v>3342</v>
      </c>
      <c r="J1188" t="s">
        <v>3604</v>
      </c>
      <c r="K1188">
        <v>10034</v>
      </c>
      <c r="L1188" t="s">
        <v>3610</v>
      </c>
      <c r="M1188" t="s">
        <v>3609</v>
      </c>
      <c r="O1188" t="s">
        <v>4219</v>
      </c>
      <c r="P1188" t="s">
        <v>4242</v>
      </c>
      <c r="Q1188" t="s">
        <v>4250</v>
      </c>
      <c r="R1188" t="s">
        <v>4258</v>
      </c>
      <c r="S1188" t="s">
        <v>3611</v>
      </c>
      <c r="U1188" t="s">
        <v>4268</v>
      </c>
      <c r="W1188" t="s">
        <v>330</v>
      </c>
      <c r="X1188">
        <v>660</v>
      </c>
      <c r="Y1188" t="s">
        <v>4351</v>
      </c>
      <c r="Z1188" t="s">
        <v>4354</v>
      </c>
      <c r="AA1188" t="s">
        <v>4373</v>
      </c>
      <c r="AB1188" t="s">
        <v>5323</v>
      </c>
      <c r="AD1188" t="s">
        <v>6681</v>
      </c>
      <c r="AE1188">
        <v>47</v>
      </c>
      <c r="AF1188" t="s">
        <v>7101</v>
      </c>
      <c r="AG1188" t="s">
        <v>3745</v>
      </c>
      <c r="AH1188">
        <v>49</v>
      </c>
      <c r="AI1188">
        <v>2</v>
      </c>
      <c r="AJ1188">
        <v>0</v>
      </c>
      <c r="AK1188">
        <v>163.22</v>
      </c>
      <c r="AN1188" t="s">
        <v>7138</v>
      </c>
      <c r="AO1188">
        <v>27600</v>
      </c>
      <c r="AU1188">
        <v>0.6</v>
      </c>
      <c r="AV1188" t="s">
        <v>396</v>
      </c>
      <c r="AW1188" t="s">
        <v>7342</v>
      </c>
      <c r="AX1188" t="s">
        <v>7377</v>
      </c>
    </row>
    <row r="1189" spans="1:50">
      <c r="A1189" s="1">
        <f>HYPERLINK("https://lsnyc.legalserver.org/matter/dynamic-profile/view/1896423","19-1896423")</f>
        <v>0</v>
      </c>
      <c r="B1189" t="s">
        <v>60</v>
      </c>
      <c r="C1189" t="s">
        <v>105</v>
      </c>
      <c r="D1189" t="s">
        <v>118</v>
      </c>
      <c r="F1189" t="s">
        <v>738</v>
      </c>
      <c r="G1189" t="s">
        <v>2082</v>
      </c>
      <c r="H1189" t="s">
        <v>2887</v>
      </c>
      <c r="I1189">
        <v>3</v>
      </c>
      <c r="J1189" t="s">
        <v>3604</v>
      </c>
      <c r="K1189">
        <v>10033</v>
      </c>
      <c r="L1189" t="s">
        <v>3609</v>
      </c>
      <c r="M1189" t="s">
        <v>3609</v>
      </c>
      <c r="O1189" t="s">
        <v>4211</v>
      </c>
      <c r="P1189" t="s">
        <v>4246</v>
      </c>
      <c r="R1189" t="s">
        <v>4257</v>
      </c>
      <c r="U1189" t="s">
        <v>4268</v>
      </c>
      <c r="X1189">
        <v>0</v>
      </c>
      <c r="Y1189" t="s">
        <v>4351</v>
      </c>
      <c r="AB1189" t="s">
        <v>5324</v>
      </c>
      <c r="AD1189" t="s">
        <v>6682</v>
      </c>
      <c r="AE1189">
        <v>0</v>
      </c>
      <c r="AH1189">
        <v>0</v>
      </c>
      <c r="AI1189">
        <v>1</v>
      </c>
      <c r="AJ1189">
        <v>0</v>
      </c>
      <c r="AK1189">
        <v>163.23</v>
      </c>
      <c r="AN1189" t="s">
        <v>7139</v>
      </c>
      <c r="AO1189">
        <v>20388</v>
      </c>
      <c r="AU1189">
        <v>0</v>
      </c>
      <c r="AW1189" t="s">
        <v>7340</v>
      </c>
    </row>
    <row r="1190" spans="1:50">
      <c r="A1190" s="1">
        <f>HYPERLINK("https://lsnyc.legalserver.org/matter/dynamic-profile/view/1874705","18-1874705")</f>
        <v>0</v>
      </c>
      <c r="B1190" t="s">
        <v>73</v>
      </c>
      <c r="C1190" t="s">
        <v>104</v>
      </c>
      <c r="D1190" t="s">
        <v>144</v>
      </c>
      <c r="E1190" t="s">
        <v>476</v>
      </c>
      <c r="F1190" t="s">
        <v>1313</v>
      </c>
      <c r="G1190" t="s">
        <v>1922</v>
      </c>
      <c r="H1190" t="s">
        <v>3049</v>
      </c>
      <c r="I1190">
        <v>48</v>
      </c>
      <c r="J1190" t="s">
        <v>3604</v>
      </c>
      <c r="K1190">
        <v>10032</v>
      </c>
      <c r="L1190" t="s">
        <v>3610</v>
      </c>
      <c r="M1190" t="s">
        <v>3610</v>
      </c>
      <c r="O1190" t="s">
        <v>4211</v>
      </c>
      <c r="P1190" t="s">
        <v>4244</v>
      </c>
      <c r="Q1190" t="s">
        <v>4250</v>
      </c>
      <c r="R1190" t="s">
        <v>4258</v>
      </c>
      <c r="S1190" t="s">
        <v>3611</v>
      </c>
      <c r="U1190" t="s">
        <v>4268</v>
      </c>
      <c r="W1190" t="s">
        <v>144</v>
      </c>
      <c r="X1190">
        <v>419.6</v>
      </c>
      <c r="Y1190" t="s">
        <v>4351</v>
      </c>
      <c r="Z1190" t="s">
        <v>4354</v>
      </c>
      <c r="AA1190" t="s">
        <v>4373</v>
      </c>
      <c r="AB1190" t="s">
        <v>5325</v>
      </c>
      <c r="AD1190" t="s">
        <v>6683</v>
      </c>
      <c r="AE1190">
        <v>71</v>
      </c>
      <c r="AF1190" t="s">
        <v>7104</v>
      </c>
      <c r="AG1190" t="s">
        <v>3745</v>
      </c>
      <c r="AH1190">
        <v>56</v>
      </c>
      <c r="AI1190">
        <v>1</v>
      </c>
      <c r="AJ1190">
        <v>0</v>
      </c>
      <c r="AK1190">
        <v>163.69</v>
      </c>
      <c r="AN1190" t="s">
        <v>7138</v>
      </c>
      <c r="AO1190">
        <v>19872</v>
      </c>
      <c r="AU1190">
        <v>1.5</v>
      </c>
      <c r="AV1190" t="s">
        <v>476</v>
      </c>
      <c r="AW1190" t="s">
        <v>7342</v>
      </c>
    </row>
    <row r="1191" spans="1:50">
      <c r="A1191" s="1">
        <f>HYPERLINK("https://lsnyc.legalserver.org/matter/dynamic-profile/view/1881226","18-1881226")</f>
        <v>0</v>
      </c>
      <c r="B1191" t="s">
        <v>62</v>
      </c>
      <c r="C1191" t="s">
        <v>105</v>
      </c>
      <c r="D1191" t="s">
        <v>306</v>
      </c>
      <c r="F1191" t="s">
        <v>1314</v>
      </c>
      <c r="G1191" t="s">
        <v>1791</v>
      </c>
      <c r="H1191" t="s">
        <v>2712</v>
      </c>
      <c r="I1191" t="s">
        <v>3430</v>
      </c>
      <c r="J1191" t="s">
        <v>3604</v>
      </c>
      <c r="K1191">
        <v>10040</v>
      </c>
      <c r="L1191" t="s">
        <v>3610</v>
      </c>
      <c r="M1191" t="s">
        <v>3610</v>
      </c>
      <c r="O1191" t="s">
        <v>4213</v>
      </c>
      <c r="P1191" t="s">
        <v>4242</v>
      </c>
      <c r="R1191" t="s">
        <v>4258</v>
      </c>
      <c r="S1191" t="s">
        <v>3610</v>
      </c>
      <c r="U1191" t="s">
        <v>4268</v>
      </c>
      <c r="W1191" t="s">
        <v>306</v>
      </c>
      <c r="X1191">
        <v>1000</v>
      </c>
      <c r="Y1191" t="s">
        <v>4351</v>
      </c>
      <c r="Z1191" t="s">
        <v>4354</v>
      </c>
      <c r="AB1191" t="s">
        <v>5326</v>
      </c>
      <c r="AE1191">
        <v>42</v>
      </c>
      <c r="AF1191" t="s">
        <v>7101</v>
      </c>
      <c r="AG1191" t="s">
        <v>3745</v>
      </c>
      <c r="AH1191">
        <v>1</v>
      </c>
      <c r="AI1191">
        <v>2</v>
      </c>
      <c r="AJ1191">
        <v>0</v>
      </c>
      <c r="AK1191">
        <v>164.03</v>
      </c>
      <c r="AL1191" t="s">
        <v>183</v>
      </c>
      <c r="AM1191" t="s">
        <v>7136</v>
      </c>
      <c r="AN1191" t="s">
        <v>7138</v>
      </c>
      <c r="AO1191">
        <v>27000</v>
      </c>
      <c r="AU1191">
        <v>0</v>
      </c>
      <c r="AW1191" t="s">
        <v>7342</v>
      </c>
    </row>
    <row r="1192" spans="1:50">
      <c r="A1192" s="1">
        <f>HYPERLINK("https://lsnyc.legalserver.org/matter/dynamic-profile/view/1863695","18-1863695")</f>
        <v>0</v>
      </c>
      <c r="B1192" t="s">
        <v>67</v>
      </c>
      <c r="C1192" t="s">
        <v>104</v>
      </c>
      <c r="D1192" t="s">
        <v>242</v>
      </c>
      <c r="E1192" t="s">
        <v>642</v>
      </c>
      <c r="F1192" t="s">
        <v>851</v>
      </c>
      <c r="G1192" t="s">
        <v>2177</v>
      </c>
      <c r="H1192" t="s">
        <v>3050</v>
      </c>
      <c r="I1192">
        <v>10029</v>
      </c>
      <c r="J1192" t="s">
        <v>3604</v>
      </c>
      <c r="K1192">
        <v>10029</v>
      </c>
      <c r="L1192" t="s">
        <v>3610</v>
      </c>
      <c r="M1192" t="s">
        <v>3609</v>
      </c>
      <c r="N1192" t="s">
        <v>4030</v>
      </c>
      <c r="O1192" t="s">
        <v>4209</v>
      </c>
      <c r="P1192" t="s">
        <v>4241</v>
      </c>
      <c r="Q1192" t="s">
        <v>4248</v>
      </c>
      <c r="R1192" t="s">
        <v>4258</v>
      </c>
      <c r="S1192" t="s">
        <v>3611</v>
      </c>
      <c r="U1192" t="s">
        <v>4268</v>
      </c>
      <c r="V1192" t="s">
        <v>4274</v>
      </c>
      <c r="W1192" t="s">
        <v>242</v>
      </c>
      <c r="X1192">
        <v>707</v>
      </c>
      <c r="Y1192" t="s">
        <v>4351</v>
      </c>
      <c r="Z1192" t="s">
        <v>4354</v>
      </c>
      <c r="AA1192" t="s">
        <v>4374</v>
      </c>
      <c r="AB1192" t="s">
        <v>5327</v>
      </c>
      <c r="AD1192" t="s">
        <v>6684</v>
      </c>
      <c r="AE1192">
        <v>10</v>
      </c>
      <c r="AF1192" t="s">
        <v>7101</v>
      </c>
      <c r="AG1192" t="s">
        <v>3745</v>
      </c>
      <c r="AH1192">
        <v>18</v>
      </c>
      <c r="AI1192">
        <v>1</v>
      </c>
      <c r="AJ1192">
        <v>0</v>
      </c>
      <c r="AK1192">
        <v>164.05</v>
      </c>
      <c r="AN1192" t="s">
        <v>7138</v>
      </c>
      <c r="AO1192">
        <v>19916</v>
      </c>
      <c r="AU1192">
        <v>26.15</v>
      </c>
      <c r="AV1192" t="s">
        <v>343</v>
      </c>
      <c r="AW1192" t="s">
        <v>7341</v>
      </c>
    </row>
    <row r="1193" spans="1:50">
      <c r="A1193" s="1">
        <f>HYPERLINK("https://lsnyc.legalserver.org/matter/dynamic-profile/view/1870636","18-1870636")</f>
        <v>0</v>
      </c>
      <c r="B1193" t="s">
        <v>78</v>
      </c>
      <c r="C1193" t="s">
        <v>105</v>
      </c>
      <c r="D1193" t="s">
        <v>566</v>
      </c>
      <c r="F1193" t="s">
        <v>1315</v>
      </c>
      <c r="G1193" t="s">
        <v>1726</v>
      </c>
      <c r="H1193" t="s">
        <v>3051</v>
      </c>
      <c r="I1193">
        <v>12</v>
      </c>
      <c r="J1193" t="s">
        <v>3604</v>
      </c>
      <c r="K1193">
        <v>10027</v>
      </c>
      <c r="L1193" t="s">
        <v>3610</v>
      </c>
      <c r="M1193" t="s">
        <v>3609</v>
      </c>
      <c r="O1193" t="s">
        <v>4211</v>
      </c>
      <c r="P1193" t="s">
        <v>4244</v>
      </c>
      <c r="R1193" t="s">
        <v>4258</v>
      </c>
      <c r="U1193" t="s">
        <v>4268</v>
      </c>
      <c r="W1193" t="s">
        <v>566</v>
      </c>
      <c r="X1193">
        <v>1507.97</v>
      </c>
      <c r="Y1193" t="s">
        <v>4351</v>
      </c>
      <c r="Z1193" t="s">
        <v>4357</v>
      </c>
      <c r="AB1193" t="s">
        <v>5328</v>
      </c>
      <c r="AD1193" t="s">
        <v>6685</v>
      </c>
      <c r="AE1193">
        <v>0</v>
      </c>
      <c r="AF1193" t="s">
        <v>7105</v>
      </c>
      <c r="AG1193" t="s">
        <v>3745</v>
      </c>
      <c r="AH1193">
        <v>15</v>
      </c>
      <c r="AI1193">
        <v>4</v>
      </c>
      <c r="AJ1193">
        <v>2</v>
      </c>
      <c r="AK1193">
        <v>164.16</v>
      </c>
      <c r="AN1193" t="s">
        <v>7139</v>
      </c>
      <c r="AO1193">
        <v>55387</v>
      </c>
      <c r="AU1193">
        <v>3.25</v>
      </c>
      <c r="AV1193" t="s">
        <v>678</v>
      </c>
      <c r="AW1193" t="s">
        <v>7350</v>
      </c>
    </row>
    <row r="1194" spans="1:50">
      <c r="A1194" s="1">
        <f>HYPERLINK("https://lsnyc.legalserver.org/matter/dynamic-profile/view/1877362","18-1877362")</f>
        <v>0</v>
      </c>
      <c r="B1194" t="s">
        <v>67</v>
      </c>
      <c r="C1194" t="s">
        <v>104</v>
      </c>
      <c r="D1194" t="s">
        <v>468</v>
      </c>
      <c r="E1194" t="s">
        <v>209</v>
      </c>
      <c r="F1194" t="s">
        <v>727</v>
      </c>
      <c r="G1194" t="s">
        <v>1594</v>
      </c>
      <c r="H1194" t="s">
        <v>2467</v>
      </c>
      <c r="I1194" t="s">
        <v>3514</v>
      </c>
      <c r="J1194" t="s">
        <v>3604</v>
      </c>
      <c r="K1194">
        <v>10035</v>
      </c>
      <c r="L1194" t="s">
        <v>3610</v>
      </c>
      <c r="M1194" t="s">
        <v>3610</v>
      </c>
      <c r="N1194" t="s">
        <v>3997</v>
      </c>
      <c r="O1194" t="s">
        <v>4227</v>
      </c>
      <c r="P1194" t="s">
        <v>4242</v>
      </c>
      <c r="Q1194" t="s">
        <v>4250</v>
      </c>
      <c r="R1194" t="s">
        <v>4258</v>
      </c>
      <c r="S1194" t="s">
        <v>3611</v>
      </c>
      <c r="U1194" t="s">
        <v>4268</v>
      </c>
      <c r="V1194" t="s">
        <v>4274</v>
      </c>
      <c r="W1194" t="s">
        <v>4293</v>
      </c>
      <c r="X1194">
        <v>3272</v>
      </c>
      <c r="Y1194" t="s">
        <v>4351</v>
      </c>
      <c r="Z1194" t="s">
        <v>4361</v>
      </c>
      <c r="AA1194" t="s">
        <v>4373</v>
      </c>
      <c r="AB1194" t="s">
        <v>5329</v>
      </c>
      <c r="AD1194" t="s">
        <v>6686</v>
      </c>
      <c r="AE1194">
        <v>448</v>
      </c>
      <c r="AF1194" t="s">
        <v>7101</v>
      </c>
      <c r="AG1194" t="s">
        <v>3745</v>
      </c>
      <c r="AH1194">
        <v>-1</v>
      </c>
      <c r="AI1194">
        <v>1</v>
      </c>
      <c r="AJ1194">
        <v>1</v>
      </c>
      <c r="AK1194">
        <v>164.28</v>
      </c>
      <c r="AN1194" t="s">
        <v>7139</v>
      </c>
      <c r="AO1194">
        <v>27040</v>
      </c>
      <c r="AU1194">
        <v>0.6</v>
      </c>
      <c r="AV1194" t="s">
        <v>209</v>
      </c>
      <c r="AW1194" t="s">
        <v>7366</v>
      </c>
    </row>
    <row r="1195" spans="1:50">
      <c r="A1195" s="1">
        <f>HYPERLINK("https://lsnyc.legalserver.org/matter/dynamic-profile/view/1862410","18-1862410")</f>
        <v>0</v>
      </c>
      <c r="B1195" t="s">
        <v>66</v>
      </c>
      <c r="C1195" t="s">
        <v>104</v>
      </c>
      <c r="D1195" t="s">
        <v>494</v>
      </c>
      <c r="E1195" t="s">
        <v>636</v>
      </c>
      <c r="F1195" t="s">
        <v>1316</v>
      </c>
      <c r="G1195" t="s">
        <v>2178</v>
      </c>
      <c r="H1195" t="s">
        <v>3052</v>
      </c>
      <c r="I1195">
        <v>3</v>
      </c>
      <c r="J1195" t="s">
        <v>3604</v>
      </c>
      <c r="K1195">
        <v>10030</v>
      </c>
      <c r="L1195" t="s">
        <v>3610</v>
      </c>
      <c r="M1195" t="s">
        <v>3610</v>
      </c>
      <c r="N1195" t="s">
        <v>4031</v>
      </c>
      <c r="O1195" t="s">
        <v>4210</v>
      </c>
      <c r="P1195" t="s">
        <v>4242</v>
      </c>
      <c r="Q1195" t="s">
        <v>4250</v>
      </c>
      <c r="R1195" t="s">
        <v>4258</v>
      </c>
      <c r="S1195" t="s">
        <v>3611</v>
      </c>
      <c r="U1195" t="s">
        <v>4268</v>
      </c>
      <c r="W1195" t="s">
        <v>278</v>
      </c>
      <c r="X1195">
        <v>1125</v>
      </c>
      <c r="Y1195" t="s">
        <v>4351</v>
      </c>
      <c r="Z1195" t="s">
        <v>4354</v>
      </c>
      <c r="AA1195" t="s">
        <v>4373</v>
      </c>
      <c r="AB1195" t="s">
        <v>5330</v>
      </c>
      <c r="AD1195" t="s">
        <v>6687</v>
      </c>
      <c r="AE1195">
        <v>0</v>
      </c>
      <c r="AF1195" t="s">
        <v>7103</v>
      </c>
      <c r="AG1195" t="s">
        <v>3745</v>
      </c>
      <c r="AH1195">
        <v>11</v>
      </c>
      <c r="AI1195">
        <v>1</v>
      </c>
      <c r="AJ1195">
        <v>0</v>
      </c>
      <c r="AK1195">
        <v>164.74</v>
      </c>
      <c r="AN1195" t="s">
        <v>7138</v>
      </c>
      <c r="AO1195">
        <v>20000</v>
      </c>
      <c r="AU1195">
        <v>0.4</v>
      </c>
      <c r="AV1195" t="s">
        <v>175</v>
      </c>
      <c r="AW1195" t="s">
        <v>7344</v>
      </c>
    </row>
    <row r="1196" spans="1:50">
      <c r="A1196" s="1">
        <f>HYPERLINK("https://lsnyc.legalserver.org/matter/dynamic-profile/view/1897797","19-1897797")</f>
        <v>0</v>
      </c>
      <c r="B1196" t="s">
        <v>56</v>
      </c>
      <c r="C1196" t="s">
        <v>104</v>
      </c>
      <c r="D1196" t="s">
        <v>146</v>
      </c>
      <c r="E1196" t="s">
        <v>659</v>
      </c>
      <c r="F1196" t="s">
        <v>1261</v>
      </c>
      <c r="G1196" t="s">
        <v>1754</v>
      </c>
      <c r="H1196" t="s">
        <v>2999</v>
      </c>
      <c r="I1196" t="s">
        <v>3304</v>
      </c>
      <c r="J1196" t="s">
        <v>3604</v>
      </c>
      <c r="K1196">
        <v>10034</v>
      </c>
      <c r="L1196" t="s">
        <v>3610</v>
      </c>
      <c r="M1196" t="s">
        <v>3610</v>
      </c>
      <c r="N1196" t="s">
        <v>4032</v>
      </c>
      <c r="O1196" t="s">
        <v>4209</v>
      </c>
      <c r="P1196" t="s">
        <v>4242</v>
      </c>
      <c r="Q1196" t="s">
        <v>4250</v>
      </c>
      <c r="R1196" t="s">
        <v>4258</v>
      </c>
      <c r="S1196" t="s">
        <v>3611</v>
      </c>
      <c r="U1196" t="s">
        <v>4268</v>
      </c>
      <c r="W1196" t="s">
        <v>146</v>
      </c>
      <c r="X1196">
        <v>1281</v>
      </c>
      <c r="Y1196" t="s">
        <v>4351</v>
      </c>
      <c r="Z1196" t="s">
        <v>4357</v>
      </c>
      <c r="AA1196" t="s">
        <v>4373</v>
      </c>
      <c r="AB1196" t="s">
        <v>5219</v>
      </c>
      <c r="AD1196" t="s">
        <v>6579</v>
      </c>
      <c r="AE1196">
        <v>100</v>
      </c>
      <c r="AF1196" t="s">
        <v>7101</v>
      </c>
      <c r="AG1196" t="s">
        <v>7118</v>
      </c>
      <c r="AH1196">
        <v>10</v>
      </c>
      <c r="AI1196">
        <v>1</v>
      </c>
      <c r="AJ1196">
        <v>0</v>
      </c>
      <c r="AK1196">
        <v>165.25</v>
      </c>
      <c r="AN1196" t="s">
        <v>7138</v>
      </c>
      <c r="AO1196">
        <v>20640</v>
      </c>
      <c r="AU1196">
        <v>2.35</v>
      </c>
      <c r="AV1196" t="s">
        <v>156</v>
      </c>
      <c r="AW1196" t="s">
        <v>7342</v>
      </c>
    </row>
    <row r="1197" spans="1:50">
      <c r="A1197" s="1">
        <f>HYPERLINK("https://lsnyc.legalserver.org/matter/dynamic-profile/view/1903614","19-1903614")</f>
        <v>0</v>
      </c>
      <c r="B1197" t="s">
        <v>71</v>
      </c>
      <c r="C1197" t="s">
        <v>105</v>
      </c>
      <c r="D1197" t="s">
        <v>325</v>
      </c>
      <c r="F1197" t="s">
        <v>1146</v>
      </c>
      <c r="G1197" t="s">
        <v>2179</v>
      </c>
      <c r="H1197" t="s">
        <v>3053</v>
      </c>
      <c r="I1197" t="s">
        <v>3356</v>
      </c>
      <c r="J1197" t="s">
        <v>3604</v>
      </c>
      <c r="K1197">
        <v>10017</v>
      </c>
      <c r="L1197" t="s">
        <v>3610</v>
      </c>
      <c r="M1197" t="s">
        <v>3609</v>
      </c>
      <c r="N1197" t="s">
        <v>4033</v>
      </c>
      <c r="O1197" t="s">
        <v>4209</v>
      </c>
      <c r="P1197" t="s">
        <v>4246</v>
      </c>
      <c r="R1197" t="s">
        <v>4258</v>
      </c>
      <c r="S1197" t="s">
        <v>3611</v>
      </c>
      <c r="U1197" t="s">
        <v>4268</v>
      </c>
      <c r="V1197" t="s">
        <v>4274</v>
      </c>
      <c r="W1197" t="s">
        <v>325</v>
      </c>
      <c r="X1197">
        <v>1420.95</v>
      </c>
      <c r="Y1197" t="s">
        <v>4351</v>
      </c>
      <c r="Z1197" t="s">
        <v>4353</v>
      </c>
      <c r="AB1197" t="s">
        <v>5331</v>
      </c>
      <c r="AD1197" t="s">
        <v>6688</v>
      </c>
      <c r="AE1197">
        <v>28</v>
      </c>
      <c r="AF1197" t="s">
        <v>7104</v>
      </c>
      <c r="AG1197" t="s">
        <v>3745</v>
      </c>
      <c r="AH1197">
        <v>51</v>
      </c>
      <c r="AI1197">
        <v>1</v>
      </c>
      <c r="AJ1197">
        <v>0</v>
      </c>
      <c r="AK1197">
        <v>165.49</v>
      </c>
      <c r="AN1197" t="s">
        <v>7138</v>
      </c>
      <c r="AO1197">
        <v>20670</v>
      </c>
      <c r="AU1197">
        <v>0.1</v>
      </c>
      <c r="AV1197" t="s">
        <v>325</v>
      </c>
      <c r="AW1197" t="s">
        <v>7341</v>
      </c>
      <c r="AX1197" t="s">
        <v>7377</v>
      </c>
    </row>
    <row r="1198" spans="1:50">
      <c r="A1198" s="1">
        <f>HYPERLINK("https://lsnyc.legalserver.org/matter/dynamic-profile/view/1855779","18-1855779")</f>
        <v>0</v>
      </c>
      <c r="B1198" t="s">
        <v>51</v>
      </c>
      <c r="C1198" t="s">
        <v>104</v>
      </c>
      <c r="D1198" t="s">
        <v>586</v>
      </c>
      <c r="E1198" t="s">
        <v>293</v>
      </c>
      <c r="F1198" t="s">
        <v>1317</v>
      </c>
      <c r="G1198" t="s">
        <v>2180</v>
      </c>
      <c r="H1198" t="s">
        <v>3054</v>
      </c>
      <c r="I1198" t="s">
        <v>3314</v>
      </c>
      <c r="J1198" t="s">
        <v>3604</v>
      </c>
      <c r="K1198">
        <v>10035</v>
      </c>
      <c r="L1198" t="s">
        <v>3610</v>
      </c>
      <c r="M1198" t="s">
        <v>3610</v>
      </c>
      <c r="N1198" t="s">
        <v>4034</v>
      </c>
      <c r="O1198" t="s">
        <v>4210</v>
      </c>
      <c r="P1198" t="s">
        <v>4242</v>
      </c>
      <c r="Q1198" t="s">
        <v>4250</v>
      </c>
      <c r="R1198" t="s">
        <v>4258</v>
      </c>
      <c r="S1198" t="s">
        <v>3611</v>
      </c>
      <c r="U1198" t="s">
        <v>4268</v>
      </c>
      <c r="V1198" t="s">
        <v>4274</v>
      </c>
      <c r="W1198" t="s">
        <v>586</v>
      </c>
      <c r="X1198">
        <v>1070</v>
      </c>
      <c r="Y1198" t="s">
        <v>4351</v>
      </c>
      <c r="Z1198" t="s">
        <v>4354</v>
      </c>
      <c r="AA1198" t="s">
        <v>4373</v>
      </c>
      <c r="AB1198" t="s">
        <v>5332</v>
      </c>
      <c r="AD1198" t="s">
        <v>6689</v>
      </c>
      <c r="AE1198">
        <v>12</v>
      </c>
      <c r="AF1198" t="s">
        <v>7101</v>
      </c>
      <c r="AG1198" t="s">
        <v>3745</v>
      </c>
      <c r="AH1198">
        <v>25</v>
      </c>
      <c r="AI1198">
        <v>1</v>
      </c>
      <c r="AJ1198">
        <v>0</v>
      </c>
      <c r="AK1198">
        <v>165.84</v>
      </c>
      <c r="AN1198" t="s">
        <v>7138</v>
      </c>
      <c r="AO1198">
        <v>20000</v>
      </c>
      <c r="AU1198">
        <v>2</v>
      </c>
      <c r="AV1198" t="s">
        <v>586</v>
      </c>
      <c r="AW1198" t="s">
        <v>7341</v>
      </c>
    </row>
    <row r="1199" spans="1:50">
      <c r="A1199" s="1">
        <f>HYPERLINK("https://lsnyc.legalserver.org/matter/dynamic-profile/view/1851044","17-1851044")</f>
        <v>0</v>
      </c>
      <c r="B1199" t="s">
        <v>61</v>
      </c>
      <c r="C1199" t="s">
        <v>104</v>
      </c>
      <c r="D1199" t="s">
        <v>286</v>
      </c>
      <c r="E1199" t="s">
        <v>201</v>
      </c>
      <c r="F1199" t="s">
        <v>1080</v>
      </c>
      <c r="G1199" t="s">
        <v>1579</v>
      </c>
      <c r="H1199" t="s">
        <v>2655</v>
      </c>
      <c r="I1199">
        <v>43</v>
      </c>
      <c r="J1199" t="s">
        <v>3604</v>
      </c>
      <c r="K1199">
        <v>10034</v>
      </c>
      <c r="L1199" t="s">
        <v>3610</v>
      </c>
      <c r="M1199" t="s">
        <v>3610</v>
      </c>
      <c r="N1199" t="s">
        <v>4035</v>
      </c>
      <c r="O1199" t="s">
        <v>4210</v>
      </c>
      <c r="P1199" t="s">
        <v>4245</v>
      </c>
      <c r="Q1199" t="s">
        <v>4249</v>
      </c>
      <c r="R1199" t="s">
        <v>4258</v>
      </c>
      <c r="S1199" t="s">
        <v>3611</v>
      </c>
      <c r="U1199" t="s">
        <v>4268</v>
      </c>
      <c r="V1199" t="s">
        <v>4275</v>
      </c>
      <c r="W1199" t="s">
        <v>286</v>
      </c>
      <c r="X1199">
        <v>894.47</v>
      </c>
      <c r="Y1199" t="s">
        <v>4351</v>
      </c>
      <c r="Z1199" t="s">
        <v>4354</v>
      </c>
      <c r="AA1199" t="s">
        <v>4377</v>
      </c>
      <c r="AB1199" t="s">
        <v>5333</v>
      </c>
      <c r="AD1199" t="s">
        <v>6690</v>
      </c>
      <c r="AE1199">
        <v>25</v>
      </c>
      <c r="AF1199" t="s">
        <v>7101</v>
      </c>
      <c r="AG1199" t="s">
        <v>3745</v>
      </c>
      <c r="AH1199">
        <v>7</v>
      </c>
      <c r="AI1199">
        <v>1</v>
      </c>
      <c r="AJ1199">
        <v>0</v>
      </c>
      <c r="AK1199">
        <v>165.84</v>
      </c>
      <c r="AN1199" t="s">
        <v>7139</v>
      </c>
      <c r="AO1199">
        <v>20000</v>
      </c>
      <c r="AU1199">
        <v>2.9</v>
      </c>
      <c r="AV1199" t="s">
        <v>586</v>
      </c>
      <c r="AW1199" t="s">
        <v>7342</v>
      </c>
    </row>
    <row r="1200" spans="1:50">
      <c r="A1200" s="1">
        <f>HYPERLINK("https://lsnyc.legalserver.org/matter/dynamic-profile/view/1839253","17-1839253")</f>
        <v>0</v>
      </c>
      <c r="B1200" t="s">
        <v>64</v>
      </c>
      <c r="C1200" t="s">
        <v>104</v>
      </c>
      <c r="D1200" t="s">
        <v>206</v>
      </c>
      <c r="E1200" t="s">
        <v>335</v>
      </c>
      <c r="F1200" t="s">
        <v>1318</v>
      </c>
      <c r="G1200" t="s">
        <v>1562</v>
      </c>
      <c r="H1200" t="s">
        <v>2939</v>
      </c>
      <c r="I1200" t="s">
        <v>3294</v>
      </c>
      <c r="J1200" t="s">
        <v>3604</v>
      </c>
      <c r="K1200">
        <v>10034</v>
      </c>
      <c r="L1200" t="s">
        <v>3610</v>
      </c>
      <c r="M1200" t="s">
        <v>3609</v>
      </c>
      <c r="O1200" t="s">
        <v>4209</v>
      </c>
      <c r="P1200" t="s">
        <v>4241</v>
      </c>
      <c r="Q1200" t="s">
        <v>4248</v>
      </c>
      <c r="R1200" t="s">
        <v>4258</v>
      </c>
      <c r="S1200" t="s">
        <v>3611</v>
      </c>
      <c r="U1200" t="s">
        <v>4268</v>
      </c>
      <c r="W1200" t="s">
        <v>206</v>
      </c>
      <c r="X1200">
        <v>715</v>
      </c>
      <c r="Y1200" t="s">
        <v>4351</v>
      </c>
      <c r="Z1200" t="s">
        <v>4354</v>
      </c>
      <c r="AA1200" t="s">
        <v>4374</v>
      </c>
      <c r="AB1200" t="s">
        <v>5334</v>
      </c>
      <c r="AD1200" t="s">
        <v>6691</v>
      </c>
      <c r="AE1200">
        <v>100</v>
      </c>
      <c r="AF1200" t="s">
        <v>7101</v>
      </c>
      <c r="AG1200" t="s">
        <v>3745</v>
      </c>
      <c r="AH1200">
        <v>38</v>
      </c>
      <c r="AI1200">
        <v>2</v>
      </c>
      <c r="AJ1200">
        <v>0</v>
      </c>
      <c r="AK1200">
        <v>165.89</v>
      </c>
      <c r="AN1200" t="s">
        <v>7139</v>
      </c>
      <c r="AO1200">
        <v>26940</v>
      </c>
      <c r="AU1200">
        <v>40.15</v>
      </c>
      <c r="AV1200" t="s">
        <v>7290</v>
      </c>
      <c r="AW1200" t="s">
        <v>7342</v>
      </c>
    </row>
    <row r="1201" spans="1:50">
      <c r="A1201" s="1">
        <f>HYPERLINK("https://lsnyc.legalserver.org/matter/dynamic-profile/view/1881235","18-1881235")</f>
        <v>0</v>
      </c>
      <c r="B1201" t="s">
        <v>62</v>
      </c>
      <c r="C1201" t="s">
        <v>105</v>
      </c>
      <c r="D1201" t="s">
        <v>306</v>
      </c>
      <c r="F1201" t="s">
        <v>1319</v>
      </c>
      <c r="G1201" t="s">
        <v>2181</v>
      </c>
      <c r="H1201" t="s">
        <v>2712</v>
      </c>
      <c r="I1201" t="s">
        <v>3318</v>
      </c>
      <c r="J1201" t="s">
        <v>3604</v>
      </c>
      <c r="K1201">
        <v>10040</v>
      </c>
      <c r="L1201" t="s">
        <v>3610</v>
      </c>
      <c r="M1201" t="s">
        <v>3610</v>
      </c>
      <c r="O1201" t="s">
        <v>4213</v>
      </c>
      <c r="P1201" t="s">
        <v>4242</v>
      </c>
      <c r="R1201" t="s">
        <v>4258</v>
      </c>
      <c r="S1201" t="s">
        <v>3610</v>
      </c>
      <c r="U1201" t="s">
        <v>4268</v>
      </c>
      <c r="W1201" t="s">
        <v>306</v>
      </c>
      <c r="X1201">
        <v>2000</v>
      </c>
      <c r="Y1201" t="s">
        <v>4351</v>
      </c>
      <c r="Z1201" t="s">
        <v>4354</v>
      </c>
      <c r="AB1201" t="s">
        <v>5335</v>
      </c>
      <c r="AD1201" t="s">
        <v>6692</v>
      </c>
      <c r="AE1201">
        <v>42</v>
      </c>
      <c r="AF1201" t="s">
        <v>7101</v>
      </c>
      <c r="AG1201" t="s">
        <v>3745</v>
      </c>
      <c r="AH1201">
        <v>2</v>
      </c>
      <c r="AI1201">
        <v>2</v>
      </c>
      <c r="AJ1201">
        <v>0</v>
      </c>
      <c r="AK1201">
        <v>166.46</v>
      </c>
      <c r="AL1201" t="s">
        <v>183</v>
      </c>
      <c r="AM1201" t="s">
        <v>7136</v>
      </c>
      <c r="AN1201" t="s">
        <v>7138</v>
      </c>
      <c r="AO1201">
        <v>27400</v>
      </c>
      <c r="AU1201">
        <v>0</v>
      </c>
      <c r="AW1201" t="s">
        <v>7342</v>
      </c>
    </row>
    <row r="1202" spans="1:50">
      <c r="A1202" s="1">
        <f>HYPERLINK("https://lsnyc.legalserver.org/matter/dynamic-profile/view/1855722","18-1855722")</f>
        <v>0</v>
      </c>
      <c r="B1202" t="s">
        <v>81</v>
      </c>
      <c r="C1202" t="s">
        <v>104</v>
      </c>
      <c r="D1202" t="s">
        <v>376</v>
      </c>
      <c r="E1202" t="s">
        <v>582</v>
      </c>
      <c r="F1202" t="s">
        <v>1320</v>
      </c>
      <c r="G1202" t="s">
        <v>1622</v>
      </c>
      <c r="H1202" t="s">
        <v>3055</v>
      </c>
      <c r="I1202" t="s">
        <v>3397</v>
      </c>
      <c r="J1202" t="s">
        <v>3608</v>
      </c>
      <c r="K1202">
        <v>10463</v>
      </c>
      <c r="L1202" t="s">
        <v>3610</v>
      </c>
      <c r="M1202" t="s">
        <v>3610</v>
      </c>
      <c r="N1202" t="s">
        <v>4036</v>
      </c>
      <c r="O1202" t="s">
        <v>4209</v>
      </c>
      <c r="P1202" t="s">
        <v>4242</v>
      </c>
      <c r="Q1202" t="s">
        <v>4250</v>
      </c>
      <c r="R1202" t="s">
        <v>4258</v>
      </c>
      <c r="S1202" t="s">
        <v>3611</v>
      </c>
      <c r="T1202" t="s">
        <v>4259</v>
      </c>
      <c r="U1202" t="s">
        <v>4268</v>
      </c>
      <c r="W1202" t="s">
        <v>428</v>
      </c>
      <c r="X1202">
        <v>1122</v>
      </c>
      <c r="Y1202" t="s">
        <v>4351</v>
      </c>
      <c r="Z1202" t="s">
        <v>4353</v>
      </c>
      <c r="AA1202" t="s">
        <v>4373</v>
      </c>
      <c r="AB1202" t="s">
        <v>5336</v>
      </c>
      <c r="AD1202" t="s">
        <v>6693</v>
      </c>
      <c r="AE1202">
        <v>42</v>
      </c>
      <c r="AF1202" t="s">
        <v>7105</v>
      </c>
      <c r="AG1202" t="s">
        <v>3745</v>
      </c>
      <c r="AH1202">
        <v>3</v>
      </c>
      <c r="AI1202">
        <v>2</v>
      </c>
      <c r="AJ1202">
        <v>1</v>
      </c>
      <c r="AK1202">
        <v>166.5</v>
      </c>
      <c r="AN1202" t="s">
        <v>7138</v>
      </c>
      <c r="AO1202">
        <v>34000</v>
      </c>
      <c r="AU1202">
        <v>0.5</v>
      </c>
      <c r="AV1202" t="s">
        <v>376</v>
      </c>
      <c r="AW1202" t="s">
        <v>7344</v>
      </c>
    </row>
    <row r="1203" spans="1:50">
      <c r="A1203" s="1">
        <f>HYPERLINK("https://lsnyc.legalserver.org/matter/dynamic-profile/view/1890689","19-1890689")</f>
        <v>0</v>
      </c>
      <c r="B1203" t="s">
        <v>61</v>
      </c>
      <c r="C1203" t="s">
        <v>105</v>
      </c>
      <c r="D1203" t="s">
        <v>214</v>
      </c>
      <c r="F1203" t="s">
        <v>763</v>
      </c>
      <c r="G1203" t="s">
        <v>1750</v>
      </c>
      <c r="H1203" t="s">
        <v>3056</v>
      </c>
      <c r="I1203" t="s">
        <v>3357</v>
      </c>
      <c r="J1203" t="s">
        <v>3604</v>
      </c>
      <c r="K1203">
        <v>10034</v>
      </c>
      <c r="L1203" t="s">
        <v>3610</v>
      </c>
      <c r="M1203" t="s">
        <v>3610</v>
      </c>
      <c r="O1203" t="s">
        <v>4209</v>
      </c>
      <c r="P1203" t="s">
        <v>4242</v>
      </c>
      <c r="R1203" t="s">
        <v>4258</v>
      </c>
      <c r="S1203" t="s">
        <v>3611</v>
      </c>
      <c r="U1203" t="s">
        <v>4268</v>
      </c>
      <c r="W1203" t="s">
        <v>214</v>
      </c>
      <c r="X1203">
        <v>1125.59</v>
      </c>
      <c r="Y1203" t="s">
        <v>4351</v>
      </c>
      <c r="Z1203" t="s">
        <v>4354</v>
      </c>
      <c r="AB1203" t="s">
        <v>5337</v>
      </c>
      <c r="AD1203" t="s">
        <v>6694</v>
      </c>
      <c r="AE1203">
        <v>59</v>
      </c>
      <c r="AF1203" t="s">
        <v>7101</v>
      </c>
      <c r="AG1203" t="s">
        <v>3745</v>
      </c>
      <c r="AH1203">
        <v>33</v>
      </c>
      <c r="AI1203">
        <v>1</v>
      </c>
      <c r="AJ1203">
        <v>0</v>
      </c>
      <c r="AK1203">
        <v>166.53</v>
      </c>
      <c r="AN1203" t="s">
        <v>7139</v>
      </c>
      <c r="AO1203">
        <v>20800</v>
      </c>
      <c r="AU1203">
        <v>1.4</v>
      </c>
      <c r="AV1203" t="s">
        <v>214</v>
      </c>
      <c r="AW1203" t="s">
        <v>7342</v>
      </c>
      <c r="AX1203" t="s">
        <v>7377</v>
      </c>
    </row>
    <row r="1204" spans="1:50">
      <c r="A1204" s="1">
        <f>HYPERLINK("https://lsnyc.legalserver.org/matter/dynamic-profile/view/1858879","18-1858879")</f>
        <v>0</v>
      </c>
      <c r="B1204" t="s">
        <v>64</v>
      </c>
      <c r="C1204" t="s">
        <v>104</v>
      </c>
      <c r="D1204" t="s">
        <v>249</v>
      </c>
      <c r="E1204" t="s">
        <v>271</v>
      </c>
      <c r="F1204" t="s">
        <v>1321</v>
      </c>
      <c r="G1204" t="s">
        <v>1982</v>
      </c>
      <c r="H1204" t="s">
        <v>3043</v>
      </c>
      <c r="I1204" t="s">
        <v>3515</v>
      </c>
      <c r="J1204" t="s">
        <v>3604</v>
      </c>
      <c r="K1204">
        <v>10034</v>
      </c>
      <c r="L1204" t="s">
        <v>3610</v>
      </c>
      <c r="M1204" t="s">
        <v>3609</v>
      </c>
      <c r="N1204" t="s">
        <v>4037</v>
      </c>
      <c r="O1204" t="s">
        <v>4209</v>
      </c>
      <c r="P1204" t="s">
        <v>4241</v>
      </c>
      <c r="Q1204" t="s">
        <v>4248</v>
      </c>
      <c r="R1204" t="s">
        <v>4258</v>
      </c>
      <c r="U1204" t="s">
        <v>4268</v>
      </c>
      <c r="W1204" t="s">
        <v>379</v>
      </c>
      <c r="X1204">
        <v>1600</v>
      </c>
      <c r="Y1204" t="s">
        <v>4351</v>
      </c>
      <c r="Z1204" t="s">
        <v>4353</v>
      </c>
      <c r="AA1204" t="s">
        <v>4374</v>
      </c>
      <c r="AB1204" t="s">
        <v>4746</v>
      </c>
      <c r="AD1204" t="s">
        <v>6695</v>
      </c>
      <c r="AE1204">
        <v>72</v>
      </c>
      <c r="AF1204" t="s">
        <v>7105</v>
      </c>
      <c r="AG1204" t="s">
        <v>3745</v>
      </c>
      <c r="AH1204">
        <v>14</v>
      </c>
      <c r="AI1204">
        <v>2</v>
      </c>
      <c r="AJ1204">
        <v>0</v>
      </c>
      <c r="AK1204">
        <v>166.64</v>
      </c>
      <c r="AN1204" t="s">
        <v>7139</v>
      </c>
      <c r="AO1204">
        <v>27061.6</v>
      </c>
      <c r="AU1204">
        <v>105.72</v>
      </c>
      <c r="AV1204" t="s">
        <v>262</v>
      </c>
      <c r="AW1204" t="s">
        <v>7344</v>
      </c>
    </row>
    <row r="1205" spans="1:50">
      <c r="A1205" s="1">
        <f>HYPERLINK("https://lsnyc.legalserver.org/matter/dynamic-profile/view/0831483","17-0831483")</f>
        <v>0</v>
      </c>
      <c r="B1205" t="s">
        <v>64</v>
      </c>
      <c r="C1205" t="s">
        <v>105</v>
      </c>
      <c r="D1205" t="s">
        <v>327</v>
      </c>
      <c r="F1205" t="s">
        <v>1312</v>
      </c>
      <c r="G1205" t="s">
        <v>1599</v>
      </c>
      <c r="H1205" t="s">
        <v>2576</v>
      </c>
      <c r="I1205" t="s">
        <v>3430</v>
      </c>
      <c r="J1205" t="s">
        <v>3604</v>
      </c>
      <c r="K1205">
        <v>10040</v>
      </c>
      <c r="L1205" t="s">
        <v>3609</v>
      </c>
      <c r="M1205" t="s">
        <v>3609</v>
      </c>
      <c r="N1205" t="s">
        <v>4038</v>
      </c>
      <c r="O1205" t="s">
        <v>4213</v>
      </c>
      <c r="P1205" t="s">
        <v>4241</v>
      </c>
      <c r="R1205" t="s">
        <v>4258</v>
      </c>
      <c r="S1205" t="s">
        <v>3610</v>
      </c>
      <c r="U1205" t="s">
        <v>4268</v>
      </c>
      <c r="W1205" t="s">
        <v>332</v>
      </c>
      <c r="X1205">
        <v>1585</v>
      </c>
      <c r="Y1205" t="s">
        <v>4351</v>
      </c>
      <c r="Z1205" t="s">
        <v>4352</v>
      </c>
      <c r="AB1205" t="s">
        <v>5321</v>
      </c>
      <c r="AE1205">
        <v>83</v>
      </c>
      <c r="AF1205" t="s">
        <v>7101</v>
      </c>
      <c r="AG1205" t="s">
        <v>3745</v>
      </c>
      <c r="AH1205">
        <v>20</v>
      </c>
      <c r="AI1205">
        <v>3</v>
      </c>
      <c r="AJ1205">
        <v>2</v>
      </c>
      <c r="AK1205">
        <v>166.78</v>
      </c>
      <c r="AL1205" t="s">
        <v>518</v>
      </c>
      <c r="AN1205" t="s">
        <v>7138</v>
      </c>
      <c r="AO1205">
        <v>48000</v>
      </c>
      <c r="AU1205">
        <v>0</v>
      </c>
      <c r="AV1205" t="s">
        <v>191</v>
      </c>
      <c r="AW1205" t="s">
        <v>7341</v>
      </c>
    </row>
    <row r="1206" spans="1:50">
      <c r="A1206" s="1">
        <f>HYPERLINK("https://lsnyc.legalserver.org/matter/dynamic-profile/view/0831484","17-0831484")</f>
        <v>0</v>
      </c>
      <c r="B1206" t="s">
        <v>64</v>
      </c>
      <c r="C1206" t="s">
        <v>105</v>
      </c>
      <c r="D1206" t="s">
        <v>327</v>
      </c>
      <c r="F1206" t="s">
        <v>1312</v>
      </c>
      <c r="G1206" t="s">
        <v>1599</v>
      </c>
      <c r="H1206" t="s">
        <v>2576</v>
      </c>
      <c r="I1206" t="s">
        <v>3430</v>
      </c>
      <c r="J1206" t="s">
        <v>3604</v>
      </c>
      <c r="K1206">
        <v>10040</v>
      </c>
      <c r="L1206" t="s">
        <v>3609</v>
      </c>
      <c r="M1206" t="s">
        <v>3609</v>
      </c>
      <c r="N1206" t="s">
        <v>4038</v>
      </c>
      <c r="O1206" t="s">
        <v>4211</v>
      </c>
      <c r="P1206" t="s">
        <v>4244</v>
      </c>
      <c r="R1206" t="s">
        <v>4258</v>
      </c>
      <c r="S1206" t="s">
        <v>3610</v>
      </c>
      <c r="U1206" t="s">
        <v>4268</v>
      </c>
      <c r="W1206" t="s">
        <v>332</v>
      </c>
      <c r="X1206">
        <v>1585</v>
      </c>
      <c r="Y1206" t="s">
        <v>4351</v>
      </c>
      <c r="Z1206" t="s">
        <v>4352</v>
      </c>
      <c r="AB1206" t="s">
        <v>5321</v>
      </c>
      <c r="AE1206">
        <v>83</v>
      </c>
      <c r="AF1206" t="s">
        <v>7101</v>
      </c>
      <c r="AG1206" t="s">
        <v>3745</v>
      </c>
      <c r="AH1206">
        <v>20</v>
      </c>
      <c r="AI1206">
        <v>3</v>
      </c>
      <c r="AJ1206">
        <v>2</v>
      </c>
      <c r="AK1206">
        <v>166.78</v>
      </c>
      <c r="AL1206" t="s">
        <v>518</v>
      </c>
      <c r="AN1206" t="s">
        <v>7138</v>
      </c>
      <c r="AO1206">
        <v>48000</v>
      </c>
      <c r="AU1206">
        <v>0</v>
      </c>
      <c r="AW1206" t="s">
        <v>7341</v>
      </c>
    </row>
    <row r="1207" spans="1:50">
      <c r="A1207" s="1">
        <f>HYPERLINK("https://lsnyc.legalserver.org/matter/dynamic-profile/view/1833624","17-1833624")</f>
        <v>0</v>
      </c>
      <c r="B1207" t="s">
        <v>95</v>
      </c>
      <c r="C1207" t="s">
        <v>104</v>
      </c>
      <c r="D1207" t="s">
        <v>170</v>
      </c>
      <c r="E1207" t="s">
        <v>318</v>
      </c>
      <c r="F1207" t="s">
        <v>1322</v>
      </c>
      <c r="G1207" t="s">
        <v>2182</v>
      </c>
      <c r="H1207" t="s">
        <v>3057</v>
      </c>
      <c r="I1207" t="s">
        <v>3333</v>
      </c>
      <c r="J1207" t="s">
        <v>3604</v>
      </c>
      <c r="K1207">
        <v>10035</v>
      </c>
      <c r="L1207" t="s">
        <v>3610</v>
      </c>
      <c r="M1207" t="s">
        <v>3610</v>
      </c>
      <c r="N1207" t="s">
        <v>4039</v>
      </c>
      <c r="O1207" t="s">
        <v>4210</v>
      </c>
      <c r="P1207" t="s">
        <v>4241</v>
      </c>
      <c r="Q1207" t="s">
        <v>4254</v>
      </c>
      <c r="R1207" t="s">
        <v>4258</v>
      </c>
      <c r="S1207" t="s">
        <v>3611</v>
      </c>
      <c r="U1207" t="s">
        <v>4268</v>
      </c>
      <c r="W1207" t="s">
        <v>4336</v>
      </c>
      <c r="X1207">
        <v>814</v>
      </c>
      <c r="Y1207" t="s">
        <v>4351</v>
      </c>
      <c r="Z1207" t="s">
        <v>4354</v>
      </c>
      <c r="AA1207" t="s">
        <v>4384</v>
      </c>
      <c r="AB1207" t="s">
        <v>5338</v>
      </c>
      <c r="AD1207" t="s">
        <v>6696</v>
      </c>
      <c r="AE1207">
        <v>20</v>
      </c>
      <c r="AF1207" t="s">
        <v>7112</v>
      </c>
      <c r="AG1207" t="s">
        <v>3745</v>
      </c>
      <c r="AH1207">
        <v>31</v>
      </c>
      <c r="AI1207">
        <v>1</v>
      </c>
      <c r="AJ1207">
        <v>0</v>
      </c>
      <c r="AK1207">
        <v>166.87</v>
      </c>
      <c r="AN1207" t="s">
        <v>7138</v>
      </c>
      <c r="AO1207">
        <v>20124</v>
      </c>
      <c r="AU1207">
        <v>130.29</v>
      </c>
      <c r="AV1207" t="s">
        <v>553</v>
      </c>
      <c r="AW1207" t="s">
        <v>7360</v>
      </c>
    </row>
    <row r="1208" spans="1:50">
      <c r="A1208" s="1">
        <f>HYPERLINK("https://lsnyc.legalserver.org/matter/dynamic-profile/view/0832882","17-0832882")</f>
        <v>0</v>
      </c>
      <c r="B1208" t="s">
        <v>78</v>
      </c>
      <c r="C1208" t="s">
        <v>105</v>
      </c>
      <c r="D1208" t="s">
        <v>186</v>
      </c>
      <c r="F1208" t="s">
        <v>1116</v>
      </c>
      <c r="G1208" t="s">
        <v>1676</v>
      </c>
      <c r="H1208" t="s">
        <v>2509</v>
      </c>
      <c r="I1208">
        <v>905</v>
      </c>
      <c r="J1208" t="s">
        <v>3604</v>
      </c>
      <c r="K1208">
        <v>10029</v>
      </c>
      <c r="L1208" t="s">
        <v>3610</v>
      </c>
      <c r="M1208" t="s">
        <v>3609</v>
      </c>
      <c r="O1208" t="s">
        <v>4239</v>
      </c>
      <c r="P1208" t="s">
        <v>4241</v>
      </c>
      <c r="R1208" t="s">
        <v>4258</v>
      </c>
      <c r="S1208" t="s">
        <v>3611</v>
      </c>
      <c r="U1208" t="s">
        <v>4269</v>
      </c>
      <c r="W1208" t="s">
        <v>593</v>
      </c>
      <c r="X1208">
        <v>860</v>
      </c>
      <c r="Y1208" t="s">
        <v>4351</v>
      </c>
      <c r="Z1208" t="s">
        <v>4357</v>
      </c>
      <c r="AB1208" t="s">
        <v>5242</v>
      </c>
      <c r="AD1208" t="s">
        <v>6602</v>
      </c>
      <c r="AE1208">
        <v>31</v>
      </c>
      <c r="AF1208" t="s">
        <v>7102</v>
      </c>
      <c r="AG1208" t="s">
        <v>3745</v>
      </c>
      <c r="AH1208">
        <v>43</v>
      </c>
      <c r="AI1208">
        <v>1</v>
      </c>
      <c r="AJ1208">
        <v>0</v>
      </c>
      <c r="AK1208">
        <v>166.97</v>
      </c>
      <c r="AN1208" t="s">
        <v>7139</v>
      </c>
      <c r="AO1208">
        <v>20136</v>
      </c>
      <c r="AU1208">
        <v>114.06</v>
      </c>
      <c r="AV1208" t="s">
        <v>399</v>
      </c>
      <c r="AW1208" t="s">
        <v>7341</v>
      </c>
    </row>
    <row r="1209" spans="1:50">
      <c r="A1209" s="1">
        <f>HYPERLINK("https://lsnyc.legalserver.org/matter/dynamic-profile/view/1897550","19-1897550")</f>
        <v>0</v>
      </c>
      <c r="B1209" t="s">
        <v>53</v>
      </c>
      <c r="C1209" t="s">
        <v>105</v>
      </c>
      <c r="D1209" t="s">
        <v>261</v>
      </c>
      <c r="F1209" t="s">
        <v>697</v>
      </c>
      <c r="G1209" t="s">
        <v>1754</v>
      </c>
      <c r="H1209" t="s">
        <v>2797</v>
      </c>
      <c r="I1209" t="s">
        <v>3314</v>
      </c>
      <c r="J1209" t="s">
        <v>3604</v>
      </c>
      <c r="K1209">
        <v>10035</v>
      </c>
      <c r="L1209" t="s">
        <v>3610</v>
      </c>
      <c r="M1209" t="s">
        <v>3610</v>
      </c>
      <c r="O1209" t="s">
        <v>4211</v>
      </c>
      <c r="P1209" t="s">
        <v>4245</v>
      </c>
      <c r="R1209" t="s">
        <v>4258</v>
      </c>
      <c r="S1209" t="s">
        <v>3610</v>
      </c>
      <c r="U1209" t="s">
        <v>4268</v>
      </c>
      <c r="V1209" t="s">
        <v>4274</v>
      </c>
      <c r="W1209" t="s">
        <v>319</v>
      </c>
      <c r="X1209">
        <v>1051</v>
      </c>
      <c r="Y1209" t="s">
        <v>4351</v>
      </c>
      <c r="Z1209" t="s">
        <v>4361</v>
      </c>
      <c r="AB1209" t="s">
        <v>5339</v>
      </c>
      <c r="AD1209" t="s">
        <v>6697</v>
      </c>
      <c r="AE1209">
        <v>60</v>
      </c>
      <c r="AF1209" t="s">
        <v>7101</v>
      </c>
      <c r="AG1209" t="s">
        <v>3745</v>
      </c>
      <c r="AH1209">
        <v>14</v>
      </c>
      <c r="AI1209">
        <v>3</v>
      </c>
      <c r="AJ1209">
        <v>1</v>
      </c>
      <c r="AK1209">
        <v>166.99</v>
      </c>
      <c r="AN1209" t="s">
        <v>7138</v>
      </c>
      <c r="AO1209">
        <v>43000</v>
      </c>
      <c r="AU1209">
        <v>0</v>
      </c>
      <c r="AW1209" t="s">
        <v>7341</v>
      </c>
    </row>
    <row r="1210" spans="1:50">
      <c r="A1210" s="1">
        <f>HYPERLINK("https://lsnyc.legalserver.org/matter/dynamic-profile/view/1867816","18-1867816")</f>
        <v>0</v>
      </c>
      <c r="B1210" t="s">
        <v>75</v>
      </c>
      <c r="C1210" t="s">
        <v>105</v>
      </c>
      <c r="D1210" t="s">
        <v>411</v>
      </c>
      <c r="F1210" t="s">
        <v>1323</v>
      </c>
      <c r="G1210" t="s">
        <v>1718</v>
      </c>
      <c r="H1210" t="s">
        <v>3058</v>
      </c>
      <c r="I1210" t="s">
        <v>3516</v>
      </c>
      <c r="J1210" t="s">
        <v>3604</v>
      </c>
      <c r="K1210">
        <v>10009</v>
      </c>
      <c r="L1210" t="s">
        <v>3610</v>
      </c>
      <c r="M1210" t="s">
        <v>3610</v>
      </c>
      <c r="O1210" t="s">
        <v>4211</v>
      </c>
      <c r="P1210" t="s">
        <v>4242</v>
      </c>
      <c r="R1210" t="s">
        <v>4258</v>
      </c>
      <c r="S1210" t="s">
        <v>3611</v>
      </c>
      <c r="T1210" t="s">
        <v>4259</v>
      </c>
      <c r="U1210" t="s">
        <v>4268</v>
      </c>
      <c r="W1210" t="s">
        <v>205</v>
      </c>
      <c r="X1210">
        <v>0</v>
      </c>
      <c r="Y1210" t="s">
        <v>4351</v>
      </c>
      <c r="Z1210" t="s">
        <v>4357</v>
      </c>
      <c r="AB1210" t="s">
        <v>5340</v>
      </c>
      <c r="AD1210" t="s">
        <v>6698</v>
      </c>
      <c r="AE1210">
        <v>0</v>
      </c>
      <c r="AF1210" t="s">
        <v>7105</v>
      </c>
      <c r="AG1210" t="s">
        <v>3745</v>
      </c>
      <c r="AH1210">
        <v>0</v>
      </c>
      <c r="AI1210">
        <v>3</v>
      </c>
      <c r="AJ1210">
        <v>2</v>
      </c>
      <c r="AK1210">
        <v>167</v>
      </c>
      <c r="AN1210" t="s">
        <v>7138</v>
      </c>
      <c r="AO1210">
        <v>49132.04</v>
      </c>
      <c r="AU1210">
        <v>0.9</v>
      </c>
      <c r="AV1210" t="s">
        <v>112</v>
      </c>
      <c r="AW1210" t="s">
        <v>7344</v>
      </c>
    </row>
    <row r="1211" spans="1:50">
      <c r="A1211" s="1">
        <f>HYPERLINK("https://lsnyc.legalserver.org/matter/dynamic-profile/view/1854384","17-1854384")</f>
        <v>0</v>
      </c>
      <c r="B1211" t="s">
        <v>70</v>
      </c>
      <c r="C1211" t="s">
        <v>105</v>
      </c>
      <c r="D1211" t="s">
        <v>176</v>
      </c>
      <c r="F1211" t="s">
        <v>1324</v>
      </c>
      <c r="G1211" t="s">
        <v>1560</v>
      </c>
      <c r="H1211" t="s">
        <v>3059</v>
      </c>
      <c r="I1211">
        <v>2501</v>
      </c>
      <c r="J1211" t="s">
        <v>3604</v>
      </c>
      <c r="K1211">
        <v>10035</v>
      </c>
      <c r="L1211" t="s">
        <v>3610</v>
      </c>
      <c r="M1211" t="s">
        <v>3610</v>
      </c>
      <c r="N1211" t="s">
        <v>4040</v>
      </c>
      <c r="O1211" t="s">
        <v>4209</v>
      </c>
      <c r="P1211" t="s">
        <v>4241</v>
      </c>
      <c r="R1211" t="s">
        <v>4258</v>
      </c>
      <c r="S1211" t="s">
        <v>3611</v>
      </c>
      <c r="U1211" t="s">
        <v>4268</v>
      </c>
      <c r="W1211" t="s">
        <v>399</v>
      </c>
      <c r="X1211">
        <v>2942.3</v>
      </c>
      <c r="Y1211" t="s">
        <v>4351</v>
      </c>
      <c r="Z1211" t="s">
        <v>4354</v>
      </c>
      <c r="AB1211" t="s">
        <v>5341</v>
      </c>
      <c r="AD1211" t="s">
        <v>6699</v>
      </c>
      <c r="AE1211">
        <v>148</v>
      </c>
      <c r="AF1211" t="s">
        <v>7112</v>
      </c>
      <c r="AG1211" t="s">
        <v>7116</v>
      </c>
      <c r="AH1211">
        <v>38</v>
      </c>
      <c r="AI1211">
        <v>3</v>
      </c>
      <c r="AJ1211">
        <v>0</v>
      </c>
      <c r="AK1211">
        <v>167.4</v>
      </c>
      <c r="AN1211" t="s">
        <v>7138</v>
      </c>
      <c r="AO1211">
        <v>34184</v>
      </c>
      <c r="AU1211">
        <v>88.45</v>
      </c>
      <c r="AV1211" t="s">
        <v>689</v>
      </c>
      <c r="AW1211" t="s">
        <v>7348</v>
      </c>
    </row>
    <row r="1212" spans="1:50">
      <c r="A1212" s="1">
        <f>HYPERLINK("https://lsnyc.legalserver.org/matter/dynamic-profile/view/1882015","18-1882015")</f>
        <v>0</v>
      </c>
      <c r="B1212" t="s">
        <v>61</v>
      </c>
      <c r="C1212" t="s">
        <v>105</v>
      </c>
      <c r="D1212" t="s">
        <v>437</v>
      </c>
      <c r="F1212" t="s">
        <v>1325</v>
      </c>
      <c r="G1212" t="s">
        <v>2183</v>
      </c>
      <c r="H1212" t="s">
        <v>2485</v>
      </c>
      <c r="I1212">
        <v>106</v>
      </c>
      <c r="J1212" t="s">
        <v>3604</v>
      </c>
      <c r="K1212">
        <v>10034</v>
      </c>
      <c r="L1212" t="s">
        <v>3610</v>
      </c>
      <c r="M1212" t="s">
        <v>3610</v>
      </c>
      <c r="O1212" t="s">
        <v>4217</v>
      </c>
      <c r="P1212" t="s">
        <v>4244</v>
      </c>
      <c r="R1212" t="s">
        <v>4258</v>
      </c>
      <c r="S1212" t="s">
        <v>3611</v>
      </c>
      <c r="U1212" t="s">
        <v>4268</v>
      </c>
      <c r="W1212" t="s">
        <v>437</v>
      </c>
      <c r="X1212">
        <v>1092</v>
      </c>
      <c r="Y1212" t="s">
        <v>4351</v>
      </c>
      <c r="Z1212" t="s">
        <v>4357</v>
      </c>
      <c r="AB1212" t="s">
        <v>5342</v>
      </c>
      <c r="AD1212" t="s">
        <v>6700</v>
      </c>
      <c r="AE1212">
        <v>88</v>
      </c>
      <c r="AF1212" t="s">
        <v>7101</v>
      </c>
      <c r="AG1212" t="s">
        <v>3745</v>
      </c>
      <c r="AH1212">
        <v>9</v>
      </c>
      <c r="AI1212">
        <v>3</v>
      </c>
      <c r="AJ1212">
        <v>0</v>
      </c>
      <c r="AK1212">
        <v>167.47</v>
      </c>
      <c r="AN1212" t="s">
        <v>7138</v>
      </c>
      <c r="AO1212">
        <v>34800</v>
      </c>
      <c r="AU1212">
        <v>10</v>
      </c>
      <c r="AV1212" t="s">
        <v>330</v>
      </c>
      <c r="AW1212" t="s">
        <v>7342</v>
      </c>
      <c r="AX1212" t="s">
        <v>7377</v>
      </c>
    </row>
    <row r="1213" spans="1:50">
      <c r="A1213" s="1">
        <f>HYPERLINK("https://lsnyc.legalserver.org/matter/dynamic-profile/view/1848780","17-1848780")</f>
        <v>0</v>
      </c>
      <c r="B1213" t="s">
        <v>70</v>
      </c>
      <c r="C1213" t="s">
        <v>104</v>
      </c>
      <c r="D1213" t="s">
        <v>114</v>
      </c>
      <c r="E1213" t="s">
        <v>685</v>
      </c>
      <c r="F1213" t="s">
        <v>738</v>
      </c>
      <c r="G1213" t="s">
        <v>1702</v>
      </c>
      <c r="H1213" t="s">
        <v>2591</v>
      </c>
      <c r="I1213" t="s">
        <v>3335</v>
      </c>
      <c r="J1213" t="s">
        <v>3604</v>
      </c>
      <c r="K1213">
        <v>10029</v>
      </c>
      <c r="L1213" t="s">
        <v>3610</v>
      </c>
      <c r="M1213" t="s">
        <v>3609</v>
      </c>
      <c r="N1213" t="s">
        <v>4041</v>
      </c>
      <c r="O1213" t="s">
        <v>4209</v>
      </c>
      <c r="P1213" t="s">
        <v>4241</v>
      </c>
      <c r="Q1213" t="s">
        <v>4253</v>
      </c>
      <c r="R1213" t="s">
        <v>4258</v>
      </c>
      <c r="S1213" t="s">
        <v>3611</v>
      </c>
      <c r="U1213" t="s">
        <v>4268</v>
      </c>
      <c r="V1213" t="s">
        <v>4274</v>
      </c>
      <c r="W1213" t="s">
        <v>114</v>
      </c>
      <c r="X1213">
        <v>2100</v>
      </c>
      <c r="Y1213" t="s">
        <v>4351</v>
      </c>
      <c r="Z1213" t="s">
        <v>4357</v>
      </c>
      <c r="AA1213" t="s">
        <v>4387</v>
      </c>
      <c r="AB1213" t="s">
        <v>4544</v>
      </c>
      <c r="AD1213" t="s">
        <v>5970</v>
      </c>
      <c r="AE1213">
        <v>10</v>
      </c>
      <c r="AF1213" t="s">
        <v>7103</v>
      </c>
      <c r="AG1213" t="s">
        <v>3745</v>
      </c>
      <c r="AH1213">
        <v>12</v>
      </c>
      <c r="AI1213">
        <v>1</v>
      </c>
      <c r="AJ1213">
        <v>0</v>
      </c>
      <c r="AK1213">
        <v>168.06</v>
      </c>
      <c r="AN1213" t="s">
        <v>7138</v>
      </c>
      <c r="AO1213">
        <v>20268</v>
      </c>
      <c r="AQ1213" t="s">
        <v>7203</v>
      </c>
      <c r="AR1213" t="s">
        <v>7225</v>
      </c>
      <c r="AS1213" t="s">
        <v>7231</v>
      </c>
      <c r="AT1213" t="s">
        <v>7269</v>
      </c>
      <c r="AU1213">
        <v>60.35</v>
      </c>
      <c r="AV1213" t="s">
        <v>685</v>
      </c>
      <c r="AW1213" t="s">
        <v>7341</v>
      </c>
    </row>
    <row r="1214" spans="1:50">
      <c r="A1214" s="1">
        <f>HYPERLINK("https://lsnyc.legalserver.org/matter/dynamic-profile/view/1901968","19-1901968")</f>
        <v>0</v>
      </c>
      <c r="B1214" t="s">
        <v>87</v>
      </c>
      <c r="C1214" t="s">
        <v>105</v>
      </c>
      <c r="D1214" t="s">
        <v>122</v>
      </c>
      <c r="F1214" t="s">
        <v>1326</v>
      </c>
      <c r="G1214" t="s">
        <v>1642</v>
      </c>
      <c r="H1214" t="s">
        <v>2860</v>
      </c>
      <c r="I1214" t="s">
        <v>3274</v>
      </c>
      <c r="J1214" t="s">
        <v>3604</v>
      </c>
      <c r="K1214">
        <v>10034</v>
      </c>
      <c r="L1214" t="s">
        <v>3610</v>
      </c>
      <c r="M1214" t="s">
        <v>3609</v>
      </c>
      <c r="O1214" t="s">
        <v>4217</v>
      </c>
      <c r="P1214" t="s">
        <v>4245</v>
      </c>
      <c r="R1214" t="s">
        <v>4258</v>
      </c>
      <c r="S1214" t="s">
        <v>3611</v>
      </c>
      <c r="U1214" t="s">
        <v>4268</v>
      </c>
      <c r="W1214" t="s">
        <v>122</v>
      </c>
      <c r="X1214">
        <v>1194.97</v>
      </c>
      <c r="Y1214" t="s">
        <v>4351</v>
      </c>
      <c r="Z1214" t="s">
        <v>4354</v>
      </c>
      <c r="AB1214" t="s">
        <v>5343</v>
      </c>
      <c r="AD1214" t="s">
        <v>6701</v>
      </c>
      <c r="AE1214">
        <v>48</v>
      </c>
      <c r="AF1214" t="s">
        <v>7101</v>
      </c>
      <c r="AG1214" t="s">
        <v>7118</v>
      </c>
      <c r="AH1214">
        <v>24</v>
      </c>
      <c r="AI1214">
        <v>1</v>
      </c>
      <c r="AJ1214">
        <v>0</v>
      </c>
      <c r="AK1214">
        <v>168.07</v>
      </c>
      <c r="AN1214" t="s">
        <v>7139</v>
      </c>
      <c r="AO1214">
        <v>20991.6</v>
      </c>
      <c r="AU1214">
        <v>2.6</v>
      </c>
      <c r="AV1214" t="s">
        <v>7293</v>
      </c>
      <c r="AW1214" t="s">
        <v>7342</v>
      </c>
      <c r="AX1214" t="s">
        <v>7377</v>
      </c>
    </row>
    <row r="1215" spans="1:50">
      <c r="A1215" s="1">
        <f>HYPERLINK("https://lsnyc.legalserver.org/matter/dynamic-profile/view/1864402","18-1864402")</f>
        <v>0</v>
      </c>
      <c r="B1215" t="s">
        <v>53</v>
      </c>
      <c r="C1215" t="s">
        <v>105</v>
      </c>
      <c r="D1215" t="s">
        <v>162</v>
      </c>
      <c r="F1215" t="s">
        <v>786</v>
      </c>
      <c r="G1215" t="s">
        <v>2184</v>
      </c>
      <c r="H1215" t="s">
        <v>2508</v>
      </c>
      <c r="I1215">
        <v>509</v>
      </c>
      <c r="J1215" t="s">
        <v>3604</v>
      </c>
      <c r="K1215">
        <v>10029</v>
      </c>
      <c r="L1215" t="s">
        <v>3610</v>
      </c>
      <c r="M1215" t="s">
        <v>3610</v>
      </c>
      <c r="N1215" t="s">
        <v>3642</v>
      </c>
      <c r="O1215" t="s">
        <v>4213</v>
      </c>
      <c r="P1215" t="s">
        <v>4241</v>
      </c>
      <c r="R1215" t="s">
        <v>4258</v>
      </c>
      <c r="S1215" t="s">
        <v>3610</v>
      </c>
      <c r="U1215" t="s">
        <v>4268</v>
      </c>
      <c r="V1215" t="s">
        <v>4274</v>
      </c>
      <c r="W1215" t="s">
        <v>162</v>
      </c>
      <c r="X1215">
        <v>0</v>
      </c>
      <c r="Y1215" t="s">
        <v>4351</v>
      </c>
      <c r="Z1215" t="s">
        <v>4352</v>
      </c>
      <c r="AB1215" t="s">
        <v>5344</v>
      </c>
      <c r="AE1215">
        <v>108</v>
      </c>
      <c r="AF1215" t="s">
        <v>7106</v>
      </c>
      <c r="AG1215" t="s">
        <v>7116</v>
      </c>
      <c r="AH1215">
        <v>5</v>
      </c>
      <c r="AI1215">
        <v>1</v>
      </c>
      <c r="AJ1215">
        <v>2</v>
      </c>
      <c r="AK1215">
        <v>168.43</v>
      </c>
      <c r="AN1215" t="s">
        <v>7138</v>
      </c>
      <c r="AO1215">
        <v>35000</v>
      </c>
      <c r="AU1215">
        <v>1.5</v>
      </c>
      <c r="AV1215" t="s">
        <v>216</v>
      </c>
      <c r="AW1215" t="s">
        <v>7341</v>
      </c>
      <c r="AX1215" t="s">
        <v>7377</v>
      </c>
    </row>
    <row r="1216" spans="1:50">
      <c r="A1216" s="1">
        <f>HYPERLINK("https://lsnyc.legalserver.org/matter/dynamic-profile/view/1874688","18-1874688")</f>
        <v>0</v>
      </c>
      <c r="B1216" t="s">
        <v>56</v>
      </c>
      <c r="C1216" t="s">
        <v>104</v>
      </c>
      <c r="D1216" t="s">
        <v>144</v>
      </c>
      <c r="E1216" t="s">
        <v>204</v>
      </c>
      <c r="F1216" t="s">
        <v>1327</v>
      </c>
      <c r="G1216" t="s">
        <v>2185</v>
      </c>
      <c r="H1216" t="s">
        <v>3060</v>
      </c>
      <c r="I1216" t="s">
        <v>3517</v>
      </c>
      <c r="J1216" t="s">
        <v>3604</v>
      </c>
      <c r="K1216">
        <v>10034</v>
      </c>
      <c r="L1216" t="s">
        <v>3610</v>
      </c>
      <c r="M1216" t="s">
        <v>3610</v>
      </c>
      <c r="O1216" t="s">
        <v>4211</v>
      </c>
      <c r="P1216" t="s">
        <v>4242</v>
      </c>
      <c r="Q1216" t="s">
        <v>4250</v>
      </c>
      <c r="R1216" t="s">
        <v>4258</v>
      </c>
      <c r="S1216" t="s">
        <v>3611</v>
      </c>
      <c r="U1216" t="s">
        <v>4268</v>
      </c>
      <c r="W1216" t="s">
        <v>144</v>
      </c>
      <c r="X1216">
        <v>1200</v>
      </c>
      <c r="Y1216" t="s">
        <v>4351</v>
      </c>
      <c r="Z1216" t="s">
        <v>4354</v>
      </c>
      <c r="AA1216" t="s">
        <v>4373</v>
      </c>
      <c r="AB1216" t="s">
        <v>5345</v>
      </c>
      <c r="AD1216" t="s">
        <v>6702</v>
      </c>
      <c r="AE1216">
        <v>0</v>
      </c>
      <c r="AF1216" t="s">
        <v>7101</v>
      </c>
      <c r="AG1216" t="s">
        <v>3745</v>
      </c>
      <c r="AH1216">
        <v>17</v>
      </c>
      <c r="AI1216">
        <v>3</v>
      </c>
      <c r="AJ1216">
        <v>2</v>
      </c>
      <c r="AK1216">
        <v>168.79</v>
      </c>
      <c r="AN1216" t="s">
        <v>7138</v>
      </c>
      <c r="AO1216">
        <v>49657</v>
      </c>
      <c r="AU1216">
        <v>0.5</v>
      </c>
      <c r="AV1216" t="s">
        <v>204</v>
      </c>
      <c r="AW1216" t="s">
        <v>7342</v>
      </c>
    </row>
    <row r="1217" spans="1:50">
      <c r="A1217" s="1">
        <f>HYPERLINK("https://lsnyc.legalserver.org/matter/dynamic-profile/view/1841131","17-1841131")</f>
        <v>0</v>
      </c>
      <c r="B1217" t="s">
        <v>67</v>
      </c>
      <c r="C1217" t="s">
        <v>105</v>
      </c>
      <c r="D1217" t="s">
        <v>120</v>
      </c>
      <c r="F1217" t="s">
        <v>1328</v>
      </c>
      <c r="G1217" t="s">
        <v>2186</v>
      </c>
      <c r="H1217" t="s">
        <v>3061</v>
      </c>
      <c r="I1217" t="s">
        <v>3282</v>
      </c>
      <c r="J1217" t="s">
        <v>3604</v>
      </c>
      <c r="K1217">
        <v>10029</v>
      </c>
      <c r="L1217" t="s">
        <v>3610</v>
      </c>
      <c r="M1217" t="s">
        <v>3610</v>
      </c>
      <c r="N1217" t="s">
        <v>4042</v>
      </c>
      <c r="O1217" t="s">
        <v>4210</v>
      </c>
      <c r="P1217" t="s">
        <v>4241</v>
      </c>
      <c r="R1217" t="s">
        <v>4258</v>
      </c>
      <c r="S1217" t="s">
        <v>3611</v>
      </c>
      <c r="U1217" t="s">
        <v>4268</v>
      </c>
      <c r="W1217" t="s">
        <v>328</v>
      </c>
      <c r="X1217">
        <v>595</v>
      </c>
      <c r="Y1217" t="s">
        <v>4351</v>
      </c>
      <c r="Z1217" t="s">
        <v>4367</v>
      </c>
      <c r="AB1217" t="s">
        <v>5346</v>
      </c>
      <c r="AD1217" t="s">
        <v>6703</v>
      </c>
      <c r="AE1217">
        <v>22</v>
      </c>
      <c r="AF1217" t="s">
        <v>7101</v>
      </c>
      <c r="AG1217" t="s">
        <v>3745</v>
      </c>
      <c r="AH1217">
        <v>20</v>
      </c>
      <c r="AI1217">
        <v>3</v>
      </c>
      <c r="AJ1217">
        <v>1</v>
      </c>
      <c r="AK1217">
        <v>168.83</v>
      </c>
      <c r="AN1217" t="s">
        <v>7138</v>
      </c>
      <c r="AO1217">
        <v>41532</v>
      </c>
      <c r="AU1217">
        <v>133.7</v>
      </c>
      <c r="AV1217" t="s">
        <v>502</v>
      </c>
      <c r="AW1217" t="s">
        <v>7359</v>
      </c>
    </row>
    <row r="1218" spans="1:50">
      <c r="A1218" s="1">
        <f>HYPERLINK("https://lsnyc.legalserver.org/matter/dynamic-profile/view/1857163","18-1857163")</f>
        <v>0</v>
      </c>
      <c r="B1218" t="s">
        <v>51</v>
      </c>
      <c r="C1218" t="s">
        <v>104</v>
      </c>
      <c r="D1218" t="s">
        <v>399</v>
      </c>
      <c r="E1218" t="s">
        <v>385</v>
      </c>
      <c r="F1218" t="s">
        <v>1329</v>
      </c>
      <c r="G1218" t="s">
        <v>2187</v>
      </c>
      <c r="H1218" t="s">
        <v>3062</v>
      </c>
      <c r="I1218" t="s">
        <v>3341</v>
      </c>
      <c r="J1218" t="s">
        <v>3604</v>
      </c>
      <c r="K1218">
        <v>10029</v>
      </c>
      <c r="L1218" t="s">
        <v>3610</v>
      </c>
      <c r="M1218" t="s">
        <v>3609</v>
      </c>
      <c r="O1218" t="s">
        <v>4211</v>
      </c>
      <c r="P1218" t="s">
        <v>4242</v>
      </c>
      <c r="Q1218" t="s">
        <v>4250</v>
      </c>
      <c r="R1218" t="s">
        <v>4258</v>
      </c>
      <c r="S1218" t="s">
        <v>3611</v>
      </c>
      <c r="U1218" t="s">
        <v>4268</v>
      </c>
      <c r="W1218" t="s">
        <v>379</v>
      </c>
      <c r="X1218">
        <v>2200</v>
      </c>
      <c r="Y1218" t="s">
        <v>4351</v>
      </c>
      <c r="Z1218" t="s">
        <v>4228</v>
      </c>
      <c r="AA1218" t="s">
        <v>4373</v>
      </c>
      <c r="AB1218" t="s">
        <v>5347</v>
      </c>
      <c r="AE1218">
        <v>9</v>
      </c>
      <c r="AF1218" t="s">
        <v>7105</v>
      </c>
      <c r="AG1218" t="s">
        <v>3745</v>
      </c>
      <c r="AH1218">
        <v>2</v>
      </c>
      <c r="AI1218">
        <v>2</v>
      </c>
      <c r="AJ1218">
        <v>2</v>
      </c>
      <c r="AK1218">
        <v>169.11</v>
      </c>
      <c r="AN1218" t="s">
        <v>7138</v>
      </c>
      <c r="AO1218">
        <v>41600</v>
      </c>
      <c r="AP1218" t="s">
        <v>7186</v>
      </c>
      <c r="AU1218">
        <v>0.7</v>
      </c>
      <c r="AV1218" t="s">
        <v>399</v>
      </c>
      <c r="AW1218" t="s">
        <v>7361</v>
      </c>
    </row>
    <row r="1219" spans="1:50">
      <c r="A1219" s="1">
        <f>HYPERLINK("https://lsnyc.legalserver.org/matter/dynamic-profile/view/1890363","19-1890363")</f>
        <v>0</v>
      </c>
      <c r="B1219" t="s">
        <v>61</v>
      </c>
      <c r="C1219" t="s">
        <v>105</v>
      </c>
      <c r="D1219" t="s">
        <v>272</v>
      </c>
      <c r="F1219" t="s">
        <v>869</v>
      </c>
      <c r="G1219" t="s">
        <v>1775</v>
      </c>
      <c r="H1219" t="s">
        <v>3063</v>
      </c>
      <c r="I1219" t="s">
        <v>3342</v>
      </c>
      <c r="J1219" t="s">
        <v>3604</v>
      </c>
      <c r="K1219">
        <v>10034</v>
      </c>
      <c r="L1219" t="s">
        <v>3610</v>
      </c>
      <c r="M1219" t="s">
        <v>3610</v>
      </c>
      <c r="N1219" t="s">
        <v>4043</v>
      </c>
      <c r="O1219" t="s">
        <v>4210</v>
      </c>
      <c r="P1219" t="s">
        <v>4241</v>
      </c>
      <c r="R1219" t="s">
        <v>4258</v>
      </c>
      <c r="S1219" t="s">
        <v>3611</v>
      </c>
      <c r="U1219" t="s">
        <v>4268</v>
      </c>
      <c r="V1219" t="s">
        <v>4274</v>
      </c>
      <c r="W1219" t="s">
        <v>272</v>
      </c>
      <c r="X1219">
        <v>1300</v>
      </c>
      <c r="Y1219" t="s">
        <v>4351</v>
      </c>
      <c r="Z1219" t="s">
        <v>4353</v>
      </c>
      <c r="AB1219" t="s">
        <v>5348</v>
      </c>
      <c r="AD1219" t="s">
        <v>6704</v>
      </c>
      <c r="AE1219">
        <v>259</v>
      </c>
      <c r="AF1219" t="s">
        <v>7101</v>
      </c>
      <c r="AG1219" t="s">
        <v>3745</v>
      </c>
      <c r="AH1219">
        <v>18</v>
      </c>
      <c r="AI1219">
        <v>2</v>
      </c>
      <c r="AJ1219">
        <v>0</v>
      </c>
      <c r="AK1219">
        <v>169.13</v>
      </c>
      <c r="AN1219" t="s">
        <v>7139</v>
      </c>
      <c r="AO1219">
        <v>28600</v>
      </c>
      <c r="AU1219">
        <v>16.4</v>
      </c>
      <c r="AV1219" t="s">
        <v>396</v>
      </c>
      <c r="AW1219" t="s">
        <v>7341</v>
      </c>
      <c r="AX1219" t="s">
        <v>7377</v>
      </c>
    </row>
    <row r="1220" spans="1:50">
      <c r="A1220" s="1">
        <f>HYPERLINK("https://lsnyc.legalserver.org/matter/dynamic-profile/view/1870969","18-1870969")</f>
        <v>0</v>
      </c>
      <c r="B1220" t="s">
        <v>52</v>
      </c>
      <c r="C1220" t="s">
        <v>105</v>
      </c>
      <c r="D1220" t="s">
        <v>247</v>
      </c>
      <c r="F1220" t="s">
        <v>1330</v>
      </c>
      <c r="G1220" t="s">
        <v>2188</v>
      </c>
      <c r="H1220" t="s">
        <v>3064</v>
      </c>
      <c r="I1220">
        <v>46</v>
      </c>
      <c r="J1220" t="s">
        <v>3604</v>
      </c>
      <c r="K1220">
        <v>10034</v>
      </c>
      <c r="L1220" t="s">
        <v>3610</v>
      </c>
      <c r="M1220" t="s">
        <v>3609</v>
      </c>
      <c r="N1220" t="s">
        <v>4044</v>
      </c>
      <c r="O1220" t="s">
        <v>4210</v>
      </c>
      <c r="P1220" t="s">
        <v>4241</v>
      </c>
      <c r="R1220" t="s">
        <v>4258</v>
      </c>
      <c r="S1220" t="s">
        <v>3611</v>
      </c>
      <c r="U1220" t="s">
        <v>4268</v>
      </c>
      <c r="W1220" t="s">
        <v>247</v>
      </c>
      <c r="X1220">
        <v>846.78</v>
      </c>
      <c r="Y1220" t="s">
        <v>4351</v>
      </c>
      <c r="Z1220" t="s">
        <v>4357</v>
      </c>
      <c r="AB1220" t="s">
        <v>5349</v>
      </c>
      <c r="AD1220" t="s">
        <v>6705</v>
      </c>
      <c r="AE1220">
        <v>28</v>
      </c>
      <c r="AF1220" t="s">
        <v>7101</v>
      </c>
      <c r="AG1220" t="s">
        <v>3745</v>
      </c>
      <c r="AH1220">
        <v>23</v>
      </c>
      <c r="AI1220">
        <v>3</v>
      </c>
      <c r="AJ1220">
        <v>0</v>
      </c>
      <c r="AK1220">
        <v>169.18</v>
      </c>
      <c r="AN1220" t="s">
        <v>7139</v>
      </c>
      <c r="AO1220">
        <v>35156</v>
      </c>
      <c r="AU1220">
        <v>125.83</v>
      </c>
      <c r="AV1220" t="s">
        <v>7293</v>
      </c>
      <c r="AW1220" t="s">
        <v>73</v>
      </c>
    </row>
    <row r="1221" spans="1:50">
      <c r="A1221" s="1">
        <f>HYPERLINK("https://lsnyc.legalserver.org/matter/dynamic-profile/view/0809926","16-0809926")</f>
        <v>0</v>
      </c>
      <c r="B1221" t="s">
        <v>61</v>
      </c>
      <c r="C1221" t="s">
        <v>104</v>
      </c>
      <c r="D1221" t="s">
        <v>587</v>
      </c>
      <c r="E1221" t="s">
        <v>662</v>
      </c>
      <c r="F1221" t="s">
        <v>869</v>
      </c>
      <c r="G1221" t="s">
        <v>1775</v>
      </c>
      <c r="H1221" t="s">
        <v>3063</v>
      </c>
      <c r="I1221" t="s">
        <v>3342</v>
      </c>
      <c r="J1221" t="s">
        <v>3604</v>
      </c>
      <c r="K1221">
        <v>10034</v>
      </c>
      <c r="L1221" t="s">
        <v>3610</v>
      </c>
      <c r="M1221" t="s">
        <v>3609</v>
      </c>
      <c r="N1221" t="s">
        <v>4045</v>
      </c>
      <c r="O1221" t="s">
        <v>4210</v>
      </c>
      <c r="P1221" t="s">
        <v>4241</v>
      </c>
      <c r="Q1221" t="s">
        <v>4255</v>
      </c>
      <c r="R1221" t="s">
        <v>4258</v>
      </c>
      <c r="S1221" t="s">
        <v>3611</v>
      </c>
      <c r="U1221" t="s">
        <v>4268</v>
      </c>
      <c r="W1221" t="s">
        <v>4337</v>
      </c>
      <c r="X1221">
        <v>1151</v>
      </c>
      <c r="Y1221" t="s">
        <v>4351</v>
      </c>
      <c r="Z1221" t="s">
        <v>4354</v>
      </c>
      <c r="AA1221" t="s">
        <v>4374</v>
      </c>
      <c r="AB1221" t="s">
        <v>5348</v>
      </c>
      <c r="AD1221" t="s">
        <v>6704</v>
      </c>
      <c r="AE1221">
        <v>25</v>
      </c>
      <c r="AF1221" t="s">
        <v>7101</v>
      </c>
      <c r="AG1221" t="s">
        <v>3745</v>
      </c>
      <c r="AH1221">
        <v>17</v>
      </c>
      <c r="AI1221">
        <v>4</v>
      </c>
      <c r="AJ1221">
        <v>0</v>
      </c>
      <c r="AK1221">
        <v>169.55</v>
      </c>
      <c r="AN1221" t="s">
        <v>7139</v>
      </c>
      <c r="AO1221">
        <v>41200</v>
      </c>
      <c r="AU1221">
        <v>94.55</v>
      </c>
      <c r="AV1221" t="s">
        <v>471</v>
      </c>
      <c r="AW1221" t="s">
        <v>7353</v>
      </c>
    </row>
    <row r="1222" spans="1:50">
      <c r="A1222" s="1">
        <f>HYPERLINK("https://lsnyc.legalserver.org/matter/dynamic-profile/view/1856189","18-1856189")</f>
        <v>0</v>
      </c>
      <c r="B1222" t="s">
        <v>56</v>
      </c>
      <c r="C1222" t="s">
        <v>104</v>
      </c>
      <c r="D1222" t="s">
        <v>368</v>
      </c>
      <c r="E1222" t="s">
        <v>320</v>
      </c>
      <c r="F1222" t="s">
        <v>1273</v>
      </c>
      <c r="G1222" t="s">
        <v>2143</v>
      </c>
      <c r="H1222" t="s">
        <v>3056</v>
      </c>
      <c r="I1222" t="s">
        <v>3324</v>
      </c>
      <c r="J1222" t="s">
        <v>3604</v>
      </c>
      <c r="K1222">
        <v>10034</v>
      </c>
      <c r="L1222" t="s">
        <v>3610</v>
      </c>
      <c r="M1222" t="s">
        <v>3609</v>
      </c>
      <c r="N1222" t="s">
        <v>4046</v>
      </c>
      <c r="O1222" t="s">
        <v>4210</v>
      </c>
      <c r="P1222" t="s">
        <v>4241</v>
      </c>
      <c r="Q1222" t="s">
        <v>4248</v>
      </c>
      <c r="R1222" t="s">
        <v>4258</v>
      </c>
      <c r="S1222" t="s">
        <v>3611</v>
      </c>
      <c r="U1222" t="s">
        <v>4268</v>
      </c>
      <c r="W1222" t="s">
        <v>368</v>
      </c>
      <c r="X1222">
        <v>973.84</v>
      </c>
      <c r="Y1222" t="s">
        <v>4351</v>
      </c>
      <c r="Z1222" t="s">
        <v>4354</v>
      </c>
      <c r="AA1222" t="s">
        <v>4374</v>
      </c>
      <c r="AB1222" t="s">
        <v>5350</v>
      </c>
      <c r="AD1222" t="s">
        <v>6706</v>
      </c>
      <c r="AE1222">
        <v>59</v>
      </c>
      <c r="AF1222" t="s">
        <v>7101</v>
      </c>
      <c r="AG1222" t="s">
        <v>3745</v>
      </c>
      <c r="AH1222">
        <v>15</v>
      </c>
      <c r="AI1222">
        <v>2</v>
      </c>
      <c r="AJ1222">
        <v>0</v>
      </c>
      <c r="AK1222">
        <v>169.67</v>
      </c>
      <c r="AN1222" t="s">
        <v>7139</v>
      </c>
      <c r="AO1222">
        <v>27554</v>
      </c>
      <c r="AU1222">
        <v>70.84999999999999</v>
      </c>
      <c r="AV1222" t="s">
        <v>7298</v>
      </c>
      <c r="AW1222" t="s">
        <v>7342</v>
      </c>
    </row>
    <row r="1223" spans="1:50">
      <c r="A1223" s="1">
        <f>HYPERLINK("https://lsnyc.legalserver.org/matter/dynamic-profile/view/1869794","18-1869794")</f>
        <v>0</v>
      </c>
      <c r="B1223" t="s">
        <v>97</v>
      </c>
      <c r="C1223" t="s">
        <v>104</v>
      </c>
      <c r="D1223" t="s">
        <v>588</v>
      </c>
      <c r="E1223" t="s">
        <v>662</v>
      </c>
      <c r="F1223" t="s">
        <v>1331</v>
      </c>
      <c r="G1223" t="s">
        <v>2189</v>
      </c>
      <c r="H1223" t="s">
        <v>3065</v>
      </c>
      <c r="I1223">
        <v>10</v>
      </c>
      <c r="J1223" t="s">
        <v>3604</v>
      </c>
      <c r="K1223">
        <v>10009</v>
      </c>
      <c r="L1223" t="s">
        <v>3610</v>
      </c>
      <c r="M1223" t="s">
        <v>3609</v>
      </c>
      <c r="O1223" t="s">
        <v>4211</v>
      </c>
      <c r="P1223" t="s">
        <v>4242</v>
      </c>
      <c r="Q1223" t="s">
        <v>4250</v>
      </c>
      <c r="R1223" t="s">
        <v>4258</v>
      </c>
      <c r="S1223" t="s">
        <v>3611</v>
      </c>
      <c r="U1223" t="s">
        <v>4268</v>
      </c>
      <c r="W1223" t="s">
        <v>4297</v>
      </c>
      <c r="X1223">
        <v>549.4</v>
      </c>
      <c r="Y1223" t="s">
        <v>4351</v>
      </c>
      <c r="Z1223" t="s">
        <v>4357</v>
      </c>
      <c r="AA1223" t="s">
        <v>4373</v>
      </c>
      <c r="AB1223" t="s">
        <v>5351</v>
      </c>
      <c r="AD1223" t="s">
        <v>6707</v>
      </c>
      <c r="AE1223">
        <v>0</v>
      </c>
      <c r="AF1223" t="s">
        <v>7101</v>
      </c>
      <c r="AG1223" t="s">
        <v>3745</v>
      </c>
      <c r="AH1223">
        <v>20</v>
      </c>
      <c r="AI1223">
        <v>1</v>
      </c>
      <c r="AJ1223">
        <v>0</v>
      </c>
      <c r="AK1223">
        <v>169.72</v>
      </c>
      <c r="AN1223" t="s">
        <v>7138</v>
      </c>
      <c r="AO1223">
        <v>20604</v>
      </c>
      <c r="AU1223">
        <v>3.25</v>
      </c>
      <c r="AV1223" t="s">
        <v>283</v>
      </c>
      <c r="AW1223" t="s">
        <v>7344</v>
      </c>
    </row>
    <row r="1224" spans="1:50">
      <c r="A1224" s="1">
        <f>HYPERLINK("https://lsnyc.legalserver.org/matter/dynamic-profile/view/1901186","19-1901186")</f>
        <v>0</v>
      </c>
      <c r="B1224" t="s">
        <v>66</v>
      </c>
      <c r="C1224" t="s">
        <v>105</v>
      </c>
      <c r="D1224" t="s">
        <v>426</v>
      </c>
      <c r="F1224" t="s">
        <v>1107</v>
      </c>
      <c r="G1224" t="s">
        <v>1748</v>
      </c>
      <c r="H1224" t="s">
        <v>3066</v>
      </c>
      <c r="I1224" t="s">
        <v>3314</v>
      </c>
      <c r="J1224" t="s">
        <v>3604</v>
      </c>
      <c r="K1224">
        <v>10036</v>
      </c>
      <c r="L1224" t="s">
        <v>3610</v>
      </c>
      <c r="M1224" t="s">
        <v>3609</v>
      </c>
      <c r="N1224" t="s">
        <v>4047</v>
      </c>
      <c r="O1224" t="s">
        <v>4209</v>
      </c>
      <c r="P1224" t="s">
        <v>4246</v>
      </c>
      <c r="R1224" t="s">
        <v>4258</v>
      </c>
      <c r="S1224" t="s">
        <v>3611</v>
      </c>
      <c r="U1224" t="s">
        <v>4268</v>
      </c>
      <c r="W1224" t="s">
        <v>426</v>
      </c>
      <c r="X1224">
        <v>898</v>
      </c>
      <c r="Y1224" t="s">
        <v>4351</v>
      </c>
      <c r="Z1224" t="s">
        <v>4353</v>
      </c>
      <c r="AB1224" t="s">
        <v>5352</v>
      </c>
      <c r="AD1224" t="s">
        <v>6708</v>
      </c>
      <c r="AE1224">
        <v>0</v>
      </c>
      <c r="AF1224" t="s">
        <v>7110</v>
      </c>
      <c r="AG1224" t="s">
        <v>7116</v>
      </c>
      <c r="AH1224">
        <v>39</v>
      </c>
      <c r="AI1224">
        <v>3</v>
      </c>
      <c r="AJ1224">
        <v>1</v>
      </c>
      <c r="AK1224">
        <v>169.92</v>
      </c>
      <c r="AN1224" t="s">
        <v>7138</v>
      </c>
      <c r="AO1224">
        <v>43754</v>
      </c>
      <c r="AU1224">
        <v>1</v>
      </c>
      <c r="AV1224" t="s">
        <v>426</v>
      </c>
      <c r="AW1224" t="s">
        <v>7347</v>
      </c>
      <c r="AX1224" t="s">
        <v>7377</v>
      </c>
    </row>
    <row r="1225" spans="1:50">
      <c r="A1225" s="1">
        <f>HYPERLINK("https://lsnyc.legalserver.org/matter/dynamic-profile/view/0792987","15-0792987")</f>
        <v>0</v>
      </c>
      <c r="B1225" t="s">
        <v>55</v>
      </c>
      <c r="C1225" t="s">
        <v>104</v>
      </c>
      <c r="D1225" t="s">
        <v>589</v>
      </c>
      <c r="E1225" t="s">
        <v>441</v>
      </c>
      <c r="F1225" t="s">
        <v>1332</v>
      </c>
      <c r="G1225" t="s">
        <v>1911</v>
      </c>
      <c r="H1225" t="s">
        <v>3067</v>
      </c>
      <c r="I1225">
        <v>2</v>
      </c>
      <c r="J1225" t="s">
        <v>3604</v>
      </c>
      <c r="K1225">
        <v>10034</v>
      </c>
      <c r="L1225" t="s">
        <v>3611</v>
      </c>
      <c r="M1225" t="s">
        <v>3609</v>
      </c>
      <c r="N1225" t="s">
        <v>4048</v>
      </c>
      <c r="O1225" t="s">
        <v>4209</v>
      </c>
      <c r="P1225" t="s">
        <v>4245</v>
      </c>
      <c r="Q1225" t="s">
        <v>4249</v>
      </c>
      <c r="R1225" t="s">
        <v>4258</v>
      </c>
      <c r="S1225" t="s">
        <v>3611</v>
      </c>
      <c r="U1225" t="s">
        <v>4268</v>
      </c>
      <c r="W1225" t="s">
        <v>589</v>
      </c>
      <c r="X1225">
        <v>1201</v>
      </c>
      <c r="Y1225" t="s">
        <v>4351</v>
      </c>
      <c r="Z1225" t="s">
        <v>4361</v>
      </c>
      <c r="AA1225" t="s">
        <v>4377</v>
      </c>
      <c r="AB1225" t="s">
        <v>5353</v>
      </c>
      <c r="AD1225" t="s">
        <v>6709</v>
      </c>
      <c r="AE1225">
        <v>0</v>
      </c>
      <c r="AF1225" t="s">
        <v>7101</v>
      </c>
      <c r="AG1225" t="s">
        <v>3745</v>
      </c>
      <c r="AH1225">
        <v>30</v>
      </c>
      <c r="AI1225">
        <v>1</v>
      </c>
      <c r="AJ1225">
        <v>0</v>
      </c>
      <c r="AK1225">
        <v>169.92</v>
      </c>
      <c r="AN1225" t="s">
        <v>7139</v>
      </c>
      <c r="AO1225">
        <v>20000</v>
      </c>
      <c r="AP1225" t="s">
        <v>7187</v>
      </c>
      <c r="AU1225">
        <v>181.05</v>
      </c>
      <c r="AV1225" t="s">
        <v>450</v>
      </c>
      <c r="AW1225" t="s">
        <v>7356</v>
      </c>
    </row>
    <row r="1226" spans="1:50">
      <c r="A1226" s="1">
        <f>HYPERLINK("https://lsnyc.legalserver.org/matter/dynamic-profile/view/0795319","16-0795319")</f>
        <v>0</v>
      </c>
      <c r="B1226" t="s">
        <v>58</v>
      </c>
      <c r="C1226" t="s">
        <v>105</v>
      </c>
      <c r="D1226" t="s">
        <v>590</v>
      </c>
      <c r="F1226" t="s">
        <v>1333</v>
      </c>
      <c r="G1226" t="s">
        <v>2190</v>
      </c>
      <c r="H1226" t="s">
        <v>3068</v>
      </c>
      <c r="I1226" t="s">
        <v>3334</v>
      </c>
      <c r="J1226" t="s">
        <v>3604</v>
      </c>
      <c r="K1226">
        <v>10025</v>
      </c>
      <c r="L1226" t="s">
        <v>3610</v>
      </c>
      <c r="M1226" t="s">
        <v>3609</v>
      </c>
      <c r="P1226" t="s">
        <v>4241</v>
      </c>
      <c r="R1226" t="s">
        <v>4258</v>
      </c>
      <c r="T1226" t="s">
        <v>4259</v>
      </c>
      <c r="U1226" t="s">
        <v>4268</v>
      </c>
      <c r="W1226" t="s">
        <v>234</v>
      </c>
      <c r="X1226">
        <v>0</v>
      </c>
      <c r="Y1226" t="s">
        <v>4351</v>
      </c>
      <c r="AB1226" t="s">
        <v>5354</v>
      </c>
      <c r="AE1226">
        <v>0</v>
      </c>
      <c r="AH1226">
        <v>0</v>
      </c>
      <c r="AI1226">
        <v>1</v>
      </c>
      <c r="AJ1226">
        <v>0</v>
      </c>
      <c r="AK1226">
        <v>169.92</v>
      </c>
      <c r="AN1226" t="s">
        <v>7138</v>
      </c>
      <c r="AO1226">
        <v>20000</v>
      </c>
      <c r="AU1226">
        <v>109.55</v>
      </c>
      <c r="AV1226" t="s">
        <v>371</v>
      </c>
      <c r="AW1226" t="s">
        <v>58</v>
      </c>
    </row>
    <row r="1227" spans="1:50">
      <c r="A1227" s="1">
        <f>HYPERLINK("https://lsnyc.legalserver.org/matter/dynamic-profile/view/1864141","18-1864141")</f>
        <v>0</v>
      </c>
      <c r="B1227" t="s">
        <v>53</v>
      </c>
      <c r="C1227" t="s">
        <v>105</v>
      </c>
      <c r="D1227" t="s">
        <v>161</v>
      </c>
      <c r="F1227" t="s">
        <v>1334</v>
      </c>
      <c r="G1227" t="s">
        <v>2191</v>
      </c>
      <c r="H1227" t="s">
        <v>2508</v>
      </c>
      <c r="I1227">
        <v>506</v>
      </c>
      <c r="J1227" t="s">
        <v>3604</v>
      </c>
      <c r="K1227">
        <v>10029</v>
      </c>
      <c r="L1227" t="s">
        <v>3610</v>
      </c>
      <c r="M1227" t="s">
        <v>3610</v>
      </c>
      <c r="O1227" t="s">
        <v>4213</v>
      </c>
      <c r="P1227" t="s">
        <v>4245</v>
      </c>
      <c r="R1227" t="s">
        <v>4258</v>
      </c>
      <c r="S1227" t="s">
        <v>3610</v>
      </c>
      <c r="U1227" t="s">
        <v>4268</v>
      </c>
      <c r="V1227" t="s">
        <v>4274</v>
      </c>
      <c r="W1227" t="s">
        <v>161</v>
      </c>
      <c r="X1227">
        <v>0</v>
      </c>
      <c r="Y1227" t="s">
        <v>4351</v>
      </c>
      <c r="Z1227" t="s">
        <v>4352</v>
      </c>
      <c r="AB1227" t="s">
        <v>5355</v>
      </c>
      <c r="AD1227" t="s">
        <v>6710</v>
      </c>
      <c r="AE1227">
        <v>108</v>
      </c>
      <c r="AF1227" t="s">
        <v>7106</v>
      </c>
      <c r="AG1227" t="s">
        <v>7116</v>
      </c>
      <c r="AH1227">
        <v>-1</v>
      </c>
      <c r="AI1227">
        <v>1</v>
      </c>
      <c r="AJ1227">
        <v>1</v>
      </c>
      <c r="AK1227">
        <v>170.11</v>
      </c>
      <c r="AN1227" t="s">
        <v>7138</v>
      </c>
      <c r="AO1227">
        <v>28000</v>
      </c>
      <c r="AU1227">
        <v>0</v>
      </c>
      <c r="AW1227" t="s">
        <v>7341</v>
      </c>
    </row>
    <row r="1228" spans="1:50">
      <c r="A1228" s="1">
        <f>HYPERLINK("https://lsnyc.legalserver.org/matter/dynamic-profile/view/1857270","18-1857270")</f>
        <v>0</v>
      </c>
      <c r="B1228" t="s">
        <v>61</v>
      </c>
      <c r="C1228" t="s">
        <v>105</v>
      </c>
      <c r="D1228" t="s">
        <v>399</v>
      </c>
      <c r="F1228" t="s">
        <v>1325</v>
      </c>
      <c r="G1228" t="s">
        <v>2183</v>
      </c>
      <c r="H1228" t="s">
        <v>2485</v>
      </c>
      <c r="I1228">
        <v>106</v>
      </c>
      <c r="J1228" t="s">
        <v>3604</v>
      </c>
      <c r="K1228">
        <v>10034</v>
      </c>
      <c r="L1228" t="s">
        <v>3610</v>
      </c>
      <c r="M1228" t="s">
        <v>3609</v>
      </c>
      <c r="N1228" t="s">
        <v>4049</v>
      </c>
      <c r="O1228" t="s">
        <v>4209</v>
      </c>
      <c r="P1228" t="s">
        <v>4241</v>
      </c>
      <c r="R1228" t="s">
        <v>4258</v>
      </c>
      <c r="S1228" t="s">
        <v>3611</v>
      </c>
      <c r="U1228" t="s">
        <v>4268</v>
      </c>
      <c r="W1228" t="s">
        <v>399</v>
      </c>
      <c r="X1228">
        <v>1092</v>
      </c>
      <c r="Y1228" t="s">
        <v>4351</v>
      </c>
      <c r="Z1228" t="s">
        <v>4354</v>
      </c>
      <c r="AB1228" t="s">
        <v>5342</v>
      </c>
      <c r="AC1228" t="s">
        <v>5840</v>
      </c>
      <c r="AD1228" t="s">
        <v>6700</v>
      </c>
      <c r="AE1228">
        <v>47</v>
      </c>
      <c r="AF1228" t="s">
        <v>7101</v>
      </c>
      <c r="AG1228" t="s">
        <v>3745</v>
      </c>
      <c r="AH1228">
        <v>11</v>
      </c>
      <c r="AI1228">
        <v>3</v>
      </c>
      <c r="AJ1228">
        <v>0</v>
      </c>
      <c r="AK1228">
        <v>170.42</v>
      </c>
      <c r="AN1228" t="s">
        <v>7138</v>
      </c>
      <c r="AO1228">
        <v>34800</v>
      </c>
      <c r="AU1228">
        <v>84.5</v>
      </c>
      <c r="AV1228" t="s">
        <v>159</v>
      </c>
      <c r="AW1228" t="s">
        <v>7342</v>
      </c>
    </row>
    <row r="1229" spans="1:50">
      <c r="A1229" s="1">
        <f>HYPERLINK("https://lsnyc.legalserver.org/matter/dynamic-profile/view/1836768","17-1836768")</f>
        <v>0</v>
      </c>
      <c r="B1229" t="s">
        <v>64</v>
      </c>
      <c r="C1229" t="s">
        <v>105</v>
      </c>
      <c r="D1229" t="s">
        <v>524</v>
      </c>
      <c r="F1229" t="s">
        <v>988</v>
      </c>
      <c r="G1229" t="s">
        <v>2192</v>
      </c>
      <c r="H1229" t="s">
        <v>2576</v>
      </c>
      <c r="I1229" t="s">
        <v>3328</v>
      </c>
      <c r="J1229" t="s">
        <v>3604</v>
      </c>
      <c r="K1229">
        <v>10040</v>
      </c>
      <c r="L1229" t="s">
        <v>3610</v>
      </c>
      <c r="M1229" t="s">
        <v>3609</v>
      </c>
      <c r="N1229" t="s">
        <v>3988</v>
      </c>
      <c r="O1229" t="s">
        <v>4213</v>
      </c>
      <c r="P1229" t="s">
        <v>4241</v>
      </c>
      <c r="R1229" t="s">
        <v>4258</v>
      </c>
      <c r="S1229" t="s">
        <v>3610</v>
      </c>
      <c r="U1229" t="s">
        <v>4268</v>
      </c>
      <c r="W1229" t="s">
        <v>133</v>
      </c>
      <c r="X1229">
        <v>2180</v>
      </c>
      <c r="Y1229" t="s">
        <v>4351</v>
      </c>
      <c r="Z1229" t="s">
        <v>4352</v>
      </c>
      <c r="AB1229" t="s">
        <v>5356</v>
      </c>
      <c r="AD1229" t="s">
        <v>6711</v>
      </c>
      <c r="AE1229">
        <v>50</v>
      </c>
      <c r="AF1229" t="s">
        <v>7101</v>
      </c>
      <c r="AG1229" t="s">
        <v>3745</v>
      </c>
      <c r="AH1229">
        <v>23</v>
      </c>
      <c r="AI1229">
        <v>2</v>
      </c>
      <c r="AJ1229">
        <v>4</v>
      </c>
      <c r="AK1229">
        <v>170.48</v>
      </c>
      <c r="AL1229" t="s">
        <v>518</v>
      </c>
      <c r="AN1229" t="s">
        <v>7138</v>
      </c>
      <c r="AO1229">
        <v>87190</v>
      </c>
      <c r="AU1229">
        <v>0</v>
      </c>
      <c r="AW1229" t="s">
        <v>7341</v>
      </c>
    </row>
    <row r="1230" spans="1:50">
      <c r="A1230" s="1">
        <f>HYPERLINK("https://lsnyc.legalserver.org/matter/dynamic-profile/view/1873258","18-1873258")</f>
        <v>0</v>
      </c>
      <c r="B1230" t="s">
        <v>62</v>
      </c>
      <c r="C1230" t="s">
        <v>104</v>
      </c>
      <c r="D1230" t="s">
        <v>260</v>
      </c>
      <c r="E1230" t="s">
        <v>145</v>
      </c>
      <c r="F1230" t="s">
        <v>1052</v>
      </c>
      <c r="G1230" t="s">
        <v>2193</v>
      </c>
      <c r="H1230" t="s">
        <v>3069</v>
      </c>
      <c r="I1230" t="s">
        <v>3384</v>
      </c>
      <c r="J1230" t="s">
        <v>3604</v>
      </c>
      <c r="K1230">
        <v>10029</v>
      </c>
      <c r="L1230" t="s">
        <v>3610</v>
      </c>
      <c r="M1230" t="s">
        <v>3610</v>
      </c>
      <c r="O1230" t="s">
        <v>4211</v>
      </c>
      <c r="P1230" t="s">
        <v>4242</v>
      </c>
      <c r="Q1230" t="s">
        <v>4250</v>
      </c>
      <c r="R1230" t="s">
        <v>4258</v>
      </c>
      <c r="S1230" t="s">
        <v>3611</v>
      </c>
      <c r="U1230" t="s">
        <v>4268</v>
      </c>
      <c r="W1230" t="s">
        <v>573</v>
      </c>
      <c r="X1230">
        <v>2913</v>
      </c>
      <c r="Y1230" t="s">
        <v>4351</v>
      </c>
      <c r="Z1230" t="s">
        <v>4365</v>
      </c>
      <c r="AA1230" t="s">
        <v>4373</v>
      </c>
      <c r="AB1230" t="s">
        <v>5357</v>
      </c>
      <c r="AD1230" t="s">
        <v>6712</v>
      </c>
      <c r="AE1230">
        <v>600</v>
      </c>
      <c r="AF1230" t="s">
        <v>7105</v>
      </c>
      <c r="AG1230" t="s">
        <v>7116</v>
      </c>
      <c r="AH1230">
        <v>43</v>
      </c>
      <c r="AI1230">
        <v>2</v>
      </c>
      <c r="AJ1230">
        <v>0</v>
      </c>
      <c r="AK1230">
        <v>170.52</v>
      </c>
      <c r="AN1230" t="s">
        <v>7138</v>
      </c>
      <c r="AO1230">
        <v>28068</v>
      </c>
      <c r="AU1230">
        <v>5</v>
      </c>
      <c r="AV1230" t="s">
        <v>145</v>
      </c>
      <c r="AW1230" t="s">
        <v>7360</v>
      </c>
    </row>
    <row r="1231" spans="1:50">
      <c r="A1231" s="1">
        <f>HYPERLINK("https://lsnyc.legalserver.org/matter/dynamic-profile/view/1898568","19-1898568")</f>
        <v>0</v>
      </c>
      <c r="B1231" t="s">
        <v>53</v>
      </c>
      <c r="C1231" t="s">
        <v>105</v>
      </c>
      <c r="D1231" t="s">
        <v>591</v>
      </c>
      <c r="F1231" t="s">
        <v>1274</v>
      </c>
      <c r="G1231" t="s">
        <v>2129</v>
      </c>
      <c r="H1231" t="s">
        <v>2797</v>
      </c>
      <c r="I1231" t="s">
        <v>3341</v>
      </c>
      <c r="J1231" t="s">
        <v>3604</v>
      </c>
      <c r="K1231">
        <v>10035</v>
      </c>
      <c r="L1231" t="s">
        <v>3610</v>
      </c>
      <c r="M1231" t="s">
        <v>3610</v>
      </c>
      <c r="O1231" t="s">
        <v>4211</v>
      </c>
      <c r="P1231" t="s">
        <v>4245</v>
      </c>
      <c r="R1231" t="s">
        <v>4258</v>
      </c>
      <c r="S1231" t="s">
        <v>3610</v>
      </c>
      <c r="U1231" t="s">
        <v>4268</v>
      </c>
      <c r="V1231" t="s">
        <v>4274</v>
      </c>
      <c r="W1231" t="s">
        <v>679</v>
      </c>
      <c r="X1231">
        <v>847</v>
      </c>
      <c r="Y1231" t="s">
        <v>4351</v>
      </c>
      <c r="Z1231" t="s">
        <v>4361</v>
      </c>
      <c r="AB1231" t="s">
        <v>5238</v>
      </c>
      <c r="AD1231" t="s">
        <v>6598</v>
      </c>
      <c r="AE1231">
        <v>60</v>
      </c>
      <c r="AF1231" t="s">
        <v>7101</v>
      </c>
      <c r="AG1231" t="s">
        <v>7116</v>
      </c>
      <c r="AH1231">
        <v>14</v>
      </c>
      <c r="AI1231">
        <v>1</v>
      </c>
      <c r="AJ1231">
        <v>2</v>
      </c>
      <c r="AK1231">
        <v>170.65</v>
      </c>
      <c r="AN1231" t="s">
        <v>7138</v>
      </c>
      <c r="AO1231">
        <v>36400</v>
      </c>
      <c r="AU1231">
        <v>17.8</v>
      </c>
      <c r="AV1231" t="s">
        <v>7293</v>
      </c>
      <c r="AW1231" t="s">
        <v>7341</v>
      </c>
      <c r="AX1231" t="s">
        <v>7377</v>
      </c>
    </row>
    <row r="1232" spans="1:50">
      <c r="A1232" s="1">
        <f>HYPERLINK("https://lsnyc.legalserver.org/matter/dynamic-profile/view/1836131","17-1836131")</f>
        <v>0</v>
      </c>
      <c r="B1232" t="s">
        <v>56</v>
      </c>
      <c r="C1232" t="s">
        <v>105</v>
      </c>
      <c r="D1232" t="s">
        <v>496</v>
      </c>
      <c r="F1232" t="s">
        <v>1146</v>
      </c>
      <c r="G1232" t="s">
        <v>1649</v>
      </c>
      <c r="H1232" t="s">
        <v>2534</v>
      </c>
      <c r="I1232" t="s">
        <v>3324</v>
      </c>
      <c r="J1232" t="s">
        <v>3604</v>
      </c>
      <c r="K1232">
        <v>10040</v>
      </c>
      <c r="L1232" t="s">
        <v>3609</v>
      </c>
      <c r="M1232" t="s">
        <v>3609</v>
      </c>
      <c r="O1232" t="s">
        <v>4213</v>
      </c>
      <c r="P1232" t="s">
        <v>4243</v>
      </c>
      <c r="R1232" t="s">
        <v>4258</v>
      </c>
      <c r="S1232" t="s">
        <v>3610</v>
      </c>
      <c r="U1232" t="s">
        <v>4268</v>
      </c>
      <c r="W1232" t="s">
        <v>355</v>
      </c>
      <c r="X1232">
        <v>1444.48</v>
      </c>
      <c r="Y1232" t="s">
        <v>4351</v>
      </c>
      <c r="Z1232" t="s">
        <v>4352</v>
      </c>
      <c r="AB1232" t="s">
        <v>5358</v>
      </c>
      <c r="AD1232" t="s">
        <v>6713</v>
      </c>
      <c r="AE1232">
        <v>45</v>
      </c>
      <c r="AF1232" t="s">
        <v>7101</v>
      </c>
      <c r="AG1232" t="s">
        <v>3745</v>
      </c>
      <c r="AH1232">
        <v>25</v>
      </c>
      <c r="AI1232">
        <v>2</v>
      </c>
      <c r="AJ1232">
        <v>2</v>
      </c>
      <c r="AK1232">
        <v>170.73</v>
      </c>
      <c r="AN1232" t="s">
        <v>7138</v>
      </c>
      <c r="AO1232">
        <v>57000</v>
      </c>
      <c r="AU1232">
        <v>0.51</v>
      </c>
      <c r="AV1232" t="s">
        <v>612</v>
      </c>
      <c r="AW1232" t="s">
        <v>7341</v>
      </c>
    </row>
    <row r="1233" spans="1:50">
      <c r="A1233" s="1">
        <f>HYPERLINK("https://lsnyc.legalserver.org/matter/dynamic-profile/view/1869963","18-1869963")</f>
        <v>0</v>
      </c>
      <c r="B1233" t="s">
        <v>64</v>
      </c>
      <c r="C1233" t="s">
        <v>104</v>
      </c>
      <c r="D1233" t="s">
        <v>445</v>
      </c>
      <c r="E1233" t="s">
        <v>664</v>
      </c>
      <c r="F1233" t="s">
        <v>704</v>
      </c>
      <c r="G1233" t="s">
        <v>1599</v>
      </c>
      <c r="H1233" t="s">
        <v>2631</v>
      </c>
      <c r="I1233">
        <v>33</v>
      </c>
      <c r="J1233" t="s">
        <v>3604</v>
      </c>
      <c r="K1233">
        <v>10034</v>
      </c>
      <c r="L1233" t="s">
        <v>3610</v>
      </c>
      <c r="M1233" t="s">
        <v>3609</v>
      </c>
      <c r="N1233" t="s">
        <v>4050</v>
      </c>
      <c r="O1233" t="s">
        <v>4209</v>
      </c>
      <c r="P1233" t="s">
        <v>4241</v>
      </c>
      <c r="Q1233" t="s">
        <v>4248</v>
      </c>
      <c r="R1233" t="s">
        <v>4258</v>
      </c>
      <c r="S1233" t="s">
        <v>3611</v>
      </c>
      <c r="U1233" t="s">
        <v>4268</v>
      </c>
      <c r="W1233" t="s">
        <v>121</v>
      </c>
      <c r="X1233">
        <v>796.9299999999999</v>
      </c>
      <c r="Y1233" t="s">
        <v>4351</v>
      </c>
      <c r="Z1233" t="s">
        <v>4354</v>
      </c>
      <c r="AA1233" t="s">
        <v>4374</v>
      </c>
      <c r="AB1233" t="s">
        <v>5359</v>
      </c>
      <c r="AD1233" t="s">
        <v>6714</v>
      </c>
      <c r="AE1233">
        <v>25</v>
      </c>
      <c r="AF1233" t="s">
        <v>7101</v>
      </c>
      <c r="AH1233">
        <v>22</v>
      </c>
      <c r="AI1233">
        <v>2</v>
      </c>
      <c r="AJ1233">
        <v>1</v>
      </c>
      <c r="AK1233">
        <v>171.32</v>
      </c>
      <c r="AN1233" t="s">
        <v>7139</v>
      </c>
      <c r="AO1233">
        <v>35600</v>
      </c>
      <c r="AU1233">
        <v>38.3</v>
      </c>
      <c r="AV1233" t="s">
        <v>293</v>
      </c>
      <c r="AW1233" t="s">
        <v>64</v>
      </c>
    </row>
    <row r="1234" spans="1:50">
      <c r="A1234" s="1">
        <f>HYPERLINK("https://lsnyc.legalserver.org/matter/dynamic-profile/view/1879898","18-1879898")</f>
        <v>0</v>
      </c>
      <c r="B1234" t="s">
        <v>64</v>
      </c>
      <c r="C1234" t="s">
        <v>104</v>
      </c>
      <c r="D1234" t="s">
        <v>334</v>
      </c>
      <c r="E1234" t="s">
        <v>277</v>
      </c>
      <c r="F1234" t="s">
        <v>1335</v>
      </c>
      <c r="G1234" t="s">
        <v>2194</v>
      </c>
      <c r="H1234" t="s">
        <v>2576</v>
      </c>
      <c r="I1234" t="s">
        <v>3518</v>
      </c>
      <c r="J1234" t="s">
        <v>3604</v>
      </c>
      <c r="K1234">
        <v>10040</v>
      </c>
      <c r="L1234" t="s">
        <v>3610</v>
      </c>
      <c r="M1234" t="s">
        <v>3610</v>
      </c>
      <c r="O1234" t="s">
        <v>4218</v>
      </c>
      <c r="P1234" t="s">
        <v>4241</v>
      </c>
      <c r="Q1234" t="s">
        <v>4248</v>
      </c>
      <c r="R1234" t="s">
        <v>4258</v>
      </c>
      <c r="S1234" t="s">
        <v>3611</v>
      </c>
      <c r="U1234" t="s">
        <v>4268</v>
      </c>
      <c r="W1234" t="s">
        <v>334</v>
      </c>
      <c r="X1234">
        <v>838.13</v>
      </c>
      <c r="Y1234" t="s">
        <v>4351</v>
      </c>
      <c r="Z1234" t="s">
        <v>4357</v>
      </c>
      <c r="AA1234" t="s">
        <v>4379</v>
      </c>
      <c r="AB1234" t="s">
        <v>5360</v>
      </c>
      <c r="AD1234" t="s">
        <v>6715</v>
      </c>
      <c r="AE1234">
        <v>88</v>
      </c>
      <c r="AF1234" t="s">
        <v>7101</v>
      </c>
      <c r="AG1234" t="s">
        <v>3745</v>
      </c>
      <c r="AH1234">
        <v>4</v>
      </c>
      <c r="AI1234">
        <v>1</v>
      </c>
      <c r="AJ1234">
        <v>0</v>
      </c>
      <c r="AK1234">
        <v>171.33</v>
      </c>
      <c r="AN1234" t="s">
        <v>7138</v>
      </c>
      <c r="AO1234">
        <v>20800</v>
      </c>
      <c r="AU1234">
        <v>0.1</v>
      </c>
      <c r="AV1234" t="s">
        <v>277</v>
      </c>
      <c r="AW1234" t="s">
        <v>7342</v>
      </c>
    </row>
    <row r="1235" spans="1:50">
      <c r="A1235" s="1">
        <f>HYPERLINK("https://lsnyc.legalserver.org/matter/dynamic-profile/view/1867788","18-1867788")</f>
        <v>0</v>
      </c>
      <c r="B1235" t="s">
        <v>53</v>
      </c>
      <c r="C1235" t="s">
        <v>104</v>
      </c>
      <c r="D1235" t="s">
        <v>106</v>
      </c>
      <c r="E1235" t="s">
        <v>657</v>
      </c>
      <c r="F1235" t="s">
        <v>1336</v>
      </c>
      <c r="G1235" t="s">
        <v>2195</v>
      </c>
      <c r="H1235" t="s">
        <v>2959</v>
      </c>
      <c r="I1235" t="s">
        <v>3348</v>
      </c>
      <c r="J1235" t="s">
        <v>3604</v>
      </c>
      <c r="K1235">
        <v>10029</v>
      </c>
      <c r="L1235" t="s">
        <v>3610</v>
      </c>
      <c r="M1235" t="s">
        <v>3610</v>
      </c>
      <c r="N1235" t="s">
        <v>4051</v>
      </c>
      <c r="O1235" t="s">
        <v>4209</v>
      </c>
      <c r="P1235" t="s">
        <v>4241</v>
      </c>
      <c r="Q1235" t="s">
        <v>4248</v>
      </c>
      <c r="R1235" t="s">
        <v>4258</v>
      </c>
      <c r="S1235" t="s">
        <v>3611</v>
      </c>
      <c r="U1235" t="s">
        <v>4271</v>
      </c>
      <c r="V1235" t="s">
        <v>4274</v>
      </c>
      <c r="W1235" t="s">
        <v>310</v>
      </c>
      <c r="X1235">
        <v>2692.96</v>
      </c>
      <c r="Y1235" t="s">
        <v>4351</v>
      </c>
      <c r="Z1235" t="s">
        <v>4354</v>
      </c>
      <c r="AA1235" t="s">
        <v>4374</v>
      </c>
      <c r="AB1235" t="s">
        <v>4784</v>
      </c>
      <c r="AD1235" t="s">
        <v>6716</v>
      </c>
      <c r="AE1235">
        <v>45</v>
      </c>
      <c r="AF1235" t="s">
        <v>7105</v>
      </c>
      <c r="AG1235" t="s">
        <v>7116</v>
      </c>
      <c r="AH1235">
        <v>20</v>
      </c>
      <c r="AI1235">
        <v>1</v>
      </c>
      <c r="AJ1235">
        <v>0</v>
      </c>
      <c r="AK1235">
        <v>171.33</v>
      </c>
      <c r="AN1235" t="s">
        <v>7138</v>
      </c>
      <c r="AO1235">
        <v>20800</v>
      </c>
      <c r="AQ1235" t="s">
        <v>7196</v>
      </c>
      <c r="AR1235" t="s">
        <v>7222</v>
      </c>
      <c r="AS1235" t="s">
        <v>7231</v>
      </c>
      <c r="AT1235" t="s">
        <v>7270</v>
      </c>
      <c r="AU1235">
        <v>4.55</v>
      </c>
      <c r="AV1235" t="s">
        <v>7290</v>
      </c>
      <c r="AW1235" t="s">
        <v>7343</v>
      </c>
    </row>
    <row r="1236" spans="1:50">
      <c r="A1236" s="1">
        <f>HYPERLINK("https://lsnyc.legalserver.org/matter/dynamic-profile/view/1865640","18-1865640")</f>
        <v>0</v>
      </c>
      <c r="B1236" t="s">
        <v>78</v>
      </c>
      <c r="C1236" t="s">
        <v>104</v>
      </c>
      <c r="D1236" t="s">
        <v>592</v>
      </c>
      <c r="E1236" t="s">
        <v>335</v>
      </c>
      <c r="F1236" t="s">
        <v>1337</v>
      </c>
      <c r="G1236" t="s">
        <v>2196</v>
      </c>
      <c r="H1236" t="s">
        <v>3070</v>
      </c>
      <c r="I1236">
        <v>9</v>
      </c>
      <c r="J1236" t="s">
        <v>3604</v>
      </c>
      <c r="K1236">
        <v>10002</v>
      </c>
      <c r="L1236" t="s">
        <v>3610</v>
      </c>
      <c r="M1236" t="s">
        <v>3610</v>
      </c>
      <c r="N1236" t="s">
        <v>4052</v>
      </c>
      <c r="O1236" t="s">
        <v>4209</v>
      </c>
      <c r="P1236" t="s">
        <v>4242</v>
      </c>
      <c r="Q1236" t="s">
        <v>4250</v>
      </c>
      <c r="R1236" t="s">
        <v>4258</v>
      </c>
      <c r="S1236" t="s">
        <v>3611</v>
      </c>
      <c r="U1236" t="s">
        <v>4268</v>
      </c>
      <c r="W1236" t="s">
        <v>413</v>
      </c>
      <c r="X1236">
        <v>636.63</v>
      </c>
      <c r="Y1236" t="s">
        <v>4351</v>
      </c>
      <c r="Z1236" t="s">
        <v>4353</v>
      </c>
      <c r="AA1236" t="s">
        <v>4373</v>
      </c>
      <c r="AB1236" t="s">
        <v>5361</v>
      </c>
      <c r="AD1236" t="s">
        <v>6717</v>
      </c>
      <c r="AE1236">
        <v>0</v>
      </c>
      <c r="AG1236" t="s">
        <v>3745</v>
      </c>
      <c r="AH1236">
        <v>23</v>
      </c>
      <c r="AI1236">
        <v>1</v>
      </c>
      <c r="AJ1236">
        <v>0</v>
      </c>
      <c r="AK1236">
        <v>171.33</v>
      </c>
      <c r="AO1236">
        <v>20800</v>
      </c>
      <c r="AU1236">
        <v>2.15</v>
      </c>
      <c r="AV1236" t="s">
        <v>173</v>
      </c>
      <c r="AW1236" t="s">
        <v>7350</v>
      </c>
    </row>
    <row r="1237" spans="1:50">
      <c r="A1237" s="1">
        <f>HYPERLINK("https://lsnyc.legalserver.org/matter/dynamic-profile/view/1902194","19-1902194")</f>
        <v>0</v>
      </c>
      <c r="B1237" t="s">
        <v>52</v>
      </c>
      <c r="C1237" t="s">
        <v>105</v>
      </c>
      <c r="D1237" t="s">
        <v>467</v>
      </c>
      <c r="F1237" t="s">
        <v>1338</v>
      </c>
      <c r="G1237" t="s">
        <v>2197</v>
      </c>
      <c r="H1237" t="s">
        <v>3071</v>
      </c>
      <c r="I1237">
        <v>33</v>
      </c>
      <c r="J1237" t="s">
        <v>3604</v>
      </c>
      <c r="K1237">
        <v>10033</v>
      </c>
      <c r="L1237" t="s">
        <v>3610</v>
      </c>
      <c r="M1237" t="s">
        <v>3609</v>
      </c>
      <c r="P1237" t="s">
        <v>4245</v>
      </c>
      <c r="R1237" t="s">
        <v>4258</v>
      </c>
      <c r="S1237" t="s">
        <v>3611</v>
      </c>
      <c r="U1237" t="s">
        <v>4268</v>
      </c>
      <c r="W1237" t="s">
        <v>467</v>
      </c>
      <c r="X1237">
        <v>1548.25</v>
      </c>
      <c r="Y1237" t="s">
        <v>4351</v>
      </c>
      <c r="Z1237" t="s">
        <v>4354</v>
      </c>
      <c r="AB1237" t="s">
        <v>5362</v>
      </c>
      <c r="AE1237">
        <v>55</v>
      </c>
      <c r="AF1237" t="s">
        <v>7101</v>
      </c>
      <c r="AG1237" t="s">
        <v>3745</v>
      </c>
      <c r="AH1237">
        <v>12</v>
      </c>
      <c r="AI1237">
        <v>2</v>
      </c>
      <c r="AJ1237">
        <v>0</v>
      </c>
      <c r="AK1237">
        <v>171.5</v>
      </c>
      <c r="AN1237" t="s">
        <v>7138</v>
      </c>
      <c r="AO1237">
        <v>29000</v>
      </c>
      <c r="AU1237">
        <v>0.4</v>
      </c>
      <c r="AV1237" t="s">
        <v>143</v>
      </c>
      <c r="AW1237" t="s">
        <v>7342</v>
      </c>
      <c r="AX1237" t="s">
        <v>7377</v>
      </c>
    </row>
    <row r="1238" spans="1:50">
      <c r="A1238" s="1">
        <f>HYPERLINK("https://lsnyc.legalserver.org/matter/dynamic-profile/view/0831440","17-0831440")</f>
        <v>0</v>
      </c>
      <c r="B1238" t="s">
        <v>66</v>
      </c>
      <c r="C1238" t="s">
        <v>104</v>
      </c>
      <c r="D1238" t="s">
        <v>593</v>
      </c>
      <c r="E1238" t="s">
        <v>410</v>
      </c>
      <c r="F1238" t="s">
        <v>1339</v>
      </c>
      <c r="G1238" t="s">
        <v>1846</v>
      </c>
      <c r="H1238" t="s">
        <v>3072</v>
      </c>
      <c r="I1238">
        <v>54</v>
      </c>
      <c r="J1238" t="s">
        <v>3604</v>
      </c>
      <c r="K1238">
        <v>10033</v>
      </c>
      <c r="L1238" t="s">
        <v>3610</v>
      </c>
      <c r="M1238" t="s">
        <v>3609</v>
      </c>
      <c r="N1238" t="s">
        <v>4053</v>
      </c>
      <c r="O1238" t="s">
        <v>4209</v>
      </c>
      <c r="P1238" t="s">
        <v>4241</v>
      </c>
      <c r="Q1238" t="s">
        <v>4251</v>
      </c>
      <c r="R1238" t="s">
        <v>4258</v>
      </c>
      <c r="S1238" t="s">
        <v>3611</v>
      </c>
      <c r="T1238" t="s">
        <v>4259</v>
      </c>
      <c r="U1238" t="s">
        <v>4268</v>
      </c>
      <c r="W1238" t="s">
        <v>112</v>
      </c>
      <c r="X1238">
        <v>1455.64</v>
      </c>
      <c r="Y1238" t="s">
        <v>4351</v>
      </c>
      <c r="Z1238" t="s">
        <v>4353</v>
      </c>
      <c r="AA1238" t="s">
        <v>4374</v>
      </c>
      <c r="AB1238" t="s">
        <v>5363</v>
      </c>
      <c r="AC1238" t="s">
        <v>5841</v>
      </c>
      <c r="AD1238" t="s">
        <v>6718</v>
      </c>
      <c r="AE1238">
        <v>0</v>
      </c>
      <c r="AF1238" t="s">
        <v>7101</v>
      </c>
      <c r="AH1238">
        <v>7</v>
      </c>
      <c r="AI1238">
        <v>2</v>
      </c>
      <c r="AJ1238">
        <v>2</v>
      </c>
      <c r="AK1238">
        <v>171.54</v>
      </c>
      <c r="AN1238" t="s">
        <v>7138</v>
      </c>
      <c r="AO1238">
        <v>42198</v>
      </c>
      <c r="AU1238">
        <v>11.7</v>
      </c>
      <c r="AV1238" t="s">
        <v>7328</v>
      </c>
      <c r="AW1238" t="s">
        <v>66</v>
      </c>
    </row>
    <row r="1239" spans="1:50">
      <c r="A1239" s="1">
        <f>HYPERLINK("https://lsnyc.legalserver.org/matter/dynamic-profile/view/0831668","17-0831668")</f>
        <v>0</v>
      </c>
      <c r="B1239" t="s">
        <v>68</v>
      </c>
      <c r="C1239" t="s">
        <v>105</v>
      </c>
      <c r="D1239" t="s">
        <v>594</v>
      </c>
      <c r="F1239" t="s">
        <v>847</v>
      </c>
      <c r="G1239" t="s">
        <v>2198</v>
      </c>
      <c r="H1239" t="s">
        <v>2531</v>
      </c>
      <c r="I1239" t="s">
        <v>3430</v>
      </c>
      <c r="J1239" t="s">
        <v>3604</v>
      </c>
      <c r="K1239">
        <v>10035</v>
      </c>
      <c r="L1239" t="s">
        <v>3610</v>
      </c>
      <c r="M1239" t="s">
        <v>3609</v>
      </c>
      <c r="O1239" t="s">
        <v>4211</v>
      </c>
      <c r="P1239" t="s">
        <v>4244</v>
      </c>
      <c r="R1239" t="s">
        <v>4258</v>
      </c>
      <c r="S1239" t="s">
        <v>3611</v>
      </c>
      <c r="U1239" t="s">
        <v>4268</v>
      </c>
      <c r="W1239" t="s">
        <v>594</v>
      </c>
      <c r="X1239">
        <v>1550</v>
      </c>
      <c r="Y1239" t="s">
        <v>4351</v>
      </c>
      <c r="Z1239" t="s">
        <v>4354</v>
      </c>
      <c r="AB1239" t="s">
        <v>5364</v>
      </c>
      <c r="AD1239" t="s">
        <v>6719</v>
      </c>
      <c r="AE1239">
        <v>35</v>
      </c>
      <c r="AF1239" t="s">
        <v>7101</v>
      </c>
      <c r="AG1239" t="s">
        <v>3745</v>
      </c>
      <c r="AH1239">
        <v>5</v>
      </c>
      <c r="AI1239">
        <v>2</v>
      </c>
      <c r="AJ1239">
        <v>0</v>
      </c>
      <c r="AK1239">
        <v>172.41</v>
      </c>
      <c r="AN1239" t="s">
        <v>7138</v>
      </c>
      <c r="AO1239">
        <v>28000</v>
      </c>
      <c r="AU1239">
        <v>132.5</v>
      </c>
      <c r="AV1239" t="s">
        <v>501</v>
      </c>
      <c r="AW1239" t="s">
        <v>51</v>
      </c>
    </row>
    <row r="1240" spans="1:50">
      <c r="A1240" s="1">
        <f>HYPERLINK("https://lsnyc.legalserver.org/matter/dynamic-profile/view/0832892","17-0832892")</f>
        <v>0</v>
      </c>
      <c r="B1240" t="s">
        <v>78</v>
      </c>
      <c r="C1240" t="s">
        <v>105</v>
      </c>
      <c r="D1240" t="s">
        <v>186</v>
      </c>
      <c r="F1240" t="s">
        <v>1340</v>
      </c>
      <c r="G1240" t="s">
        <v>1599</v>
      </c>
      <c r="H1240" t="s">
        <v>3073</v>
      </c>
      <c r="I1240" t="s">
        <v>3343</v>
      </c>
      <c r="J1240" t="s">
        <v>3604</v>
      </c>
      <c r="K1240">
        <v>10029</v>
      </c>
      <c r="L1240" t="s">
        <v>3610</v>
      </c>
      <c r="M1240" t="s">
        <v>3609</v>
      </c>
      <c r="N1240" t="s">
        <v>4054</v>
      </c>
      <c r="O1240" t="s">
        <v>4209</v>
      </c>
      <c r="P1240" t="s">
        <v>4241</v>
      </c>
      <c r="R1240" t="s">
        <v>4258</v>
      </c>
      <c r="S1240" t="s">
        <v>3611</v>
      </c>
      <c r="U1240" t="s">
        <v>4268</v>
      </c>
      <c r="W1240" t="s">
        <v>4338</v>
      </c>
      <c r="X1240">
        <v>641</v>
      </c>
      <c r="Y1240" t="s">
        <v>4351</v>
      </c>
      <c r="Z1240" t="s">
        <v>4354</v>
      </c>
      <c r="AB1240" t="s">
        <v>5365</v>
      </c>
      <c r="AD1240" t="s">
        <v>6720</v>
      </c>
      <c r="AE1240">
        <v>92</v>
      </c>
      <c r="AF1240" t="s">
        <v>7101</v>
      </c>
      <c r="AG1240" t="s">
        <v>3745</v>
      </c>
      <c r="AH1240">
        <v>7</v>
      </c>
      <c r="AI1240">
        <v>2</v>
      </c>
      <c r="AJ1240">
        <v>0</v>
      </c>
      <c r="AK1240">
        <v>172.41</v>
      </c>
      <c r="AN1240" t="s">
        <v>7139</v>
      </c>
      <c r="AO1240">
        <v>28000</v>
      </c>
      <c r="AU1240">
        <v>34.6</v>
      </c>
      <c r="AV1240" t="s">
        <v>678</v>
      </c>
      <c r="AW1240" t="s">
        <v>7341</v>
      </c>
    </row>
    <row r="1241" spans="1:50">
      <c r="A1241" s="1">
        <f>HYPERLINK("https://lsnyc.legalserver.org/matter/dynamic-profile/view/1850794","17-1850794")</f>
        <v>0</v>
      </c>
      <c r="B1241" t="s">
        <v>67</v>
      </c>
      <c r="C1241" t="s">
        <v>104</v>
      </c>
      <c r="D1241" t="s">
        <v>388</v>
      </c>
      <c r="E1241" t="s">
        <v>113</v>
      </c>
      <c r="F1241" t="s">
        <v>733</v>
      </c>
      <c r="G1241" t="s">
        <v>1810</v>
      </c>
      <c r="H1241" t="s">
        <v>3074</v>
      </c>
      <c r="I1241">
        <v>2</v>
      </c>
      <c r="J1241" t="s">
        <v>3604</v>
      </c>
      <c r="K1241">
        <v>10035</v>
      </c>
      <c r="L1241" t="s">
        <v>3610</v>
      </c>
      <c r="M1241" t="s">
        <v>3610</v>
      </c>
      <c r="O1241" t="s">
        <v>4211</v>
      </c>
      <c r="P1241" t="s">
        <v>4245</v>
      </c>
      <c r="Q1241" t="s">
        <v>4249</v>
      </c>
      <c r="R1241" t="s">
        <v>4258</v>
      </c>
      <c r="S1241" t="s">
        <v>3610</v>
      </c>
      <c r="U1241" t="s">
        <v>4268</v>
      </c>
      <c r="W1241" t="s">
        <v>388</v>
      </c>
      <c r="X1241">
        <v>1500</v>
      </c>
      <c r="Y1241" t="s">
        <v>4351</v>
      </c>
      <c r="Z1241" t="s">
        <v>4354</v>
      </c>
      <c r="AA1241" t="s">
        <v>4377</v>
      </c>
      <c r="AB1241" t="s">
        <v>5366</v>
      </c>
      <c r="AD1241" t="s">
        <v>6721</v>
      </c>
      <c r="AE1241">
        <v>6</v>
      </c>
      <c r="AF1241" t="s">
        <v>7115</v>
      </c>
      <c r="AG1241" t="s">
        <v>3745</v>
      </c>
      <c r="AH1241">
        <v>15</v>
      </c>
      <c r="AI1241">
        <v>1</v>
      </c>
      <c r="AJ1241">
        <v>0</v>
      </c>
      <c r="AK1241">
        <v>172.47</v>
      </c>
      <c r="AN1241" t="s">
        <v>7139</v>
      </c>
      <c r="AO1241">
        <v>20800</v>
      </c>
      <c r="AU1241">
        <v>3</v>
      </c>
      <c r="AV1241" t="s">
        <v>387</v>
      </c>
      <c r="AW1241" t="s">
        <v>7341</v>
      </c>
    </row>
    <row r="1242" spans="1:50">
      <c r="A1242" s="1">
        <f>HYPERLINK("https://lsnyc.legalserver.org/matter/dynamic-profile/view/0830325","17-0830325")</f>
        <v>0</v>
      </c>
      <c r="B1242" t="s">
        <v>64</v>
      </c>
      <c r="C1242" t="s">
        <v>104</v>
      </c>
      <c r="D1242" t="s">
        <v>458</v>
      </c>
      <c r="E1242" t="s">
        <v>271</v>
      </c>
      <c r="F1242" t="s">
        <v>723</v>
      </c>
      <c r="G1242" t="s">
        <v>1594</v>
      </c>
      <c r="H1242" t="s">
        <v>2634</v>
      </c>
      <c r="I1242" t="s">
        <v>3285</v>
      </c>
      <c r="J1242" t="s">
        <v>3604</v>
      </c>
      <c r="K1242">
        <v>10034</v>
      </c>
      <c r="L1242" t="s">
        <v>3609</v>
      </c>
      <c r="M1242" t="s">
        <v>3609</v>
      </c>
      <c r="O1242" t="s">
        <v>4210</v>
      </c>
      <c r="P1242" t="s">
        <v>4241</v>
      </c>
      <c r="Q1242" t="s">
        <v>4248</v>
      </c>
      <c r="R1242" t="s">
        <v>4258</v>
      </c>
      <c r="S1242" t="s">
        <v>3611</v>
      </c>
      <c r="U1242" t="s">
        <v>4268</v>
      </c>
      <c r="W1242" t="s">
        <v>4321</v>
      </c>
      <c r="X1242">
        <v>304</v>
      </c>
      <c r="Y1242" t="s">
        <v>4351</v>
      </c>
      <c r="Z1242" t="s">
        <v>4352</v>
      </c>
      <c r="AA1242" t="s">
        <v>4388</v>
      </c>
      <c r="AB1242" t="s">
        <v>5171</v>
      </c>
      <c r="AD1242" t="s">
        <v>6537</v>
      </c>
      <c r="AE1242">
        <v>95</v>
      </c>
      <c r="AF1242" t="s">
        <v>7101</v>
      </c>
      <c r="AG1242" t="s">
        <v>7116</v>
      </c>
      <c r="AH1242">
        <v>0</v>
      </c>
      <c r="AI1242">
        <v>1</v>
      </c>
      <c r="AJ1242">
        <v>0</v>
      </c>
      <c r="AK1242">
        <v>172.47</v>
      </c>
      <c r="AN1242" t="s">
        <v>7138</v>
      </c>
      <c r="AO1242">
        <v>20800</v>
      </c>
      <c r="AU1242">
        <v>73.19</v>
      </c>
      <c r="AV1242" t="s">
        <v>227</v>
      </c>
      <c r="AW1242" t="s">
        <v>7341</v>
      </c>
    </row>
    <row r="1243" spans="1:50">
      <c r="A1243" s="1">
        <f>HYPERLINK("https://lsnyc.legalserver.org/matter/dynamic-profile/view/1854403","17-1854403")</f>
        <v>0</v>
      </c>
      <c r="B1243" t="s">
        <v>65</v>
      </c>
      <c r="C1243" t="s">
        <v>104</v>
      </c>
      <c r="D1243" t="s">
        <v>176</v>
      </c>
      <c r="E1243" t="s">
        <v>435</v>
      </c>
      <c r="F1243" t="s">
        <v>1326</v>
      </c>
      <c r="G1243" t="s">
        <v>1642</v>
      </c>
      <c r="H1243" t="s">
        <v>2860</v>
      </c>
      <c r="I1243" t="s">
        <v>3274</v>
      </c>
      <c r="J1243" t="s">
        <v>3604</v>
      </c>
      <c r="K1243">
        <v>10034</v>
      </c>
      <c r="L1243" t="s">
        <v>3610</v>
      </c>
      <c r="M1243" t="s">
        <v>3609</v>
      </c>
      <c r="O1243" t="s">
        <v>4212</v>
      </c>
      <c r="P1243" t="s">
        <v>4244</v>
      </c>
      <c r="Q1243" t="s">
        <v>4249</v>
      </c>
      <c r="R1243" t="s">
        <v>4258</v>
      </c>
      <c r="S1243" t="s">
        <v>3611</v>
      </c>
      <c r="U1243" t="s">
        <v>4268</v>
      </c>
      <c r="W1243" t="s">
        <v>4339</v>
      </c>
      <c r="X1243">
        <v>1800</v>
      </c>
      <c r="Y1243" t="s">
        <v>4351</v>
      </c>
      <c r="Z1243" t="s">
        <v>4357</v>
      </c>
      <c r="AA1243" t="s">
        <v>4377</v>
      </c>
      <c r="AB1243" t="s">
        <v>5343</v>
      </c>
      <c r="AD1243" t="s">
        <v>6701</v>
      </c>
      <c r="AE1243">
        <v>48</v>
      </c>
      <c r="AF1243" t="s">
        <v>7101</v>
      </c>
      <c r="AG1243" t="s">
        <v>3745</v>
      </c>
      <c r="AH1243">
        <v>21</v>
      </c>
      <c r="AI1243">
        <v>1</v>
      </c>
      <c r="AJ1243">
        <v>0</v>
      </c>
      <c r="AK1243">
        <v>172.47</v>
      </c>
      <c r="AN1243" t="s">
        <v>7139</v>
      </c>
      <c r="AO1243">
        <v>20800</v>
      </c>
      <c r="AU1243">
        <v>2.5</v>
      </c>
      <c r="AV1243" t="s">
        <v>137</v>
      </c>
      <c r="AW1243" t="s">
        <v>7342</v>
      </c>
    </row>
    <row r="1244" spans="1:50">
      <c r="A1244" s="1">
        <f>HYPERLINK("https://lsnyc.legalserver.org/matter/dynamic-profile/view/1842731","17-1842731")</f>
        <v>0</v>
      </c>
      <c r="B1244" t="s">
        <v>65</v>
      </c>
      <c r="C1244" t="s">
        <v>104</v>
      </c>
      <c r="D1244" t="s">
        <v>375</v>
      </c>
      <c r="E1244" t="s">
        <v>435</v>
      </c>
      <c r="F1244" t="s">
        <v>1326</v>
      </c>
      <c r="G1244" t="s">
        <v>1642</v>
      </c>
      <c r="H1244" t="s">
        <v>2860</v>
      </c>
      <c r="I1244" t="s">
        <v>3274</v>
      </c>
      <c r="J1244" t="s">
        <v>3604</v>
      </c>
      <c r="K1244">
        <v>10034</v>
      </c>
      <c r="L1244" t="s">
        <v>3610</v>
      </c>
      <c r="M1244" t="s">
        <v>3609</v>
      </c>
      <c r="O1244" t="s">
        <v>4217</v>
      </c>
      <c r="P1244" t="s">
        <v>4245</v>
      </c>
      <c r="Q1244" t="s">
        <v>4249</v>
      </c>
      <c r="R1244" t="s">
        <v>4258</v>
      </c>
      <c r="S1244" t="s">
        <v>3611</v>
      </c>
      <c r="U1244" t="s">
        <v>4268</v>
      </c>
      <c r="W1244" t="s">
        <v>375</v>
      </c>
      <c r="X1244">
        <v>1800</v>
      </c>
      <c r="Y1244" t="s">
        <v>4351</v>
      </c>
      <c r="Z1244" t="s">
        <v>4354</v>
      </c>
      <c r="AA1244" t="s">
        <v>4377</v>
      </c>
      <c r="AB1244" t="s">
        <v>5343</v>
      </c>
      <c r="AD1244" t="s">
        <v>6701</v>
      </c>
      <c r="AE1244">
        <v>48</v>
      </c>
      <c r="AF1244" t="s">
        <v>7101</v>
      </c>
      <c r="AG1244" t="s">
        <v>3745</v>
      </c>
      <c r="AH1244">
        <v>21</v>
      </c>
      <c r="AI1244">
        <v>1</v>
      </c>
      <c r="AJ1244">
        <v>0</v>
      </c>
      <c r="AK1244">
        <v>172.47</v>
      </c>
      <c r="AN1244" t="s">
        <v>7139</v>
      </c>
      <c r="AO1244">
        <v>20800</v>
      </c>
      <c r="AU1244">
        <v>12.45</v>
      </c>
      <c r="AV1244" t="s">
        <v>360</v>
      </c>
      <c r="AW1244" t="s">
        <v>7342</v>
      </c>
    </row>
    <row r="1245" spans="1:50">
      <c r="A1245" s="1">
        <f>HYPERLINK("https://lsnyc.legalserver.org/matter/dynamic-profile/view/0829999","17-0829999")</f>
        <v>0</v>
      </c>
      <c r="B1245" t="s">
        <v>67</v>
      </c>
      <c r="C1245" t="s">
        <v>105</v>
      </c>
      <c r="D1245" t="s">
        <v>389</v>
      </c>
      <c r="F1245" t="s">
        <v>1341</v>
      </c>
      <c r="G1245" t="s">
        <v>2199</v>
      </c>
      <c r="H1245" t="s">
        <v>3075</v>
      </c>
      <c r="I1245" t="s">
        <v>3519</v>
      </c>
      <c r="J1245" t="s">
        <v>3604</v>
      </c>
      <c r="K1245">
        <v>10029</v>
      </c>
      <c r="L1245" t="s">
        <v>3610</v>
      </c>
      <c r="M1245" t="s">
        <v>3609</v>
      </c>
      <c r="N1245" t="s">
        <v>4055</v>
      </c>
      <c r="O1245" t="s">
        <v>4210</v>
      </c>
      <c r="P1245" t="s">
        <v>4241</v>
      </c>
      <c r="R1245" t="s">
        <v>4258</v>
      </c>
      <c r="S1245" t="s">
        <v>3611</v>
      </c>
      <c r="U1245" t="s">
        <v>4268</v>
      </c>
      <c r="W1245" t="s">
        <v>412</v>
      </c>
      <c r="X1245">
        <v>682</v>
      </c>
      <c r="Y1245" t="s">
        <v>4351</v>
      </c>
      <c r="Z1245" t="s">
        <v>4228</v>
      </c>
      <c r="AB1245" t="s">
        <v>5367</v>
      </c>
      <c r="AD1245" t="s">
        <v>6722</v>
      </c>
      <c r="AE1245">
        <v>18</v>
      </c>
      <c r="AF1245" t="s">
        <v>7101</v>
      </c>
      <c r="AG1245" t="s">
        <v>3745</v>
      </c>
      <c r="AH1245">
        <v>12</v>
      </c>
      <c r="AI1245">
        <v>1</v>
      </c>
      <c r="AJ1245">
        <v>0</v>
      </c>
      <c r="AK1245">
        <v>172.47</v>
      </c>
      <c r="AN1245" t="s">
        <v>7138</v>
      </c>
      <c r="AO1245">
        <v>20800</v>
      </c>
      <c r="AU1245">
        <v>33.1</v>
      </c>
      <c r="AV1245" t="s">
        <v>179</v>
      </c>
      <c r="AW1245" t="s">
        <v>80</v>
      </c>
    </row>
    <row r="1246" spans="1:50">
      <c r="A1246" s="1">
        <f>HYPERLINK("https://lsnyc.legalserver.org/matter/dynamic-profile/view/1872328","18-1872328")</f>
        <v>0</v>
      </c>
      <c r="B1246" t="s">
        <v>67</v>
      </c>
      <c r="C1246" t="s">
        <v>104</v>
      </c>
      <c r="D1246" t="s">
        <v>310</v>
      </c>
      <c r="E1246" t="s">
        <v>442</v>
      </c>
      <c r="F1246" t="s">
        <v>922</v>
      </c>
      <c r="G1246" t="s">
        <v>2200</v>
      </c>
      <c r="H1246" t="s">
        <v>3076</v>
      </c>
      <c r="I1246" t="s">
        <v>3294</v>
      </c>
      <c r="J1246" t="s">
        <v>3604</v>
      </c>
      <c r="K1246">
        <v>10029</v>
      </c>
      <c r="L1246" t="s">
        <v>3610</v>
      </c>
      <c r="M1246" t="s">
        <v>3610</v>
      </c>
      <c r="N1246" t="s">
        <v>4056</v>
      </c>
      <c r="O1246" t="s">
        <v>4209</v>
      </c>
      <c r="P1246" t="s">
        <v>4241</v>
      </c>
      <c r="Q1246" t="s">
        <v>4251</v>
      </c>
      <c r="R1246" t="s">
        <v>4258</v>
      </c>
      <c r="S1246" t="s">
        <v>3611</v>
      </c>
      <c r="U1246" t="s">
        <v>4268</v>
      </c>
      <c r="V1246" t="s">
        <v>4274</v>
      </c>
      <c r="W1246" t="s">
        <v>144</v>
      </c>
      <c r="X1246">
        <v>964.5</v>
      </c>
      <c r="Y1246" t="s">
        <v>4351</v>
      </c>
      <c r="Z1246" t="s">
        <v>4363</v>
      </c>
      <c r="AA1246" t="s">
        <v>4374</v>
      </c>
      <c r="AB1246" t="s">
        <v>5368</v>
      </c>
      <c r="AE1246">
        <v>11</v>
      </c>
      <c r="AF1246" t="s">
        <v>7101</v>
      </c>
      <c r="AG1246" t="s">
        <v>3745</v>
      </c>
      <c r="AH1246">
        <v>12</v>
      </c>
      <c r="AI1246">
        <v>1</v>
      </c>
      <c r="AJ1246">
        <v>0</v>
      </c>
      <c r="AK1246">
        <v>172.78</v>
      </c>
      <c r="AN1246" t="s">
        <v>7138</v>
      </c>
      <c r="AO1246">
        <v>20976</v>
      </c>
      <c r="AP1246" t="s">
        <v>7158</v>
      </c>
      <c r="AU1246">
        <v>5</v>
      </c>
      <c r="AV1246" t="s">
        <v>108</v>
      </c>
      <c r="AW1246" t="s">
        <v>7353</v>
      </c>
    </row>
    <row r="1247" spans="1:50">
      <c r="A1247" s="1">
        <f>HYPERLINK("https://lsnyc.legalserver.org/matter/dynamic-profile/view/1836762","17-1836762")</f>
        <v>0</v>
      </c>
      <c r="B1247" t="s">
        <v>64</v>
      </c>
      <c r="C1247" t="s">
        <v>104</v>
      </c>
      <c r="D1247" t="s">
        <v>524</v>
      </c>
      <c r="E1247" t="s">
        <v>204</v>
      </c>
      <c r="F1247" t="s">
        <v>988</v>
      </c>
      <c r="G1247" t="s">
        <v>2192</v>
      </c>
      <c r="H1247" t="s">
        <v>2576</v>
      </c>
      <c r="I1247" t="s">
        <v>3328</v>
      </c>
      <c r="J1247" t="s">
        <v>3604</v>
      </c>
      <c r="K1247">
        <v>10040</v>
      </c>
      <c r="L1247" t="s">
        <v>3610</v>
      </c>
      <c r="M1247" t="s">
        <v>3609</v>
      </c>
      <c r="O1247" t="s">
        <v>4211</v>
      </c>
      <c r="P1247" t="s">
        <v>4244</v>
      </c>
      <c r="Q1247" t="s">
        <v>4254</v>
      </c>
      <c r="R1247" t="s">
        <v>4258</v>
      </c>
      <c r="S1247" t="s">
        <v>3610</v>
      </c>
      <c r="U1247" t="s">
        <v>4268</v>
      </c>
      <c r="W1247" t="s">
        <v>4282</v>
      </c>
      <c r="X1247">
        <v>2180</v>
      </c>
      <c r="Y1247" t="s">
        <v>4351</v>
      </c>
      <c r="Z1247" t="s">
        <v>4352</v>
      </c>
      <c r="AA1247" t="s">
        <v>4377</v>
      </c>
      <c r="AB1247" t="s">
        <v>5356</v>
      </c>
      <c r="AD1247" t="s">
        <v>6711</v>
      </c>
      <c r="AE1247">
        <v>50</v>
      </c>
      <c r="AF1247" t="s">
        <v>7101</v>
      </c>
      <c r="AG1247" t="s">
        <v>3745</v>
      </c>
      <c r="AH1247">
        <v>23</v>
      </c>
      <c r="AI1247">
        <v>2</v>
      </c>
      <c r="AJ1247">
        <v>4</v>
      </c>
      <c r="AK1247">
        <v>172.88</v>
      </c>
      <c r="AL1247" t="s">
        <v>518</v>
      </c>
      <c r="AN1247" t="s">
        <v>7138</v>
      </c>
      <c r="AO1247">
        <v>56980</v>
      </c>
      <c r="AU1247">
        <v>0.1</v>
      </c>
      <c r="AV1247" t="s">
        <v>120</v>
      </c>
      <c r="AW1247" t="s">
        <v>7341</v>
      </c>
    </row>
    <row r="1248" spans="1:50">
      <c r="A1248" s="1">
        <f>HYPERLINK("https://lsnyc.legalserver.org/matter/dynamic-profile/view/1860636","18-1860636")</f>
        <v>0</v>
      </c>
      <c r="B1248" t="s">
        <v>53</v>
      </c>
      <c r="C1248" t="s">
        <v>105</v>
      </c>
      <c r="D1248" t="s">
        <v>257</v>
      </c>
      <c r="F1248" t="s">
        <v>1342</v>
      </c>
      <c r="G1248" t="s">
        <v>2201</v>
      </c>
      <c r="H1248" t="s">
        <v>2565</v>
      </c>
      <c r="I1248" t="s">
        <v>3318</v>
      </c>
      <c r="J1248" t="s">
        <v>3604</v>
      </c>
      <c r="K1248">
        <v>10031</v>
      </c>
      <c r="L1248" t="s">
        <v>3610</v>
      </c>
      <c r="M1248" t="s">
        <v>3609</v>
      </c>
      <c r="O1248" t="s">
        <v>4213</v>
      </c>
      <c r="P1248" t="s">
        <v>4245</v>
      </c>
      <c r="R1248" t="s">
        <v>4258</v>
      </c>
      <c r="S1248" t="s">
        <v>3610</v>
      </c>
      <c r="U1248" t="s">
        <v>4268</v>
      </c>
      <c r="W1248" t="s">
        <v>633</v>
      </c>
      <c r="X1248">
        <v>2697</v>
      </c>
      <c r="Y1248" t="s">
        <v>4351</v>
      </c>
      <c r="Z1248" t="s">
        <v>4352</v>
      </c>
      <c r="AB1248" t="s">
        <v>5369</v>
      </c>
      <c r="AD1248" t="s">
        <v>6723</v>
      </c>
      <c r="AE1248">
        <v>44</v>
      </c>
      <c r="AF1248" t="s">
        <v>7106</v>
      </c>
      <c r="AG1248" t="s">
        <v>7116</v>
      </c>
      <c r="AH1248">
        <v>9</v>
      </c>
      <c r="AI1248">
        <v>2</v>
      </c>
      <c r="AJ1248">
        <v>0</v>
      </c>
      <c r="AK1248">
        <v>172.99</v>
      </c>
      <c r="AN1248" t="s">
        <v>7139</v>
      </c>
      <c r="AO1248">
        <v>28474</v>
      </c>
      <c r="AU1248">
        <v>1.15</v>
      </c>
      <c r="AV1248" t="s">
        <v>7304</v>
      </c>
      <c r="AW1248" t="s">
        <v>7341</v>
      </c>
      <c r="AX1248" t="s">
        <v>7377</v>
      </c>
    </row>
    <row r="1249" spans="1:50">
      <c r="A1249" s="1">
        <f>HYPERLINK("https://lsnyc.legalserver.org/matter/dynamic-profile/view/1842740","17-1842740")</f>
        <v>0</v>
      </c>
      <c r="B1249" t="s">
        <v>78</v>
      </c>
      <c r="C1249" t="s">
        <v>105</v>
      </c>
      <c r="D1249" t="s">
        <v>375</v>
      </c>
      <c r="F1249" t="s">
        <v>1343</v>
      </c>
      <c r="G1249" t="s">
        <v>2202</v>
      </c>
      <c r="H1249" t="s">
        <v>2963</v>
      </c>
      <c r="I1249" t="s">
        <v>3362</v>
      </c>
      <c r="J1249" t="s">
        <v>3604</v>
      </c>
      <c r="K1249">
        <v>10002</v>
      </c>
      <c r="L1249" t="s">
        <v>3609</v>
      </c>
      <c r="M1249" t="s">
        <v>3609</v>
      </c>
      <c r="P1249" t="s">
        <v>4241</v>
      </c>
      <c r="R1249" t="s">
        <v>4258</v>
      </c>
      <c r="T1249" t="s">
        <v>4259</v>
      </c>
      <c r="U1249" t="s">
        <v>4268</v>
      </c>
      <c r="X1249">
        <v>0</v>
      </c>
      <c r="Y1249" t="s">
        <v>4351</v>
      </c>
      <c r="AB1249" t="s">
        <v>5370</v>
      </c>
      <c r="AD1249" t="s">
        <v>6724</v>
      </c>
      <c r="AE1249">
        <v>0</v>
      </c>
      <c r="AH1249">
        <v>0</v>
      </c>
      <c r="AI1249">
        <v>8</v>
      </c>
      <c r="AJ1249">
        <v>0</v>
      </c>
      <c r="AK1249">
        <v>173.18</v>
      </c>
      <c r="AN1249" t="s">
        <v>7143</v>
      </c>
      <c r="AO1249">
        <v>137920</v>
      </c>
      <c r="AU1249">
        <v>123.2</v>
      </c>
      <c r="AV1249" t="s">
        <v>477</v>
      </c>
      <c r="AW1249" t="s">
        <v>7348</v>
      </c>
    </row>
    <row r="1250" spans="1:50">
      <c r="A1250" s="1">
        <f>HYPERLINK("https://lsnyc.legalserver.org/matter/dynamic-profile/view/1901217","19-1901217")</f>
        <v>0</v>
      </c>
      <c r="B1250" t="s">
        <v>75</v>
      </c>
      <c r="C1250" t="s">
        <v>105</v>
      </c>
      <c r="D1250" t="s">
        <v>426</v>
      </c>
      <c r="F1250" t="s">
        <v>1344</v>
      </c>
      <c r="G1250" t="s">
        <v>2203</v>
      </c>
      <c r="H1250" t="s">
        <v>3077</v>
      </c>
      <c r="I1250">
        <v>11</v>
      </c>
      <c r="J1250" t="s">
        <v>3604</v>
      </c>
      <c r="K1250">
        <v>10002</v>
      </c>
      <c r="L1250" t="s">
        <v>3610</v>
      </c>
      <c r="M1250" t="s">
        <v>3609</v>
      </c>
      <c r="N1250" t="s">
        <v>4057</v>
      </c>
      <c r="O1250" t="s">
        <v>4210</v>
      </c>
      <c r="P1250" t="s">
        <v>4246</v>
      </c>
      <c r="R1250" t="s">
        <v>4258</v>
      </c>
      <c r="S1250" t="s">
        <v>3611</v>
      </c>
      <c r="U1250" t="s">
        <v>4268</v>
      </c>
      <c r="V1250" t="s">
        <v>4274</v>
      </c>
      <c r="W1250" t="s">
        <v>426</v>
      </c>
      <c r="X1250">
        <v>252</v>
      </c>
      <c r="Y1250" t="s">
        <v>4351</v>
      </c>
      <c r="Z1250" t="s">
        <v>4353</v>
      </c>
      <c r="AB1250" t="s">
        <v>5371</v>
      </c>
      <c r="AD1250" t="s">
        <v>6725</v>
      </c>
      <c r="AE1250">
        <v>20</v>
      </c>
      <c r="AF1250" t="s">
        <v>7104</v>
      </c>
      <c r="AG1250" t="s">
        <v>3745</v>
      </c>
      <c r="AH1250">
        <v>39</v>
      </c>
      <c r="AI1250">
        <v>1</v>
      </c>
      <c r="AJ1250">
        <v>0</v>
      </c>
      <c r="AK1250">
        <v>173.23</v>
      </c>
      <c r="AN1250" t="s">
        <v>7148</v>
      </c>
      <c r="AO1250">
        <v>21636</v>
      </c>
      <c r="AU1250">
        <v>1.5</v>
      </c>
      <c r="AV1250" t="s">
        <v>426</v>
      </c>
      <c r="AW1250" t="s">
        <v>7341</v>
      </c>
      <c r="AX1250" t="s">
        <v>7377</v>
      </c>
    </row>
    <row r="1251" spans="1:50">
      <c r="A1251" s="1">
        <f>HYPERLINK("https://lsnyc.legalserver.org/matter/dynamic-profile/view/1836155","17-1836155")</f>
        <v>0</v>
      </c>
      <c r="B1251" t="s">
        <v>56</v>
      </c>
      <c r="C1251" t="s">
        <v>105</v>
      </c>
      <c r="D1251" t="s">
        <v>496</v>
      </c>
      <c r="F1251" t="s">
        <v>1108</v>
      </c>
      <c r="G1251" t="s">
        <v>1913</v>
      </c>
      <c r="H1251" t="s">
        <v>3078</v>
      </c>
      <c r="I1251" t="s">
        <v>3345</v>
      </c>
      <c r="J1251" t="s">
        <v>3604</v>
      </c>
      <c r="K1251">
        <v>10040</v>
      </c>
      <c r="L1251" t="s">
        <v>3610</v>
      </c>
      <c r="M1251" t="s">
        <v>3609</v>
      </c>
      <c r="N1251" t="s">
        <v>3656</v>
      </c>
      <c r="O1251" t="s">
        <v>4213</v>
      </c>
      <c r="P1251" t="s">
        <v>4243</v>
      </c>
      <c r="R1251" t="s">
        <v>4258</v>
      </c>
      <c r="S1251" t="s">
        <v>3610</v>
      </c>
      <c r="U1251" t="s">
        <v>4268</v>
      </c>
      <c r="W1251" t="s">
        <v>4299</v>
      </c>
      <c r="X1251">
        <v>1045.94</v>
      </c>
      <c r="Y1251" t="s">
        <v>4351</v>
      </c>
      <c r="Z1251" t="s">
        <v>4352</v>
      </c>
      <c r="AB1251" t="s">
        <v>4962</v>
      </c>
      <c r="AD1251" t="s">
        <v>6339</v>
      </c>
      <c r="AE1251">
        <v>45</v>
      </c>
      <c r="AF1251" t="s">
        <v>7101</v>
      </c>
      <c r="AG1251" t="s">
        <v>3745</v>
      </c>
      <c r="AH1251">
        <v>36</v>
      </c>
      <c r="AI1251">
        <v>3</v>
      </c>
      <c r="AJ1251">
        <v>0</v>
      </c>
      <c r="AK1251">
        <v>173.36</v>
      </c>
      <c r="AL1251" t="s">
        <v>246</v>
      </c>
      <c r="AN1251" t="s">
        <v>7139</v>
      </c>
      <c r="AO1251">
        <v>45648</v>
      </c>
      <c r="AU1251">
        <v>92.95999999999999</v>
      </c>
      <c r="AV1251" t="s">
        <v>131</v>
      </c>
      <c r="AW1251" t="s">
        <v>7341</v>
      </c>
    </row>
    <row r="1252" spans="1:50">
      <c r="A1252" s="1">
        <f>HYPERLINK("https://lsnyc.legalserver.org/matter/dynamic-profile/view/0830972","17-0830972")</f>
        <v>0</v>
      </c>
      <c r="B1252" t="s">
        <v>64</v>
      </c>
      <c r="C1252" t="s">
        <v>105</v>
      </c>
      <c r="D1252" t="s">
        <v>450</v>
      </c>
      <c r="F1252" t="s">
        <v>1345</v>
      </c>
      <c r="G1252" t="s">
        <v>706</v>
      </c>
      <c r="H1252" t="s">
        <v>2681</v>
      </c>
      <c r="I1252">
        <v>5</v>
      </c>
      <c r="J1252" t="s">
        <v>3604</v>
      </c>
      <c r="K1252">
        <v>10032</v>
      </c>
      <c r="L1252" t="s">
        <v>3609</v>
      </c>
      <c r="M1252" t="s">
        <v>3609</v>
      </c>
      <c r="N1252" t="s">
        <v>3741</v>
      </c>
      <c r="O1252" t="s">
        <v>4213</v>
      </c>
      <c r="P1252" t="s">
        <v>4241</v>
      </c>
      <c r="R1252" t="s">
        <v>4258</v>
      </c>
      <c r="S1252" t="s">
        <v>3610</v>
      </c>
      <c r="U1252" t="s">
        <v>4268</v>
      </c>
      <c r="W1252" t="s">
        <v>238</v>
      </c>
      <c r="X1252">
        <v>852.74</v>
      </c>
      <c r="Y1252" t="s">
        <v>4351</v>
      </c>
      <c r="Z1252" t="s">
        <v>4352</v>
      </c>
      <c r="AB1252" t="s">
        <v>5372</v>
      </c>
      <c r="AD1252" t="s">
        <v>6726</v>
      </c>
      <c r="AE1252">
        <v>44</v>
      </c>
      <c r="AF1252" t="s">
        <v>7101</v>
      </c>
      <c r="AG1252" t="s">
        <v>3745</v>
      </c>
      <c r="AH1252">
        <v>34</v>
      </c>
      <c r="AI1252">
        <v>6</v>
      </c>
      <c r="AJ1252">
        <v>0</v>
      </c>
      <c r="AK1252">
        <v>173.54</v>
      </c>
      <c r="AL1252" t="s">
        <v>4319</v>
      </c>
      <c r="AN1252" t="s">
        <v>7139</v>
      </c>
      <c r="AO1252">
        <v>57200</v>
      </c>
      <c r="AU1252">
        <v>1.65</v>
      </c>
      <c r="AV1252" t="s">
        <v>573</v>
      </c>
      <c r="AW1252" t="s">
        <v>7341</v>
      </c>
    </row>
    <row r="1253" spans="1:50">
      <c r="A1253" s="1">
        <f>HYPERLINK("https://lsnyc.legalserver.org/matter/dynamic-profile/view/0830986","17-0830986")</f>
        <v>0</v>
      </c>
      <c r="B1253" t="s">
        <v>64</v>
      </c>
      <c r="C1253" t="s">
        <v>104</v>
      </c>
      <c r="D1253" t="s">
        <v>450</v>
      </c>
      <c r="E1253" t="s">
        <v>280</v>
      </c>
      <c r="F1253" t="s">
        <v>1345</v>
      </c>
      <c r="G1253" t="s">
        <v>706</v>
      </c>
      <c r="H1253" t="s">
        <v>2681</v>
      </c>
      <c r="I1253">
        <v>5</v>
      </c>
      <c r="J1253" t="s">
        <v>3604</v>
      </c>
      <c r="K1253">
        <v>10032</v>
      </c>
      <c r="L1253" t="s">
        <v>3609</v>
      </c>
      <c r="M1253" t="s">
        <v>3609</v>
      </c>
      <c r="O1253" t="s">
        <v>4211</v>
      </c>
      <c r="P1253" t="s">
        <v>4244</v>
      </c>
      <c r="Q1253" t="s">
        <v>4254</v>
      </c>
      <c r="R1253" t="s">
        <v>4258</v>
      </c>
      <c r="S1253" t="s">
        <v>3610</v>
      </c>
      <c r="U1253" t="s">
        <v>4268</v>
      </c>
      <c r="W1253" t="s">
        <v>238</v>
      </c>
      <c r="X1253">
        <v>852.74</v>
      </c>
      <c r="Y1253" t="s">
        <v>4351</v>
      </c>
      <c r="Z1253" t="s">
        <v>4352</v>
      </c>
      <c r="AA1253" t="s">
        <v>4377</v>
      </c>
      <c r="AB1253" t="s">
        <v>5372</v>
      </c>
      <c r="AD1253" t="s">
        <v>6726</v>
      </c>
      <c r="AE1253">
        <v>44</v>
      </c>
      <c r="AF1253" t="s">
        <v>7101</v>
      </c>
      <c r="AG1253" t="s">
        <v>3745</v>
      </c>
      <c r="AH1253">
        <v>34</v>
      </c>
      <c r="AI1253">
        <v>6</v>
      </c>
      <c r="AJ1253">
        <v>0</v>
      </c>
      <c r="AK1253">
        <v>173.54</v>
      </c>
      <c r="AL1253" t="s">
        <v>4319</v>
      </c>
      <c r="AN1253" t="s">
        <v>7139</v>
      </c>
      <c r="AO1253">
        <v>114400</v>
      </c>
      <c r="AU1253">
        <v>0.1</v>
      </c>
      <c r="AV1253" t="s">
        <v>280</v>
      </c>
      <c r="AW1253" t="s">
        <v>7341</v>
      </c>
    </row>
    <row r="1254" spans="1:50">
      <c r="A1254" s="1">
        <f>HYPERLINK("https://lsnyc.legalserver.org/matter/dynamic-profile/view/0820883","16-0820883")</f>
        <v>0</v>
      </c>
      <c r="B1254" t="s">
        <v>82</v>
      </c>
      <c r="C1254" t="s">
        <v>104</v>
      </c>
      <c r="D1254" t="s">
        <v>595</v>
      </c>
      <c r="E1254" t="s">
        <v>271</v>
      </c>
      <c r="F1254" t="s">
        <v>872</v>
      </c>
      <c r="G1254" t="s">
        <v>2204</v>
      </c>
      <c r="H1254" t="s">
        <v>2635</v>
      </c>
      <c r="I1254" t="s">
        <v>3294</v>
      </c>
      <c r="J1254" t="s">
        <v>3604</v>
      </c>
      <c r="K1254">
        <v>10034</v>
      </c>
      <c r="L1254" t="s">
        <v>3609</v>
      </c>
      <c r="M1254" t="s">
        <v>3609</v>
      </c>
      <c r="N1254" t="s">
        <v>4058</v>
      </c>
      <c r="O1254" t="s">
        <v>4209</v>
      </c>
      <c r="P1254" t="s">
        <v>4241</v>
      </c>
      <c r="Q1254" t="s">
        <v>4248</v>
      </c>
      <c r="R1254" t="s">
        <v>4258</v>
      </c>
      <c r="S1254" t="s">
        <v>3611</v>
      </c>
      <c r="U1254" t="s">
        <v>4268</v>
      </c>
      <c r="W1254" t="s">
        <v>595</v>
      </c>
      <c r="X1254">
        <v>961.4400000000001</v>
      </c>
      <c r="Y1254" t="s">
        <v>4351</v>
      </c>
      <c r="Z1254" t="s">
        <v>4228</v>
      </c>
      <c r="AA1254" t="s">
        <v>4374</v>
      </c>
      <c r="AB1254" t="s">
        <v>5373</v>
      </c>
      <c r="AD1254" t="s">
        <v>6727</v>
      </c>
      <c r="AE1254">
        <v>25</v>
      </c>
      <c r="AF1254" t="s">
        <v>7101</v>
      </c>
      <c r="AG1254" t="s">
        <v>7118</v>
      </c>
      <c r="AH1254">
        <v>2</v>
      </c>
      <c r="AI1254">
        <v>2</v>
      </c>
      <c r="AJ1254">
        <v>1</v>
      </c>
      <c r="AK1254">
        <v>173.61</v>
      </c>
      <c r="AN1254" t="s">
        <v>7139</v>
      </c>
      <c r="AO1254">
        <v>35000</v>
      </c>
      <c r="AU1254">
        <v>23.25</v>
      </c>
      <c r="AV1254" t="s">
        <v>378</v>
      </c>
      <c r="AW1254" t="s">
        <v>7341</v>
      </c>
    </row>
    <row r="1255" spans="1:50">
      <c r="A1255" s="1">
        <f>HYPERLINK("https://lsnyc.legalserver.org/matter/dynamic-profile/view/1844711","17-1844711")</f>
        <v>0</v>
      </c>
      <c r="B1255" t="s">
        <v>61</v>
      </c>
      <c r="C1255" t="s">
        <v>104</v>
      </c>
      <c r="D1255" t="s">
        <v>514</v>
      </c>
      <c r="E1255" t="s">
        <v>662</v>
      </c>
      <c r="F1255" t="s">
        <v>854</v>
      </c>
      <c r="G1255" t="s">
        <v>1862</v>
      </c>
      <c r="H1255" t="s">
        <v>2882</v>
      </c>
      <c r="I1255" t="s">
        <v>3480</v>
      </c>
      <c r="J1255" t="s">
        <v>3604</v>
      </c>
      <c r="K1255">
        <v>10034</v>
      </c>
      <c r="L1255" t="s">
        <v>3610</v>
      </c>
      <c r="M1255" t="s">
        <v>3609</v>
      </c>
      <c r="O1255" t="s">
        <v>4210</v>
      </c>
      <c r="P1255" t="s">
        <v>4245</v>
      </c>
      <c r="Q1255" t="s">
        <v>4249</v>
      </c>
      <c r="R1255" t="s">
        <v>4258</v>
      </c>
      <c r="S1255" t="s">
        <v>3611</v>
      </c>
      <c r="U1255" t="s">
        <v>4268</v>
      </c>
      <c r="W1255" t="s">
        <v>133</v>
      </c>
      <c r="X1255">
        <v>1254</v>
      </c>
      <c r="Y1255" t="s">
        <v>4351</v>
      </c>
      <c r="Z1255" t="s">
        <v>4354</v>
      </c>
      <c r="AA1255" t="s">
        <v>4394</v>
      </c>
      <c r="AB1255" t="s">
        <v>5374</v>
      </c>
      <c r="AD1255" t="s">
        <v>6728</v>
      </c>
      <c r="AE1255">
        <v>73</v>
      </c>
      <c r="AF1255" t="s">
        <v>7101</v>
      </c>
      <c r="AG1255" t="s">
        <v>3745</v>
      </c>
      <c r="AH1255">
        <v>12</v>
      </c>
      <c r="AI1255">
        <v>3</v>
      </c>
      <c r="AJ1255">
        <v>0</v>
      </c>
      <c r="AK1255">
        <v>173.67</v>
      </c>
      <c r="AN1255" t="s">
        <v>7139</v>
      </c>
      <c r="AO1255">
        <v>35464</v>
      </c>
      <c r="AU1255">
        <v>6.7</v>
      </c>
      <c r="AV1255" t="s">
        <v>226</v>
      </c>
      <c r="AW1255" t="s">
        <v>7342</v>
      </c>
    </row>
    <row r="1256" spans="1:50">
      <c r="A1256" s="1">
        <f>HYPERLINK("https://lsnyc.legalserver.org/matter/dynamic-profile/view/1849707","17-1849707")</f>
        <v>0</v>
      </c>
      <c r="B1256" t="s">
        <v>64</v>
      </c>
      <c r="C1256" t="s">
        <v>105</v>
      </c>
      <c r="D1256" t="s">
        <v>596</v>
      </c>
      <c r="F1256" t="s">
        <v>1103</v>
      </c>
      <c r="G1256" t="s">
        <v>2205</v>
      </c>
      <c r="H1256" t="s">
        <v>2642</v>
      </c>
      <c r="I1256" t="s">
        <v>3520</v>
      </c>
      <c r="J1256" t="s">
        <v>3604</v>
      </c>
      <c r="K1256">
        <v>10034</v>
      </c>
      <c r="L1256" t="s">
        <v>3610</v>
      </c>
      <c r="M1256" t="s">
        <v>3609</v>
      </c>
      <c r="O1256" t="s">
        <v>4213</v>
      </c>
      <c r="P1256" t="s">
        <v>4241</v>
      </c>
      <c r="R1256" t="s">
        <v>4258</v>
      </c>
      <c r="S1256" t="s">
        <v>3610</v>
      </c>
      <c r="U1256" t="s">
        <v>4268</v>
      </c>
      <c r="W1256" t="s">
        <v>596</v>
      </c>
      <c r="X1256">
        <v>958</v>
      </c>
      <c r="Y1256" t="s">
        <v>4351</v>
      </c>
      <c r="Z1256" t="s">
        <v>4354</v>
      </c>
      <c r="AB1256" t="s">
        <v>5375</v>
      </c>
      <c r="AD1256" t="s">
        <v>6729</v>
      </c>
      <c r="AE1256">
        <v>49</v>
      </c>
      <c r="AF1256" t="s">
        <v>7101</v>
      </c>
      <c r="AG1256" t="s">
        <v>3745</v>
      </c>
      <c r="AH1256">
        <v>14</v>
      </c>
      <c r="AI1256">
        <v>2</v>
      </c>
      <c r="AJ1256">
        <v>3</v>
      </c>
      <c r="AK1256">
        <v>173.73</v>
      </c>
      <c r="AN1256" t="s">
        <v>7139</v>
      </c>
      <c r="AO1256">
        <v>50000</v>
      </c>
      <c r="AU1256">
        <v>1.1</v>
      </c>
      <c r="AV1256" t="s">
        <v>335</v>
      </c>
      <c r="AW1256" t="s">
        <v>7342</v>
      </c>
    </row>
    <row r="1257" spans="1:50">
      <c r="A1257" s="1">
        <f>HYPERLINK("https://lsnyc.legalserver.org/matter/dynamic-profile/view/1862226","18-1862226")</f>
        <v>0</v>
      </c>
      <c r="B1257" t="s">
        <v>53</v>
      </c>
      <c r="C1257" t="s">
        <v>105</v>
      </c>
      <c r="D1257" t="s">
        <v>250</v>
      </c>
      <c r="F1257" t="s">
        <v>1273</v>
      </c>
      <c r="G1257" t="s">
        <v>1957</v>
      </c>
      <c r="H1257" t="s">
        <v>2471</v>
      </c>
      <c r="I1257" t="s">
        <v>3274</v>
      </c>
      <c r="J1257" t="s">
        <v>3604</v>
      </c>
      <c r="K1257">
        <v>10034</v>
      </c>
      <c r="L1257" t="s">
        <v>3610</v>
      </c>
      <c r="M1257" t="s">
        <v>3609</v>
      </c>
      <c r="N1257" t="s">
        <v>3772</v>
      </c>
      <c r="O1257" t="s">
        <v>4213</v>
      </c>
      <c r="P1257" t="s">
        <v>4241</v>
      </c>
      <c r="R1257" t="s">
        <v>4258</v>
      </c>
      <c r="S1257" t="s">
        <v>3610</v>
      </c>
      <c r="U1257" t="s">
        <v>4268</v>
      </c>
      <c r="W1257" t="s">
        <v>250</v>
      </c>
      <c r="X1257">
        <v>1108.03</v>
      </c>
      <c r="Y1257" t="s">
        <v>4351</v>
      </c>
      <c r="Z1257" t="s">
        <v>4354</v>
      </c>
      <c r="AB1257" t="s">
        <v>5376</v>
      </c>
      <c r="AD1257" t="s">
        <v>6730</v>
      </c>
      <c r="AE1257">
        <v>60</v>
      </c>
      <c r="AF1257" t="s">
        <v>7101</v>
      </c>
      <c r="AG1257" t="s">
        <v>3745</v>
      </c>
      <c r="AH1257">
        <v>23</v>
      </c>
      <c r="AI1257">
        <v>2</v>
      </c>
      <c r="AJ1257">
        <v>0</v>
      </c>
      <c r="AK1257">
        <v>173.75</v>
      </c>
      <c r="AN1257" t="s">
        <v>7139</v>
      </c>
      <c r="AO1257">
        <v>28600</v>
      </c>
      <c r="AU1257">
        <v>0</v>
      </c>
      <c r="AW1257" t="s">
        <v>7342</v>
      </c>
    </row>
    <row r="1258" spans="1:50">
      <c r="A1258" s="1">
        <f>HYPERLINK("https://lsnyc.legalserver.org/matter/dynamic-profile/view/1865839","18-1865839")</f>
        <v>0</v>
      </c>
      <c r="B1258" t="s">
        <v>72</v>
      </c>
      <c r="C1258" t="s">
        <v>104</v>
      </c>
      <c r="D1258" t="s">
        <v>392</v>
      </c>
      <c r="E1258" t="s">
        <v>424</v>
      </c>
      <c r="F1258" t="s">
        <v>1342</v>
      </c>
      <c r="G1258" t="s">
        <v>2206</v>
      </c>
      <c r="H1258" t="s">
        <v>2565</v>
      </c>
      <c r="I1258" t="s">
        <v>3318</v>
      </c>
      <c r="J1258" t="s">
        <v>3604</v>
      </c>
      <c r="K1258">
        <v>10031</v>
      </c>
      <c r="L1258" t="s">
        <v>3610</v>
      </c>
      <c r="M1258" t="s">
        <v>3610</v>
      </c>
      <c r="O1258" t="s">
        <v>4209</v>
      </c>
      <c r="P1258" t="s">
        <v>4245</v>
      </c>
      <c r="Q1258" t="s">
        <v>4249</v>
      </c>
      <c r="R1258" t="s">
        <v>4258</v>
      </c>
      <c r="S1258" t="s">
        <v>3611</v>
      </c>
      <c r="U1258" t="s">
        <v>4268</v>
      </c>
      <c r="V1258" t="s">
        <v>4274</v>
      </c>
      <c r="W1258" t="s">
        <v>392</v>
      </c>
      <c r="X1258">
        <v>2696</v>
      </c>
      <c r="Y1258" t="s">
        <v>4351</v>
      </c>
      <c r="Z1258" t="s">
        <v>4357</v>
      </c>
      <c r="AA1258" t="s">
        <v>4373</v>
      </c>
      <c r="AB1258" t="s">
        <v>5369</v>
      </c>
      <c r="AD1258" t="s">
        <v>6723</v>
      </c>
      <c r="AE1258">
        <v>44</v>
      </c>
      <c r="AF1258" t="s">
        <v>7106</v>
      </c>
      <c r="AG1258" t="s">
        <v>7116</v>
      </c>
      <c r="AH1258">
        <v>0</v>
      </c>
      <c r="AI1258">
        <v>2</v>
      </c>
      <c r="AJ1258">
        <v>0</v>
      </c>
      <c r="AK1258">
        <v>174.46</v>
      </c>
      <c r="AN1258" t="s">
        <v>7139</v>
      </c>
      <c r="AO1258">
        <v>47854</v>
      </c>
      <c r="AU1258">
        <v>0.1</v>
      </c>
      <c r="AV1258" t="s">
        <v>426</v>
      </c>
      <c r="AW1258" t="s">
        <v>7341</v>
      </c>
      <c r="AX1258" t="s">
        <v>7377</v>
      </c>
    </row>
    <row r="1259" spans="1:50">
      <c r="A1259" s="1">
        <f>HYPERLINK("https://lsnyc.legalserver.org/matter/dynamic-profile/view/0826282","17-0826282")</f>
        <v>0</v>
      </c>
      <c r="B1259" t="s">
        <v>64</v>
      </c>
      <c r="C1259" t="s">
        <v>104</v>
      </c>
      <c r="D1259" t="s">
        <v>597</v>
      </c>
      <c r="E1259" t="s">
        <v>277</v>
      </c>
      <c r="F1259" t="s">
        <v>1335</v>
      </c>
      <c r="G1259" t="s">
        <v>2194</v>
      </c>
      <c r="H1259" t="s">
        <v>2576</v>
      </c>
      <c r="I1259" t="s">
        <v>3518</v>
      </c>
      <c r="J1259" t="s">
        <v>3604</v>
      </c>
      <c r="K1259">
        <v>10040</v>
      </c>
      <c r="L1259" t="s">
        <v>3610</v>
      </c>
      <c r="M1259" t="s">
        <v>3609</v>
      </c>
      <c r="N1259" t="s">
        <v>3780</v>
      </c>
      <c r="O1259" t="s">
        <v>4213</v>
      </c>
      <c r="P1259" t="s">
        <v>4241</v>
      </c>
      <c r="Q1259" t="s">
        <v>4248</v>
      </c>
      <c r="R1259" t="s">
        <v>4258</v>
      </c>
      <c r="S1259" t="s">
        <v>3610</v>
      </c>
      <c r="U1259" t="s">
        <v>4268</v>
      </c>
      <c r="W1259" t="s">
        <v>332</v>
      </c>
      <c r="X1259">
        <v>838.13</v>
      </c>
      <c r="Y1259" t="s">
        <v>4351</v>
      </c>
      <c r="Z1259" t="s">
        <v>4352</v>
      </c>
      <c r="AA1259" t="s">
        <v>4379</v>
      </c>
      <c r="AB1259" t="s">
        <v>5360</v>
      </c>
      <c r="AD1259" t="s">
        <v>6715</v>
      </c>
      <c r="AE1259">
        <v>83</v>
      </c>
      <c r="AF1259" t="s">
        <v>7101</v>
      </c>
      <c r="AG1259" t="s">
        <v>3745</v>
      </c>
      <c r="AH1259">
        <v>4</v>
      </c>
      <c r="AI1259">
        <v>1</v>
      </c>
      <c r="AJ1259">
        <v>0</v>
      </c>
      <c r="AK1259">
        <v>175.08</v>
      </c>
      <c r="AL1259" t="s">
        <v>518</v>
      </c>
      <c r="AN1259" t="s">
        <v>7138</v>
      </c>
      <c r="AO1259">
        <v>20800</v>
      </c>
      <c r="AU1259">
        <v>0</v>
      </c>
      <c r="AV1259" t="s">
        <v>191</v>
      </c>
      <c r="AW1259" t="s">
        <v>7341</v>
      </c>
    </row>
    <row r="1260" spans="1:50">
      <c r="A1260" s="1">
        <f>HYPERLINK("https://lsnyc.legalserver.org/matter/dynamic-profile/view/0821607","16-0821607")</f>
        <v>0</v>
      </c>
      <c r="B1260" t="s">
        <v>82</v>
      </c>
      <c r="C1260" t="s">
        <v>104</v>
      </c>
      <c r="D1260" t="s">
        <v>436</v>
      </c>
      <c r="E1260" t="s">
        <v>488</v>
      </c>
      <c r="F1260" t="s">
        <v>1326</v>
      </c>
      <c r="G1260" t="s">
        <v>1642</v>
      </c>
      <c r="H1260" t="s">
        <v>2860</v>
      </c>
      <c r="I1260" t="s">
        <v>3274</v>
      </c>
      <c r="J1260" t="s">
        <v>3604</v>
      </c>
      <c r="K1260">
        <v>10034</v>
      </c>
      <c r="L1260" t="s">
        <v>3609</v>
      </c>
      <c r="M1260" t="s">
        <v>3609</v>
      </c>
      <c r="O1260" t="s">
        <v>4211</v>
      </c>
      <c r="P1260" t="s">
        <v>4244</v>
      </c>
      <c r="Q1260" t="s">
        <v>4249</v>
      </c>
      <c r="R1260" t="s">
        <v>4258</v>
      </c>
      <c r="S1260" t="s">
        <v>3610</v>
      </c>
      <c r="U1260" t="s">
        <v>4268</v>
      </c>
      <c r="W1260" t="s">
        <v>436</v>
      </c>
      <c r="X1260">
        <v>1800</v>
      </c>
      <c r="Y1260" t="s">
        <v>4351</v>
      </c>
      <c r="Z1260" t="s">
        <v>4357</v>
      </c>
      <c r="AA1260" t="s">
        <v>4373</v>
      </c>
      <c r="AB1260" t="s">
        <v>5343</v>
      </c>
      <c r="AD1260" t="s">
        <v>6701</v>
      </c>
      <c r="AE1260">
        <v>48</v>
      </c>
      <c r="AF1260" t="s">
        <v>7101</v>
      </c>
      <c r="AG1260" t="s">
        <v>3745</v>
      </c>
      <c r="AH1260">
        <v>0</v>
      </c>
      <c r="AI1260">
        <v>1</v>
      </c>
      <c r="AJ1260">
        <v>0</v>
      </c>
      <c r="AK1260">
        <v>175.08</v>
      </c>
      <c r="AN1260" t="s">
        <v>7139</v>
      </c>
      <c r="AO1260">
        <v>20800</v>
      </c>
      <c r="AU1260">
        <v>2.9</v>
      </c>
      <c r="AV1260" t="s">
        <v>202</v>
      </c>
      <c r="AW1260" t="s">
        <v>7341</v>
      </c>
    </row>
    <row r="1261" spans="1:50">
      <c r="A1261" s="1">
        <f>HYPERLINK("https://lsnyc.legalserver.org/matter/dynamic-profile/view/1873795","18-1873795")</f>
        <v>0</v>
      </c>
      <c r="B1261" t="s">
        <v>62</v>
      </c>
      <c r="C1261" t="s">
        <v>105</v>
      </c>
      <c r="D1261" t="s">
        <v>287</v>
      </c>
      <c r="F1261" t="s">
        <v>1346</v>
      </c>
      <c r="G1261" t="s">
        <v>1753</v>
      </c>
      <c r="H1261" t="s">
        <v>2488</v>
      </c>
      <c r="I1261" t="s">
        <v>3521</v>
      </c>
      <c r="J1261" t="s">
        <v>3604</v>
      </c>
      <c r="K1261">
        <v>10033</v>
      </c>
      <c r="L1261" t="s">
        <v>3610</v>
      </c>
      <c r="M1261" t="s">
        <v>3610</v>
      </c>
      <c r="O1261" t="s">
        <v>4213</v>
      </c>
      <c r="P1261" t="s">
        <v>4245</v>
      </c>
      <c r="R1261" t="s">
        <v>4258</v>
      </c>
      <c r="S1261" t="s">
        <v>3610</v>
      </c>
      <c r="U1261" t="s">
        <v>4268</v>
      </c>
      <c r="W1261" t="s">
        <v>287</v>
      </c>
      <c r="X1261">
        <v>1495</v>
      </c>
      <c r="Y1261" t="s">
        <v>4351</v>
      </c>
      <c r="Z1261" t="s">
        <v>4352</v>
      </c>
      <c r="AB1261" t="s">
        <v>5377</v>
      </c>
      <c r="AD1261" t="s">
        <v>6731</v>
      </c>
      <c r="AE1261">
        <v>232</v>
      </c>
      <c r="AF1261" t="s">
        <v>7101</v>
      </c>
      <c r="AG1261" t="s">
        <v>3745</v>
      </c>
      <c r="AH1261">
        <v>15</v>
      </c>
      <c r="AI1261">
        <v>3</v>
      </c>
      <c r="AJ1261">
        <v>0</v>
      </c>
      <c r="AK1261">
        <v>175.17</v>
      </c>
      <c r="AN1261" t="s">
        <v>7139</v>
      </c>
      <c r="AO1261">
        <v>36400</v>
      </c>
      <c r="AU1261">
        <v>1</v>
      </c>
      <c r="AV1261" t="s">
        <v>663</v>
      </c>
      <c r="AW1261" t="s">
        <v>7342</v>
      </c>
    </row>
    <row r="1262" spans="1:50">
      <c r="A1262" s="1">
        <f>HYPERLINK("https://lsnyc.legalserver.org/matter/dynamic-profile/view/0822350","16-0822350")</f>
        <v>0</v>
      </c>
      <c r="B1262" t="s">
        <v>63</v>
      </c>
      <c r="C1262" t="s">
        <v>105</v>
      </c>
      <c r="D1262" t="s">
        <v>560</v>
      </c>
      <c r="F1262" t="s">
        <v>1347</v>
      </c>
      <c r="G1262" t="s">
        <v>1844</v>
      </c>
      <c r="H1262" t="s">
        <v>2652</v>
      </c>
      <c r="I1262" t="s">
        <v>3274</v>
      </c>
      <c r="J1262" t="s">
        <v>3604</v>
      </c>
      <c r="K1262">
        <v>10034</v>
      </c>
      <c r="L1262" t="s">
        <v>3610</v>
      </c>
      <c r="M1262" t="s">
        <v>3609</v>
      </c>
      <c r="O1262" t="s">
        <v>4220</v>
      </c>
      <c r="P1262" t="s">
        <v>4243</v>
      </c>
      <c r="R1262" t="s">
        <v>4258</v>
      </c>
      <c r="S1262" t="s">
        <v>3610</v>
      </c>
      <c r="U1262" t="s">
        <v>4268</v>
      </c>
      <c r="W1262" t="s">
        <v>518</v>
      </c>
      <c r="X1262">
        <v>1223.63</v>
      </c>
      <c r="Y1262" t="s">
        <v>4351</v>
      </c>
      <c r="Z1262" t="s">
        <v>4352</v>
      </c>
      <c r="AB1262" t="s">
        <v>5378</v>
      </c>
      <c r="AD1262" t="s">
        <v>6732</v>
      </c>
      <c r="AE1262">
        <v>22</v>
      </c>
      <c r="AF1262" t="s">
        <v>7101</v>
      </c>
      <c r="AG1262" t="s">
        <v>3745</v>
      </c>
      <c r="AH1262">
        <v>5</v>
      </c>
      <c r="AI1262">
        <v>2</v>
      </c>
      <c r="AJ1262">
        <v>2</v>
      </c>
      <c r="AK1262">
        <v>175.47</v>
      </c>
      <c r="AN1262" t="s">
        <v>7139</v>
      </c>
      <c r="AO1262">
        <v>58240</v>
      </c>
      <c r="AU1262">
        <v>0.2</v>
      </c>
      <c r="AV1262" t="s">
        <v>254</v>
      </c>
      <c r="AW1262" t="s">
        <v>7341</v>
      </c>
    </row>
    <row r="1263" spans="1:50">
      <c r="A1263" s="1">
        <f>HYPERLINK("https://lsnyc.legalserver.org/matter/dynamic-profile/view/1873222","18-1873222")</f>
        <v>0</v>
      </c>
      <c r="B1263" t="s">
        <v>61</v>
      </c>
      <c r="C1263" t="s">
        <v>104</v>
      </c>
      <c r="D1263" t="s">
        <v>260</v>
      </c>
      <c r="E1263" t="s">
        <v>668</v>
      </c>
      <c r="F1263" t="s">
        <v>1263</v>
      </c>
      <c r="G1263" t="s">
        <v>2207</v>
      </c>
      <c r="H1263" t="s">
        <v>3079</v>
      </c>
      <c r="I1263">
        <v>46</v>
      </c>
      <c r="J1263" t="s">
        <v>3604</v>
      </c>
      <c r="K1263">
        <v>10040</v>
      </c>
      <c r="L1263" t="s">
        <v>3610</v>
      </c>
      <c r="M1263" t="s">
        <v>3610</v>
      </c>
      <c r="O1263" t="s">
        <v>4221</v>
      </c>
      <c r="P1263" t="s">
        <v>4244</v>
      </c>
      <c r="Q1263" t="s">
        <v>4251</v>
      </c>
      <c r="R1263" t="s">
        <v>4258</v>
      </c>
      <c r="S1263" t="s">
        <v>3611</v>
      </c>
      <c r="U1263" t="s">
        <v>4268</v>
      </c>
      <c r="W1263" t="s">
        <v>260</v>
      </c>
      <c r="X1263">
        <v>824.09</v>
      </c>
      <c r="Y1263" t="s">
        <v>4351</v>
      </c>
      <c r="Z1263" t="s">
        <v>4357</v>
      </c>
      <c r="AA1263" t="s">
        <v>4384</v>
      </c>
      <c r="AB1263" t="s">
        <v>5379</v>
      </c>
      <c r="AD1263" t="s">
        <v>6733</v>
      </c>
      <c r="AE1263">
        <v>80</v>
      </c>
      <c r="AF1263" t="s">
        <v>7101</v>
      </c>
      <c r="AG1263" t="s">
        <v>3745</v>
      </c>
      <c r="AH1263">
        <v>37</v>
      </c>
      <c r="AI1263">
        <v>2</v>
      </c>
      <c r="AJ1263">
        <v>0</v>
      </c>
      <c r="AK1263">
        <v>175.65</v>
      </c>
      <c r="AN1263" t="s">
        <v>7139</v>
      </c>
      <c r="AO1263">
        <v>28911.6</v>
      </c>
      <c r="AU1263">
        <v>0.6</v>
      </c>
      <c r="AV1263" t="s">
        <v>668</v>
      </c>
      <c r="AW1263" t="s">
        <v>7342</v>
      </c>
      <c r="AX1263" t="s">
        <v>7377</v>
      </c>
    </row>
    <row r="1264" spans="1:50">
      <c r="A1264" s="1">
        <f>HYPERLINK("https://lsnyc.legalserver.org/matter/dynamic-profile/view/1867973","18-1867973")</f>
        <v>0</v>
      </c>
      <c r="B1264" t="s">
        <v>61</v>
      </c>
      <c r="C1264" t="s">
        <v>105</v>
      </c>
      <c r="D1264" t="s">
        <v>473</v>
      </c>
      <c r="F1264" t="s">
        <v>733</v>
      </c>
      <c r="G1264" t="s">
        <v>2207</v>
      </c>
      <c r="H1264" t="s">
        <v>3079</v>
      </c>
      <c r="I1264">
        <v>46</v>
      </c>
      <c r="J1264" t="s">
        <v>3604</v>
      </c>
      <c r="K1264">
        <v>10040</v>
      </c>
      <c r="L1264" t="s">
        <v>3610</v>
      </c>
      <c r="M1264" t="s">
        <v>3609</v>
      </c>
      <c r="O1264" t="s">
        <v>4219</v>
      </c>
      <c r="P1264" t="s">
        <v>4244</v>
      </c>
      <c r="R1264" t="s">
        <v>4258</v>
      </c>
      <c r="S1264" t="s">
        <v>3611</v>
      </c>
      <c r="U1264" t="s">
        <v>4268</v>
      </c>
      <c r="W1264" t="s">
        <v>473</v>
      </c>
      <c r="X1264">
        <v>762.01</v>
      </c>
      <c r="Y1264" t="s">
        <v>4351</v>
      </c>
      <c r="Z1264" t="s">
        <v>4357</v>
      </c>
      <c r="AB1264" t="s">
        <v>5380</v>
      </c>
      <c r="AD1264" t="s">
        <v>6734</v>
      </c>
      <c r="AE1264">
        <v>80</v>
      </c>
      <c r="AF1264" t="s">
        <v>7101</v>
      </c>
      <c r="AG1264" t="s">
        <v>3745</v>
      </c>
      <c r="AH1264">
        <v>37</v>
      </c>
      <c r="AI1264">
        <v>2</v>
      </c>
      <c r="AJ1264">
        <v>0</v>
      </c>
      <c r="AK1264">
        <v>175.65</v>
      </c>
      <c r="AN1264" t="s">
        <v>7139</v>
      </c>
      <c r="AO1264">
        <v>28911.6</v>
      </c>
      <c r="AU1264">
        <v>15.1</v>
      </c>
      <c r="AV1264" t="s">
        <v>260</v>
      </c>
      <c r="AW1264" t="s">
        <v>7342</v>
      </c>
    </row>
    <row r="1265" spans="1:50">
      <c r="A1265" s="1">
        <f>HYPERLINK("https://lsnyc.legalserver.org/matter/dynamic-profile/view/1873224","18-1873224")</f>
        <v>0</v>
      </c>
      <c r="B1265" t="s">
        <v>61</v>
      </c>
      <c r="C1265" t="s">
        <v>105</v>
      </c>
      <c r="D1265" t="s">
        <v>260</v>
      </c>
      <c r="F1265" t="s">
        <v>1263</v>
      </c>
      <c r="G1265" t="s">
        <v>2207</v>
      </c>
      <c r="H1265" t="s">
        <v>3079</v>
      </c>
      <c r="I1265">
        <v>46</v>
      </c>
      <c r="J1265" t="s">
        <v>3604</v>
      </c>
      <c r="K1265">
        <v>10040</v>
      </c>
      <c r="L1265" t="s">
        <v>3610</v>
      </c>
      <c r="M1265" t="s">
        <v>3610</v>
      </c>
      <c r="O1265" t="s">
        <v>4219</v>
      </c>
      <c r="P1265" t="s">
        <v>4244</v>
      </c>
      <c r="R1265" t="s">
        <v>4258</v>
      </c>
      <c r="S1265" t="s">
        <v>3611</v>
      </c>
      <c r="U1265" t="s">
        <v>4268</v>
      </c>
      <c r="W1265" t="s">
        <v>260</v>
      </c>
      <c r="X1265">
        <v>824.09</v>
      </c>
      <c r="Y1265" t="s">
        <v>4351</v>
      </c>
      <c r="Z1265" t="s">
        <v>4357</v>
      </c>
      <c r="AB1265" t="s">
        <v>5379</v>
      </c>
      <c r="AD1265" t="s">
        <v>6733</v>
      </c>
      <c r="AE1265">
        <v>80</v>
      </c>
      <c r="AF1265" t="s">
        <v>7101</v>
      </c>
      <c r="AG1265" t="s">
        <v>3745</v>
      </c>
      <c r="AH1265">
        <v>37</v>
      </c>
      <c r="AI1265">
        <v>2</v>
      </c>
      <c r="AJ1265">
        <v>0</v>
      </c>
      <c r="AK1265">
        <v>175.65</v>
      </c>
      <c r="AN1265" t="s">
        <v>7139</v>
      </c>
      <c r="AO1265">
        <v>28911.6</v>
      </c>
      <c r="AU1265">
        <v>5.7</v>
      </c>
      <c r="AV1265" t="s">
        <v>665</v>
      </c>
      <c r="AW1265" t="s">
        <v>7342</v>
      </c>
      <c r="AX1265" t="s">
        <v>7377</v>
      </c>
    </row>
    <row r="1266" spans="1:50">
      <c r="A1266" s="1">
        <f>HYPERLINK("https://lsnyc.legalserver.org/matter/dynamic-profile/view/1866482","18-1866482")</f>
        <v>0</v>
      </c>
      <c r="B1266" t="s">
        <v>67</v>
      </c>
      <c r="C1266" t="s">
        <v>104</v>
      </c>
      <c r="D1266" t="s">
        <v>288</v>
      </c>
      <c r="E1266" t="s">
        <v>575</v>
      </c>
      <c r="F1266" t="s">
        <v>1348</v>
      </c>
      <c r="G1266" t="s">
        <v>2208</v>
      </c>
      <c r="H1266" t="s">
        <v>3080</v>
      </c>
      <c r="I1266">
        <v>6</v>
      </c>
      <c r="J1266" t="s">
        <v>3604</v>
      </c>
      <c r="K1266">
        <v>10035</v>
      </c>
      <c r="L1266" t="s">
        <v>3610</v>
      </c>
      <c r="M1266" t="s">
        <v>3610</v>
      </c>
      <c r="O1266" t="s">
        <v>4211</v>
      </c>
      <c r="P1266" t="s">
        <v>4242</v>
      </c>
      <c r="Q1266" t="s">
        <v>4250</v>
      </c>
      <c r="R1266" t="s">
        <v>4258</v>
      </c>
      <c r="S1266" t="s">
        <v>3611</v>
      </c>
      <c r="U1266" t="s">
        <v>4268</v>
      </c>
      <c r="V1266" t="s">
        <v>4274</v>
      </c>
      <c r="W1266" t="s">
        <v>288</v>
      </c>
      <c r="X1266">
        <v>1363</v>
      </c>
      <c r="Y1266" t="s">
        <v>4351</v>
      </c>
      <c r="Z1266" t="s">
        <v>4361</v>
      </c>
      <c r="AA1266" t="s">
        <v>4373</v>
      </c>
      <c r="AB1266" t="s">
        <v>5381</v>
      </c>
      <c r="AD1266" t="s">
        <v>6735</v>
      </c>
      <c r="AE1266">
        <v>8</v>
      </c>
      <c r="AF1266" t="s">
        <v>7101</v>
      </c>
      <c r="AG1266" t="s">
        <v>3745</v>
      </c>
      <c r="AH1266">
        <v>4</v>
      </c>
      <c r="AI1266">
        <v>4</v>
      </c>
      <c r="AJ1266">
        <v>0</v>
      </c>
      <c r="AK1266">
        <v>176.1</v>
      </c>
      <c r="AN1266" t="s">
        <v>7139</v>
      </c>
      <c r="AO1266">
        <v>44200</v>
      </c>
      <c r="AU1266">
        <v>0.1</v>
      </c>
      <c r="AV1266" t="s">
        <v>209</v>
      </c>
      <c r="AW1266" t="s">
        <v>7341</v>
      </c>
    </row>
    <row r="1267" spans="1:50">
      <c r="A1267" s="1">
        <f>HYPERLINK("https://lsnyc.legalserver.org/matter/dynamic-profile/view/1840957","17-1840957")</f>
        <v>0</v>
      </c>
      <c r="B1267" t="s">
        <v>64</v>
      </c>
      <c r="C1267" t="s">
        <v>104</v>
      </c>
      <c r="D1267" t="s">
        <v>563</v>
      </c>
      <c r="E1267" t="s">
        <v>271</v>
      </c>
      <c r="F1267" t="s">
        <v>1349</v>
      </c>
      <c r="G1267" t="s">
        <v>2209</v>
      </c>
      <c r="H1267" t="s">
        <v>2642</v>
      </c>
      <c r="I1267" t="s">
        <v>3337</v>
      </c>
      <c r="J1267" t="s">
        <v>3604</v>
      </c>
      <c r="K1267">
        <v>10034</v>
      </c>
      <c r="L1267" t="s">
        <v>3610</v>
      </c>
      <c r="M1267" t="s">
        <v>3609</v>
      </c>
      <c r="O1267" t="s">
        <v>4211</v>
      </c>
      <c r="P1267" t="s">
        <v>4244</v>
      </c>
      <c r="Q1267" t="s">
        <v>4254</v>
      </c>
      <c r="R1267" t="s">
        <v>4258</v>
      </c>
      <c r="S1267" t="s">
        <v>3611</v>
      </c>
      <c r="U1267" t="s">
        <v>4268</v>
      </c>
      <c r="W1267" t="s">
        <v>563</v>
      </c>
      <c r="X1267">
        <v>1019.79</v>
      </c>
      <c r="Y1267" t="s">
        <v>4351</v>
      </c>
      <c r="Z1267" t="s">
        <v>4354</v>
      </c>
      <c r="AA1267" t="s">
        <v>4377</v>
      </c>
      <c r="AB1267" t="s">
        <v>5382</v>
      </c>
      <c r="AD1267" t="s">
        <v>6736</v>
      </c>
      <c r="AE1267">
        <v>49</v>
      </c>
      <c r="AF1267" t="s">
        <v>7101</v>
      </c>
      <c r="AG1267" t="s">
        <v>3745</v>
      </c>
      <c r="AH1267">
        <v>25</v>
      </c>
      <c r="AI1267">
        <v>2</v>
      </c>
      <c r="AJ1267">
        <v>0</v>
      </c>
      <c r="AK1267">
        <v>176.11</v>
      </c>
      <c r="AN1267" t="s">
        <v>7139</v>
      </c>
      <c r="AO1267">
        <v>28600</v>
      </c>
      <c r="AU1267">
        <v>4.5</v>
      </c>
      <c r="AV1267" t="s">
        <v>494</v>
      </c>
      <c r="AW1267" t="s">
        <v>7342</v>
      </c>
    </row>
    <row r="1268" spans="1:50">
      <c r="A1268" s="1">
        <f>HYPERLINK("https://lsnyc.legalserver.org/matter/dynamic-profile/view/1874233","18-1874233")</f>
        <v>0</v>
      </c>
      <c r="B1268" t="s">
        <v>56</v>
      </c>
      <c r="C1268" t="s">
        <v>104</v>
      </c>
      <c r="D1268" t="s">
        <v>173</v>
      </c>
      <c r="E1268" t="s">
        <v>385</v>
      </c>
      <c r="F1268" t="s">
        <v>1350</v>
      </c>
      <c r="G1268" t="s">
        <v>2210</v>
      </c>
      <c r="H1268" t="s">
        <v>2577</v>
      </c>
      <c r="I1268" t="s">
        <v>3522</v>
      </c>
      <c r="J1268" t="s">
        <v>3604</v>
      </c>
      <c r="K1268">
        <v>10033</v>
      </c>
      <c r="L1268" t="s">
        <v>3610</v>
      </c>
      <c r="M1268" t="s">
        <v>3610</v>
      </c>
      <c r="O1268" t="s">
        <v>4218</v>
      </c>
      <c r="P1268" t="s">
        <v>4245</v>
      </c>
      <c r="Q1268" t="s">
        <v>4249</v>
      </c>
      <c r="R1268" t="s">
        <v>4258</v>
      </c>
      <c r="S1268" t="s">
        <v>3611</v>
      </c>
      <c r="U1268" t="s">
        <v>4268</v>
      </c>
      <c r="W1268" t="s">
        <v>173</v>
      </c>
      <c r="X1268">
        <v>857.13</v>
      </c>
      <c r="Y1268" t="s">
        <v>4351</v>
      </c>
      <c r="Z1268" t="s">
        <v>4354</v>
      </c>
      <c r="AA1268" t="s">
        <v>4377</v>
      </c>
      <c r="AB1268" t="s">
        <v>5383</v>
      </c>
      <c r="AD1268" t="s">
        <v>6737</v>
      </c>
      <c r="AE1268">
        <v>78</v>
      </c>
      <c r="AF1268" t="s">
        <v>7101</v>
      </c>
      <c r="AG1268" t="s">
        <v>3745</v>
      </c>
      <c r="AH1268">
        <v>39</v>
      </c>
      <c r="AI1268">
        <v>2</v>
      </c>
      <c r="AJ1268">
        <v>0</v>
      </c>
      <c r="AK1268">
        <v>176.18</v>
      </c>
      <c r="AN1268" t="s">
        <v>7138</v>
      </c>
      <c r="AO1268">
        <v>29000</v>
      </c>
      <c r="AU1268">
        <v>2</v>
      </c>
      <c r="AV1268" t="s">
        <v>385</v>
      </c>
      <c r="AW1268" t="s">
        <v>7342</v>
      </c>
    </row>
    <row r="1269" spans="1:50">
      <c r="A1269" s="1">
        <f>HYPERLINK("https://lsnyc.legalserver.org/matter/dynamic-profile/view/1842119","17-1842119")</f>
        <v>0</v>
      </c>
      <c r="B1269" t="s">
        <v>53</v>
      </c>
      <c r="C1269" t="s">
        <v>104</v>
      </c>
      <c r="D1269" t="s">
        <v>598</v>
      </c>
      <c r="E1269" t="s">
        <v>113</v>
      </c>
      <c r="F1269" t="s">
        <v>790</v>
      </c>
      <c r="G1269" t="s">
        <v>1790</v>
      </c>
      <c r="H1269" t="s">
        <v>2462</v>
      </c>
      <c r="I1269" t="s">
        <v>3282</v>
      </c>
      <c r="J1269" t="s">
        <v>3604</v>
      </c>
      <c r="K1269">
        <v>10040</v>
      </c>
      <c r="L1269" t="s">
        <v>3610</v>
      </c>
      <c r="M1269" t="s">
        <v>3610</v>
      </c>
      <c r="N1269" t="s">
        <v>3669</v>
      </c>
      <c r="O1269" t="s">
        <v>4213</v>
      </c>
      <c r="P1269" t="s">
        <v>4241</v>
      </c>
      <c r="Q1269" t="s">
        <v>4250</v>
      </c>
      <c r="R1269" t="s">
        <v>4258</v>
      </c>
      <c r="S1269" t="s">
        <v>3610</v>
      </c>
      <c r="U1269" t="s">
        <v>4268</v>
      </c>
      <c r="W1269" t="s">
        <v>133</v>
      </c>
      <c r="X1269">
        <v>944.4</v>
      </c>
      <c r="Y1269" t="s">
        <v>4351</v>
      </c>
      <c r="Z1269" t="s">
        <v>4354</v>
      </c>
      <c r="AA1269" t="s">
        <v>4373</v>
      </c>
      <c r="AB1269" t="s">
        <v>5384</v>
      </c>
      <c r="AD1269" t="s">
        <v>6738</v>
      </c>
      <c r="AE1269">
        <v>65</v>
      </c>
      <c r="AF1269" t="s">
        <v>7101</v>
      </c>
      <c r="AG1269" t="s">
        <v>3745</v>
      </c>
      <c r="AH1269">
        <v>25</v>
      </c>
      <c r="AI1269">
        <v>2</v>
      </c>
      <c r="AJ1269">
        <v>1</v>
      </c>
      <c r="AK1269">
        <v>176.42</v>
      </c>
      <c r="AN1269" t="s">
        <v>7139</v>
      </c>
      <c r="AO1269">
        <v>36024</v>
      </c>
      <c r="AU1269">
        <v>11.95</v>
      </c>
      <c r="AV1269" t="s">
        <v>113</v>
      </c>
      <c r="AW1269" t="s">
        <v>7342</v>
      </c>
    </row>
    <row r="1270" spans="1:50">
      <c r="A1270" s="1">
        <f>HYPERLINK("https://lsnyc.legalserver.org/matter/dynamic-profile/view/1862977","18-1862977")</f>
        <v>0</v>
      </c>
      <c r="B1270" t="s">
        <v>64</v>
      </c>
      <c r="C1270" t="s">
        <v>105</v>
      </c>
      <c r="D1270" t="s">
        <v>314</v>
      </c>
      <c r="F1270" t="s">
        <v>705</v>
      </c>
      <c r="G1270" t="s">
        <v>2211</v>
      </c>
      <c r="H1270" t="s">
        <v>3081</v>
      </c>
      <c r="I1270" t="s">
        <v>3311</v>
      </c>
      <c r="J1270" t="s">
        <v>3604</v>
      </c>
      <c r="K1270">
        <v>10034</v>
      </c>
      <c r="L1270" t="s">
        <v>3610</v>
      </c>
      <c r="M1270" t="s">
        <v>3609</v>
      </c>
      <c r="O1270" t="s">
        <v>4213</v>
      </c>
      <c r="P1270" t="s">
        <v>4241</v>
      </c>
      <c r="R1270" t="s">
        <v>4258</v>
      </c>
      <c r="S1270" t="s">
        <v>3610</v>
      </c>
      <c r="U1270" t="s">
        <v>4268</v>
      </c>
      <c r="W1270" t="s">
        <v>314</v>
      </c>
      <c r="X1270">
        <v>1347</v>
      </c>
      <c r="Y1270" t="s">
        <v>4351</v>
      </c>
      <c r="Z1270" t="s">
        <v>4354</v>
      </c>
      <c r="AB1270" t="s">
        <v>5385</v>
      </c>
      <c r="AD1270" t="s">
        <v>6739</v>
      </c>
      <c r="AE1270">
        <v>50</v>
      </c>
      <c r="AF1270" t="s">
        <v>7101</v>
      </c>
      <c r="AG1270" t="s">
        <v>3745</v>
      </c>
      <c r="AH1270">
        <v>4</v>
      </c>
      <c r="AI1270">
        <v>2</v>
      </c>
      <c r="AJ1270">
        <v>3</v>
      </c>
      <c r="AK1270">
        <v>176.75</v>
      </c>
      <c r="AN1270" t="s">
        <v>7139</v>
      </c>
      <c r="AO1270">
        <v>52000</v>
      </c>
      <c r="AU1270">
        <v>0.55</v>
      </c>
      <c r="AV1270" t="s">
        <v>4306</v>
      </c>
      <c r="AW1270" t="s">
        <v>7342</v>
      </c>
    </row>
    <row r="1271" spans="1:50">
      <c r="A1271" s="1">
        <f>HYPERLINK("https://lsnyc.legalserver.org/matter/dynamic-profile/view/1898818","19-1898818")</f>
        <v>0</v>
      </c>
      <c r="B1271" t="s">
        <v>61</v>
      </c>
      <c r="C1271" t="s">
        <v>105</v>
      </c>
      <c r="D1271" t="s">
        <v>273</v>
      </c>
      <c r="F1271" t="s">
        <v>1351</v>
      </c>
      <c r="G1271" t="s">
        <v>2212</v>
      </c>
      <c r="H1271" t="s">
        <v>3082</v>
      </c>
      <c r="I1271" t="s">
        <v>3306</v>
      </c>
      <c r="J1271" t="s">
        <v>3604</v>
      </c>
      <c r="K1271">
        <v>10034</v>
      </c>
      <c r="L1271" t="s">
        <v>3610</v>
      </c>
      <c r="M1271" t="s">
        <v>3610</v>
      </c>
      <c r="P1271" t="s">
        <v>4246</v>
      </c>
      <c r="R1271" t="s">
        <v>4258</v>
      </c>
      <c r="S1271" t="s">
        <v>3611</v>
      </c>
      <c r="U1271" t="s">
        <v>4268</v>
      </c>
      <c r="W1271" t="s">
        <v>273</v>
      </c>
      <c r="X1271">
        <v>1565</v>
      </c>
      <c r="Y1271" t="s">
        <v>4351</v>
      </c>
      <c r="Z1271" t="s">
        <v>4354</v>
      </c>
      <c r="AB1271" t="s">
        <v>5386</v>
      </c>
      <c r="AD1271" t="s">
        <v>6740</v>
      </c>
      <c r="AE1271">
        <v>48</v>
      </c>
      <c r="AF1271" t="s">
        <v>7101</v>
      </c>
      <c r="AG1271" t="s">
        <v>7118</v>
      </c>
      <c r="AH1271">
        <v>2</v>
      </c>
      <c r="AI1271">
        <v>1</v>
      </c>
      <c r="AJ1271">
        <v>0</v>
      </c>
      <c r="AK1271">
        <v>176.88</v>
      </c>
      <c r="AN1271" t="s">
        <v>7138</v>
      </c>
      <c r="AO1271">
        <v>22092</v>
      </c>
      <c r="AU1271">
        <v>1.2</v>
      </c>
      <c r="AV1271" t="s">
        <v>408</v>
      </c>
      <c r="AW1271" t="s">
        <v>7342</v>
      </c>
      <c r="AX1271" t="s">
        <v>7377</v>
      </c>
    </row>
    <row r="1272" spans="1:50">
      <c r="A1272" s="1">
        <f>HYPERLINK("https://lsnyc.legalserver.org/matter/dynamic-profile/view/1902199","19-1902199")</f>
        <v>0</v>
      </c>
      <c r="B1272" t="s">
        <v>52</v>
      </c>
      <c r="C1272" t="s">
        <v>105</v>
      </c>
      <c r="D1272" t="s">
        <v>467</v>
      </c>
      <c r="F1272" t="s">
        <v>1352</v>
      </c>
      <c r="G1272" t="s">
        <v>2213</v>
      </c>
      <c r="H1272" t="s">
        <v>3083</v>
      </c>
      <c r="I1272">
        <v>55</v>
      </c>
      <c r="J1272" t="s">
        <v>3604</v>
      </c>
      <c r="K1272">
        <v>10033</v>
      </c>
      <c r="L1272" t="s">
        <v>3610</v>
      </c>
      <c r="M1272" t="s">
        <v>3609</v>
      </c>
      <c r="P1272" t="s">
        <v>4245</v>
      </c>
      <c r="R1272" t="s">
        <v>4258</v>
      </c>
      <c r="S1272" t="s">
        <v>3611</v>
      </c>
      <c r="U1272" t="s">
        <v>4268</v>
      </c>
      <c r="W1272" t="s">
        <v>467</v>
      </c>
      <c r="X1272">
        <v>2275</v>
      </c>
      <c r="Y1272" t="s">
        <v>4351</v>
      </c>
      <c r="Z1272" t="s">
        <v>4354</v>
      </c>
      <c r="AB1272" t="s">
        <v>5387</v>
      </c>
      <c r="AE1272">
        <v>32</v>
      </c>
      <c r="AF1272" t="s">
        <v>7101</v>
      </c>
      <c r="AG1272" t="s">
        <v>3745</v>
      </c>
      <c r="AH1272">
        <v>5</v>
      </c>
      <c r="AI1272">
        <v>2</v>
      </c>
      <c r="AJ1272">
        <v>0</v>
      </c>
      <c r="AK1272">
        <v>177.41</v>
      </c>
      <c r="AN1272" t="s">
        <v>7138</v>
      </c>
      <c r="AO1272">
        <v>30000</v>
      </c>
      <c r="AU1272">
        <v>0.4</v>
      </c>
      <c r="AV1272" t="s">
        <v>396</v>
      </c>
      <c r="AW1272" t="s">
        <v>7342</v>
      </c>
      <c r="AX1272" t="s">
        <v>7377</v>
      </c>
    </row>
    <row r="1273" spans="1:50">
      <c r="A1273" s="1">
        <f>HYPERLINK("https://lsnyc.legalserver.org/matter/dynamic-profile/view/0790088","15-0790088")</f>
        <v>0</v>
      </c>
      <c r="B1273" t="s">
        <v>72</v>
      </c>
      <c r="C1273" t="s">
        <v>104</v>
      </c>
      <c r="D1273" t="s">
        <v>599</v>
      </c>
      <c r="E1273" t="s">
        <v>424</v>
      </c>
      <c r="F1273" t="s">
        <v>1353</v>
      </c>
      <c r="G1273" t="s">
        <v>2214</v>
      </c>
      <c r="H1273" t="s">
        <v>2695</v>
      </c>
      <c r="I1273" t="s">
        <v>3522</v>
      </c>
      <c r="J1273" t="s">
        <v>3604</v>
      </c>
      <c r="K1273">
        <v>10034</v>
      </c>
      <c r="L1273" t="s">
        <v>3611</v>
      </c>
      <c r="M1273" t="s">
        <v>3609</v>
      </c>
      <c r="N1273" t="s">
        <v>4059</v>
      </c>
      <c r="O1273" t="s">
        <v>4209</v>
      </c>
      <c r="P1273" t="s">
        <v>4241</v>
      </c>
      <c r="Q1273" t="s">
        <v>4248</v>
      </c>
      <c r="R1273" t="s">
        <v>4258</v>
      </c>
      <c r="S1273" t="s">
        <v>3611</v>
      </c>
      <c r="U1273" t="s">
        <v>4268</v>
      </c>
      <c r="V1273" t="s">
        <v>4274</v>
      </c>
      <c r="W1273" t="s">
        <v>599</v>
      </c>
      <c r="X1273">
        <v>1300</v>
      </c>
      <c r="Y1273" t="s">
        <v>4351</v>
      </c>
      <c r="Z1273" t="s">
        <v>4354</v>
      </c>
      <c r="AA1273" t="s">
        <v>4374</v>
      </c>
      <c r="AB1273" t="s">
        <v>5388</v>
      </c>
      <c r="AC1273" t="s">
        <v>5842</v>
      </c>
      <c r="AD1273" t="s">
        <v>6741</v>
      </c>
      <c r="AE1273">
        <v>0</v>
      </c>
      <c r="AF1273" t="s">
        <v>7103</v>
      </c>
      <c r="AH1273">
        <v>3</v>
      </c>
      <c r="AI1273">
        <v>1</v>
      </c>
      <c r="AJ1273">
        <v>0</v>
      </c>
      <c r="AK1273">
        <v>177.91</v>
      </c>
      <c r="AN1273" t="s">
        <v>7138</v>
      </c>
      <c r="AO1273">
        <v>20940</v>
      </c>
      <c r="AU1273">
        <v>103.17</v>
      </c>
      <c r="AV1273" t="s">
        <v>582</v>
      </c>
      <c r="AW1273" t="s">
        <v>7343</v>
      </c>
      <c r="AX1273" t="s">
        <v>7378</v>
      </c>
    </row>
    <row r="1274" spans="1:50">
      <c r="A1274" s="1">
        <f>HYPERLINK("https://lsnyc.legalserver.org/matter/dynamic-profile/view/0832615","17-0832615")</f>
        <v>0</v>
      </c>
      <c r="B1274" t="s">
        <v>82</v>
      </c>
      <c r="C1274" t="s">
        <v>104</v>
      </c>
      <c r="D1274" t="s">
        <v>339</v>
      </c>
      <c r="E1274" t="s">
        <v>488</v>
      </c>
      <c r="F1274" t="s">
        <v>1326</v>
      </c>
      <c r="G1274" t="s">
        <v>1642</v>
      </c>
      <c r="H1274" t="s">
        <v>2860</v>
      </c>
      <c r="I1274" t="s">
        <v>3274</v>
      </c>
      <c r="J1274" t="s">
        <v>3604</v>
      </c>
      <c r="K1274">
        <v>10034</v>
      </c>
      <c r="L1274" t="s">
        <v>3609</v>
      </c>
      <c r="M1274" t="s">
        <v>3609</v>
      </c>
      <c r="O1274" t="s">
        <v>4211</v>
      </c>
      <c r="P1274" t="s">
        <v>4241</v>
      </c>
      <c r="Q1274" t="s">
        <v>4254</v>
      </c>
      <c r="R1274" t="s">
        <v>4258</v>
      </c>
      <c r="S1274" t="s">
        <v>3610</v>
      </c>
      <c r="U1274" t="s">
        <v>4268</v>
      </c>
      <c r="W1274" t="s">
        <v>4282</v>
      </c>
      <c r="X1274">
        <v>1800</v>
      </c>
      <c r="Y1274" t="s">
        <v>4351</v>
      </c>
      <c r="Z1274" t="s">
        <v>4357</v>
      </c>
      <c r="AA1274" t="s">
        <v>4373</v>
      </c>
      <c r="AB1274" t="s">
        <v>5343</v>
      </c>
      <c r="AD1274" t="s">
        <v>6701</v>
      </c>
      <c r="AE1274">
        <v>0</v>
      </c>
      <c r="AF1274" t="s">
        <v>7101</v>
      </c>
      <c r="AG1274" t="s">
        <v>3745</v>
      </c>
      <c r="AH1274">
        <v>0</v>
      </c>
      <c r="AI1274">
        <v>1</v>
      </c>
      <c r="AJ1274">
        <v>0</v>
      </c>
      <c r="AK1274">
        <v>178.01</v>
      </c>
      <c r="AN1274" t="s">
        <v>7139</v>
      </c>
      <c r="AO1274">
        <v>21468</v>
      </c>
      <c r="AU1274">
        <v>6.85</v>
      </c>
      <c r="AV1274" t="s">
        <v>7329</v>
      </c>
      <c r="AW1274" t="s">
        <v>7341</v>
      </c>
    </row>
    <row r="1275" spans="1:50">
      <c r="A1275" s="1">
        <f>HYPERLINK("https://lsnyc.legalserver.org/matter/dynamic-profile/view/1843483","17-1843483")</f>
        <v>0</v>
      </c>
      <c r="B1275" t="s">
        <v>61</v>
      </c>
      <c r="C1275" t="s">
        <v>104</v>
      </c>
      <c r="D1275" t="s">
        <v>354</v>
      </c>
      <c r="E1275" t="s">
        <v>668</v>
      </c>
      <c r="F1275" t="s">
        <v>733</v>
      </c>
      <c r="G1275" t="s">
        <v>2207</v>
      </c>
      <c r="H1275" t="s">
        <v>3079</v>
      </c>
      <c r="I1275">
        <v>46</v>
      </c>
      <c r="J1275" t="s">
        <v>3604</v>
      </c>
      <c r="K1275">
        <v>10040</v>
      </c>
      <c r="L1275" t="s">
        <v>3610</v>
      </c>
      <c r="M1275" t="s">
        <v>3610</v>
      </c>
      <c r="O1275" t="s">
        <v>4217</v>
      </c>
      <c r="P1275" t="s">
        <v>4245</v>
      </c>
      <c r="Q1275" t="s">
        <v>4249</v>
      </c>
      <c r="R1275" t="s">
        <v>4258</v>
      </c>
      <c r="S1275" t="s">
        <v>3611</v>
      </c>
      <c r="U1275" t="s">
        <v>4268</v>
      </c>
      <c r="W1275" t="s">
        <v>4340</v>
      </c>
      <c r="X1275">
        <v>762.8</v>
      </c>
      <c r="Y1275" t="s">
        <v>4351</v>
      </c>
      <c r="Z1275" t="s">
        <v>4354</v>
      </c>
      <c r="AA1275" t="s">
        <v>4373</v>
      </c>
      <c r="AB1275" t="s">
        <v>5380</v>
      </c>
      <c r="AD1275" t="s">
        <v>6734</v>
      </c>
      <c r="AE1275">
        <v>80</v>
      </c>
      <c r="AF1275" t="s">
        <v>7101</v>
      </c>
      <c r="AG1275" t="s">
        <v>3745</v>
      </c>
      <c r="AH1275">
        <v>37</v>
      </c>
      <c r="AI1275">
        <v>2</v>
      </c>
      <c r="AJ1275">
        <v>0</v>
      </c>
      <c r="AK1275">
        <v>178.03</v>
      </c>
      <c r="AN1275" t="s">
        <v>7139</v>
      </c>
      <c r="AO1275">
        <v>28911.6</v>
      </c>
      <c r="AU1275">
        <v>6.8</v>
      </c>
      <c r="AV1275" t="s">
        <v>668</v>
      </c>
      <c r="AW1275" t="s">
        <v>7342</v>
      </c>
    </row>
    <row r="1276" spans="1:50">
      <c r="A1276" s="1">
        <f>HYPERLINK("https://lsnyc.legalserver.org/matter/dynamic-profile/view/1866667","18-1866667")</f>
        <v>0</v>
      </c>
      <c r="B1276" t="s">
        <v>61</v>
      </c>
      <c r="C1276" t="s">
        <v>105</v>
      </c>
      <c r="D1276" t="s">
        <v>413</v>
      </c>
      <c r="F1276" t="s">
        <v>1354</v>
      </c>
      <c r="G1276" t="s">
        <v>2215</v>
      </c>
      <c r="H1276" t="s">
        <v>2934</v>
      </c>
      <c r="I1276" t="s">
        <v>3396</v>
      </c>
      <c r="J1276" t="s">
        <v>3604</v>
      </c>
      <c r="K1276">
        <v>10034</v>
      </c>
      <c r="L1276" t="s">
        <v>3610</v>
      </c>
      <c r="M1276" t="s">
        <v>3609</v>
      </c>
      <c r="N1276" t="s">
        <v>4060</v>
      </c>
      <c r="O1276" t="s">
        <v>4209</v>
      </c>
      <c r="P1276" t="s">
        <v>4241</v>
      </c>
      <c r="R1276" t="s">
        <v>4258</v>
      </c>
      <c r="S1276" t="s">
        <v>3611</v>
      </c>
      <c r="U1276" t="s">
        <v>4268</v>
      </c>
      <c r="W1276" t="s">
        <v>331</v>
      </c>
      <c r="X1276">
        <v>1348.66</v>
      </c>
      <c r="Y1276" t="s">
        <v>4351</v>
      </c>
      <c r="Z1276" t="s">
        <v>4357</v>
      </c>
      <c r="AB1276" t="s">
        <v>5389</v>
      </c>
      <c r="AD1276" t="s">
        <v>6742</v>
      </c>
      <c r="AE1276">
        <v>42</v>
      </c>
      <c r="AF1276" t="s">
        <v>7101</v>
      </c>
      <c r="AG1276" t="s">
        <v>7118</v>
      </c>
      <c r="AH1276">
        <v>25</v>
      </c>
      <c r="AI1276">
        <v>1</v>
      </c>
      <c r="AJ1276">
        <v>0</v>
      </c>
      <c r="AK1276">
        <v>178.33</v>
      </c>
      <c r="AN1276" t="s">
        <v>7139</v>
      </c>
      <c r="AO1276">
        <v>21649.2</v>
      </c>
      <c r="AU1276">
        <v>10.2</v>
      </c>
      <c r="AV1276" t="s">
        <v>310</v>
      </c>
      <c r="AW1276" t="s">
        <v>7342</v>
      </c>
    </row>
    <row r="1277" spans="1:50">
      <c r="A1277" s="1">
        <f>HYPERLINK("https://lsnyc.legalserver.org/matter/dynamic-profile/view/1870251","18-1870251")</f>
        <v>0</v>
      </c>
      <c r="B1277" t="s">
        <v>53</v>
      </c>
      <c r="C1277" t="s">
        <v>104</v>
      </c>
      <c r="D1277" t="s">
        <v>443</v>
      </c>
      <c r="E1277" t="s">
        <v>656</v>
      </c>
      <c r="F1277" t="s">
        <v>725</v>
      </c>
      <c r="G1277" t="s">
        <v>2216</v>
      </c>
      <c r="H1277" t="s">
        <v>2794</v>
      </c>
      <c r="I1277" t="s">
        <v>3523</v>
      </c>
      <c r="J1277" t="s">
        <v>3604</v>
      </c>
      <c r="K1277">
        <v>10029</v>
      </c>
      <c r="L1277" t="s">
        <v>3610</v>
      </c>
      <c r="M1277" t="s">
        <v>3610</v>
      </c>
      <c r="N1277" t="s">
        <v>4061</v>
      </c>
      <c r="O1277" t="s">
        <v>4209</v>
      </c>
      <c r="P1277" t="s">
        <v>4245</v>
      </c>
      <c r="Q1277" t="s">
        <v>4249</v>
      </c>
      <c r="R1277" t="s">
        <v>4258</v>
      </c>
      <c r="S1277" t="s">
        <v>3611</v>
      </c>
      <c r="U1277" t="s">
        <v>4268</v>
      </c>
      <c r="V1277" t="s">
        <v>4277</v>
      </c>
      <c r="W1277" t="s">
        <v>566</v>
      </c>
      <c r="X1277">
        <v>1500</v>
      </c>
      <c r="Y1277" t="s">
        <v>4351</v>
      </c>
      <c r="Z1277" t="s">
        <v>4354</v>
      </c>
      <c r="AA1277" t="s">
        <v>4373</v>
      </c>
      <c r="AB1277" t="s">
        <v>5390</v>
      </c>
      <c r="AD1277" t="s">
        <v>6743</v>
      </c>
      <c r="AE1277">
        <v>306</v>
      </c>
      <c r="AF1277" t="s">
        <v>7105</v>
      </c>
      <c r="AG1277" t="s">
        <v>7116</v>
      </c>
      <c r="AH1277">
        <v>40</v>
      </c>
      <c r="AI1277">
        <v>2</v>
      </c>
      <c r="AJ1277">
        <v>1</v>
      </c>
      <c r="AK1277">
        <v>178.33</v>
      </c>
      <c r="AN1277" t="s">
        <v>7138</v>
      </c>
      <c r="AO1277">
        <v>37056</v>
      </c>
      <c r="AU1277">
        <v>3.7</v>
      </c>
      <c r="AV1277" t="s">
        <v>260</v>
      </c>
      <c r="AW1277" t="s">
        <v>7343</v>
      </c>
    </row>
    <row r="1278" spans="1:50">
      <c r="A1278" s="1">
        <f>HYPERLINK("https://lsnyc.legalserver.org/matter/dynamic-profile/view/0825199","17-0825199")</f>
        <v>0</v>
      </c>
      <c r="B1278" t="s">
        <v>66</v>
      </c>
      <c r="C1278" t="s">
        <v>104</v>
      </c>
      <c r="D1278" t="s">
        <v>535</v>
      </c>
      <c r="E1278" t="s">
        <v>410</v>
      </c>
      <c r="F1278" t="s">
        <v>1355</v>
      </c>
      <c r="G1278" t="s">
        <v>2217</v>
      </c>
      <c r="H1278" t="s">
        <v>3084</v>
      </c>
      <c r="I1278">
        <v>41</v>
      </c>
      <c r="J1278" t="s">
        <v>3604</v>
      </c>
      <c r="K1278">
        <v>10033</v>
      </c>
      <c r="L1278" t="s">
        <v>3610</v>
      </c>
      <c r="M1278" t="s">
        <v>3609</v>
      </c>
      <c r="N1278" t="s">
        <v>4062</v>
      </c>
      <c r="O1278" t="s">
        <v>4210</v>
      </c>
      <c r="P1278" t="s">
        <v>4241</v>
      </c>
      <c r="Q1278" t="s">
        <v>4248</v>
      </c>
      <c r="R1278" t="s">
        <v>4258</v>
      </c>
      <c r="S1278" t="s">
        <v>3611</v>
      </c>
      <c r="T1278" t="s">
        <v>4259</v>
      </c>
      <c r="U1278" t="s">
        <v>4268</v>
      </c>
      <c r="W1278" t="s">
        <v>278</v>
      </c>
      <c r="X1278">
        <v>903</v>
      </c>
      <c r="Y1278" t="s">
        <v>4351</v>
      </c>
      <c r="Z1278" t="s">
        <v>4354</v>
      </c>
      <c r="AA1278" t="s">
        <v>4374</v>
      </c>
      <c r="AB1278" t="s">
        <v>4586</v>
      </c>
      <c r="AD1278" t="s">
        <v>6744</v>
      </c>
      <c r="AE1278">
        <v>0</v>
      </c>
      <c r="AF1278" t="s">
        <v>7101</v>
      </c>
      <c r="AG1278" t="s">
        <v>3745</v>
      </c>
      <c r="AH1278">
        <v>32</v>
      </c>
      <c r="AI1278">
        <v>3</v>
      </c>
      <c r="AJ1278">
        <v>0</v>
      </c>
      <c r="AK1278">
        <v>178.49</v>
      </c>
      <c r="AN1278" t="s">
        <v>7138</v>
      </c>
      <c r="AO1278">
        <v>35984</v>
      </c>
      <c r="AU1278">
        <v>42.3</v>
      </c>
      <c r="AV1278" t="s">
        <v>7328</v>
      </c>
      <c r="AW1278" t="s">
        <v>7340</v>
      </c>
    </row>
    <row r="1279" spans="1:50">
      <c r="A1279" s="1">
        <f>HYPERLINK("https://lsnyc.legalserver.org/matter/dynamic-profile/view/1857881","18-1857881")</f>
        <v>0</v>
      </c>
      <c r="B1279" t="s">
        <v>53</v>
      </c>
      <c r="C1279" t="s">
        <v>104</v>
      </c>
      <c r="D1279" t="s">
        <v>379</v>
      </c>
      <c r="E1279" t="s">
        <v>260</v>
      </c>
      <c r="F1279" t="s">
        <v>711</v>
      </c>
      <c r="G1279" t="s">
        <v>1702</v>
      </c>
      <c r="H1279" t="s">
        <v>2594</v>
      </c>
      <c r="I1279" t="s">
        <v>3524</v>
      </c>
      <c r="J1279" t="s">
        <v>3604</v>
      </c>
      <c r="K1279">
        <v>10034</v>
      </c>
      <c r="L1279" t="s">
        <v>3610</v>
      </c>
      <c r="M1279" t="s">
        <v>3609</v>
      </c>
      <c r="N1279" t="s">
        <v>4063</v>
      </c>
      <c r="O1279" t="s">
        <v>4221</v>
      </c>
      <c r="P1279" t="s">
        <v>4244</v>
      </c>
      <c r="Q1279" t="s">
        <v>4249</v>
      </c>
      <c r="R1279" t="s">
        <v>4258</v>
      </c>
      <c r="S1279" t="s">
        <v>3611</v>
      </c>
      <c r="U1279" t="s">
        <v>4268</v>
      </c>
      <c r="W1279" t="s">
        <v>379</v>
      </c>
      <c r="X1279">
        <v>1068</v>
      </c>
      <c r="Y1279" t="s">
        <v>4351</v>
      </c>
      <c r="Z1279" t="s">
        <v>4357</v>
      </c>
      <c r="AA1279" t="s">
        <v>4374</v>
      </c>
      <c r="AB1279" t="s">
        <v>5391</v>
      </c>
      <c r="AD1279" t="s">
        <v>6745</v>
      </c>
      <c r="AE1279">
        <v>50</v>
      </c>
      <c r="AF1279" t="s">
        <v>7101</v>
      </c>
      <c r="AG1279" t="s">
        <v>3745</v>
      </c>
      <c r="AH1279">
        <v>6</v>
      </c>
      <c r="AI1279">
        <v>3</v>
      </c>
      <c r="AJ1279">
        <v>2</v>
      </c>
      <c r="AK1279">
        <v>178.52</v>
      </c>
      <c r="AN1279" t="s">
        <v>7139</v>
      </c>
      <c r="AO1279">
        <v>52520</v>
      </c>
      <c r="AU1279">
        <v>0.3</v>
      </c>
      <c r="AV1279" t="s">
        <v>460</v>
      </c>
      <c r="AW1279" t="s">
        <v>7342</v>
      </c>
    </row>
    <row r="1280" spans="1:50">
      <c r="A1280" s="1">
        <f>HYPERLINK("https://lsnyc.legalserver.org/matter/dynamic-profile/view/1874396","18-1874396")</f>
        <v>0</v>
      </c>
      <c r="B1280" t="s">
        <v>56</v>
      </c>
      <c r="C1280" t="s">
        <v>105</v>
      </c>
      <c r="D1280" t="s">
        <v>393</v>
      </c>
      <c r="F1280" t="s">
        <v>729</v>
      </c>
      <c r="G1280" t="s">
        <v>1601</v>
      </c>
      <c r="H1280" t="s">
        <v>2495</v>
      </c>
      <c r="I1280" t="s">
        <v>3304</v>
      </c>
      <c r="J1280" t="s">
        <v>3604</v>
      </c>
      <c r="K1280">
        <v>10032</v>
      </c>
      <c r="L1280" t="s">
        <v>3610</v>
      </c>
      <c r="M1280" t="s">
        <v>3610</v>
      </c>
      <c r="O1280" t="s">
        <v>4210</v>
      </c>
      <c r="P1280" t="s">
        <v>4241</v>
      </c>
      <c r="R1280" t="s">
        <v>4258</v>
      </c>
      <c r="S1280" t="s">
        <v>3611</v>
      </c>
      <c r="U1280" t="s">
        <v>4268</v>
      </c>
      <c r="W1280" t="s">
        <v>393</v>
      </c>
      <c r="X1280">
        <v>2116.65</v>
      </c>
      <c r="Y1280" t="s">
        <v>4351</v>
      </c>
      <c r="Z1280" t="s">
        <v>4354</v>
      </c>
      <c r="AB1280" t="s">
        <v>5392</v>
      </c>
      <c r="AD1280" t="s">
        <v>6746</v>
      </c>
      <c r="AE1280">
        <v>115</v>
      </c>
      <c r="AF1280" t="s">
        <v>7101</v>
      </c>
      <c r="AG1280" t="s">
        <v>3745</v>
      </c>
      <c r="AH1280">
        <v>7</v>
      </c>
      <c r="AI1280">
        <v>2</v>
      </c>
      <c r="AJ1280">
        <v>0</v>
      </c>
      <c r="AK1280">
        <v>178.54</v>
      </c>
      <c r="AN1280" t="s">
        <v>7139</v>
      </c>
      <c r="AO1280">
        <v>29388</v>
      </c>
      <c r="AU1280">
        <v>13.71</v>
      </c>
      <c r="AV1280" t="s">
        <v>612</v>
      </c>
      <c r="AW1280" t="s">
        <v>7342</v>
      </c>
    </row>
    <row r="1281" spans="1:50">
      <c r="A1281" s="1">
        <f>HYPERLINK("https://lsnyc.legalserver.org/matter/dynamic-profile/view/1893228","19-1893228")</f>
        <v>0</v>
      </c>
      <c r="B1281" t="s">
        <v>56</v>
      </c>
      <c r="C1281" t="s">
        <v>104</v>
      </c>
      <c r="D1281" t="s">
        <v>277</v>
      </c>
      <c r="E1281" t="s">
        <v>659</v>
      </c>
      <c r="F1281" t="s">
        <v>1356</v>
      </c>
      <c r="G1281" t="s">
        <v>2218</v>
      </c>
      <c r="H1281" t="s">
        <v>3085</v>
      </c>
      <c r="I1281" t="s">
        <v>3327</v>
      </c>
      <c r="J1281" t="s">
        <v>3604</v>
      </c>
      <c r="K1281">
        <v>10033</v>
      </c>
      <c r="L1281" t="s">
        <v>3610</v>
      </c>
      <c r="M1281" t="s">
        <v>3610</v>
      </c>
      <c r="O1281" t="s">
        <v>4219</v>
      </c>
      <c r="P1281" t="s">
        <v>4244</v>
      </c>
      <c r="Q1281" t="s">
        <v>4249</v>
      </c>
      <c r="R1281" t="s">
        <v>4258</v>
      </c>
      <c r="S1281" t="s">
        <v>3611</v>
      </c>
      <c r="U1281" t="s">
        <v>4268</v>
      </c>
      <c r="V1281" t="s">
        <v>4274</v>
      </c>
      <c r="W1281" t="s">
        <v>277</v>
      </c>
      <c r="X1281">
        <v>966.6900000000001</v>
      </c>
      <c r="Y1281" t="s">
        <v>4351</v>
      </c>
      <c r="Z1281" t="s">
        <v>4354</v>
      </c>
      <c r="AA1281" t="s">
        <v>4374</v>
      </c>
      <c r="AB1281" t="s">
        <v>5393</v>
      </c>
      <c r="AD1281" t="s">
        <v>6747</v>
      </c>
      <c r="AE1281">
        <v>10</v>
      </c>
      <c r="AF1281" t="s">
        <v>7101</v>
      </c>
      <c r="AG1281" t="s">
        <v>3745</v>
      </c>
      <c r="AH1281">
        <v>20</v>
      </c>
      <c r="AI1281">
        <v>3</v>
      </c>
      <c r="AJ1281">
        <v>2</v>
      </c>
      <c r="AK1281">
        <v>178.99</v>
      </c>
      <c r="AN1281" t="s">
        <v>7138</v>
      </c>
      <c r="AO1281">
        <v>54000</v>
      </c>
      <c r="AU1281">
        <v>2.8</v>
      </c>
      <c r="AV1281" t="s">
        <v>7132</v>
      </c>
      <c r="AW1281" t="s">
        <v>7342</v>
      </c>
      <c r="AX1281" t="s">
        <v>7377</v>
      </c>
    </row>
    <row r="1282" spans="1:50">
      <c r="A1282" s="1">
        <f>HYPERLINK("https://lsnyc.legalserver.org/matter/dynamic-profile/view/1844139","17-1844139")</f>
        <v>0</v>
      </c>
      <c r="B1282" t="s">
        <v>55</v>
      </c>
      <c r="C1282" t="s">
        <v>104</v>
      </c>
      <c r="D1282" t="s">
        <v>200</v>
      </c>
      <c r="E1282" t="s">
        <v>662</v>
      </c>
      <c r="F1282" t="s">
        <v>1357</v>
      </c>
      <c r="G1282" t="s">
        <v>2219</v>
      </c>
      <c r="H1282" t="s">
        <v>3086</v>
      </c>
      <c r="I1282" t="s">
        <v>3525</v>
      </c>
      <c r="J1282" t="s">
        <v>3604</v>
      </c>
      <c r="K1282">
        <v>10029</v>
      </c>
      <c r="L1282" t="s">
        <v>3610</v>
      </c>
      <c r="M1282" t="s">
        <v>3610</v>
      </c>
      <c r="O1282" t="s">
        <v>4211</v>
      </c>
      <c r="P1282" t="s">
        <v>4245</v>
      </c>
      <c r="Q1282" t="s">
        <v>4249</v>
      </c>
      <c r="R1282" t="s">
        <v>4258</v>
      </c>
      <c r="S1282" t="s">
        <v>3611</v>
      </c>
      <c r="U1282" t="s">
        <v>4268</v>
      </c>
      <c r="V1282" t="s">
        <v>4274</v>
      </c>
      <c r="W1282" t="s">
        <v>200</v>
      </c>
      <c r="X1282">
        <v>1500</v>
      </c>
      <c r="Y1282" t="s">
        <v>4351</v>
      </c>
      <c r="Z1282" t="s">
        <v>4360</v>
      </c>
      <c r="AA1282" t="s">
        <v>4394</v>
      </c>
      <c r="AB1282" t="s">
        <v>5394</v>
      </c>
      <c r="AD1282" t="s">
        <v>6748</v>
      </c>
      <c r="AE1282">
        <v>20</v>
      </c>
      <c r="AF1282" t="s">
        <v>7101</v>
      </c>
      <c r="AG1282" t="s">
        <v>3745</v>
      </c>
      <c r="AH1282">
        <v>10</v>
      </c>
      <c r="AI1282">
        <v>1</v>
      </c>
      <c r="AJ1282">
        <v>0</v>
      </c>
      <c r="AK1282">
        <v>179.1</v>
      </c>
      <c r="AN1282" t="s">
        <v>7138</v>
      </c>
      <c r="AO1282">
        <v>21600</v>
      </c>
      <c r="AU1282">
        <v>1.9</v>
      </c>
      <c r="AV1282" t="s">
        <v>541</v>
      </c>
      <c r="AW1282" t="s">
        <v>7343</v>
      </c>
    </row>
    <row r="1283" spans="1:50">
      <c r="A1283" s="1">
        <f>HYPERLINK("https://lsnyc.legalserver.org/matter/dynamic-profile/view/1901019","19-1901019")</f>
        <v>0</v>
      </c>
      <c r="B1283" t="s">
        <v>63</v>
      </c>
      <c r="C1283" t="s">
        <v>105</v>
      </c>
      <c r="D1283" t="s">
        <v>150</v>
      </c>
      <c r="F1283" t="s">
        <v>1358</v>
      </c>
      <c r="G1283" t="s">
        <v>1599</v>
      </c>
      <c r="H1283" t="s">
        <v>2637</v>
      </c>
      <c r="I1283" t="s">
        <v>3357</v>
      </c>
      <c r="J1283" t="s">
        <v>3604</v>
      </c>
      <c r="K1283">
        <v>10034</v>
      </c>
      <c r="L1283" t="s">
        <v>3610</v>
      </c>
      <c r="M1283" t="s">
        <v>3609</v>
      </c>
      <c r="P1283" t="s">
        <v>4244</v>
      </c>
      <c r="R1283" t="s">
        <v>4258</v>
      </c>
      <c r="S1283" t="s">
        <v>3611</v>
      </c>
      <c r="U1283" t="s">
        <v>4268</v>
      </c>
      <c r="W1283" t="s">
        <v>150</v>
      </c>
      <c r="X1283">
        <v>1695</v>
      </c>
      <c r="Y1283" t="s">
        <v>4351</v>
      </c>
      <c r="Z1283" t="s">
        <v>4357</v>
      </c>
      <c r="AB1283" t="s">
        <v>5395</v>
      </c>
      <c r="AE1283">
        <v>44</v>
      </c>
      <c r="AF1283" t="s">
        <v>7101</v>
      </c>
      <c r="AG1283" t="s">
        <v>3745</v>
      </c>
      <c r="AH1283">
        <v>7</v>
      </c>
      <c r="AI1283">
        <v>1</v>
      </c>
      <c r="AJ1283">
        <v>0</v>
      </c>
      <c r="AK1283">
        <v>179.18</v>
      </c>
      <c r="AN1283" t="s">
        <v>7139</v>
      </c>
      <c r="AO1283">
        <v>22380</v>
      </c>
      <c r="AU1283">
        <v>13</v>
      </c>
      <c r="AV1283" t="s">
        <v>667</v>
      </c>
      <c r="AW1283" t="s">
        <v>7342</v>
      </c>
      <c r="AX1283" t="s">
        <v>7377</v>
      </c>
    </row>
    <row r="1284" spans="1:50">
      <c r="A1284" s="1">
        <f>HYPERLINK("https://lsnyc.legalserver.org/matter/dynamic-profile/view/1863906","18-1863906")</f>
        <v>0</v>
      </c>
      <c r="B1284" t="s">
        <v>53</v>
      </c>
      <c r="C1284" t="s">
        <v>105</v>
      </c>
      <c r="D1284" t="s">
        <v>347</v>
      </c>
      <c r="F1284" t="s">
        <v>1359</v>
      </c>
      <c r="G1284" t="s">
        <v>2220</v>
      </c>
      <c r="H1284" t="s">
        <v>2508</v>
      </c>
      <c r="I1284">
        <v>615</v>
      </c>
      <c r="J1284" t="s">
        <v>3604</v>
      </c>
      <c r="K1284">
        <v>10029</v>
      </c>
      <c r="L1284" t="s">
        <v>3610</v>
      </c>
      <c r="M1284" t="s">
        <v>3610</v>
      </c>
      <c r="N1284" t="s">
        <v>3642</v>
      </c>
      <c r="O1284" t="s">
        <v>4213</v>
      </c>
      <c r="P1284" t="s">
        <v>4241</v>
      </c>
      <c r="R1284" t="s">
        <v>4258</v>
      </c>
      <c r="S1284" t="s">
        <v>3610</v>
      </c>
      <c r="U1284" t="s">
        <v>4268</v>
      </c>
      <c r="V1284" t="s">
        <v>4274</v>
      </c>
      <c r="W1284" t="s">
        <v>184</v>
      </c>
      <c r="X1284">
        <v>0</v>
      </c>
      <c r="Y1284" t="s">
        <v>4351</v>
      </c>
      <c r="Z1284" t="s">
        <v>4352</v>
      </c>
      <c r="AB1284" t="s">
        <v>5396</v>
      </c>
      <c r="AD1284" t="s">
        <v>6749</v>
      </c>
      <c r="AE1284">
        <v>108</v>
      </c>
      <c r="AF1284" t="s">
        <v>7106</v>
      </c>
      <c r="AG1284" t="s">
        <v>7116</v>
      </c>
      <c r="AH1284">
        <v>4</v>
      </c>
      <c r="AI1284">
        <v>1</v>
      </c>
      <c r="AJ1284">
        <v>3</v>
      </c>
      <c r="AK1284">
        <v>179.28</v>
      </c>
      <c r="AN1284" t="s">
        <v>7138</v>
      </c>
      <c r="AO1284">
        <v>45000</v>
      </c>
      <c r="AU1284">
        <v>0.35</v>
      </c>
      <c r="AV1284" t="s">
        <v>625</v>
      </c>
      <c r="AW1284" t="s">
        <v>7341</v>
      </c>
    </row>
    <row r="1285" spans="1:50">
      <c r="A1285" s="1">
        <f>HYPERLINK("https://lsnyc.legalserver.org/matter/dynamic-profile/view/1882564","18-1882564")</f>
        <v>0</v>
      </c>
      <c r="B1285" t="s">
        <v>60</v>
      </c>
      <c r="C1285" t="s">
        <v>105</v>
      </c>
      <c r="D1285" t="s">
        <v>262</v>
      </c>
      <c r="F1285" t="s">
        <v>809</v>
      </c>
      <c r="G1285" t="s">
        <v>1575</v>
      </c>
      <c r="H1285" t="s">
        <v>2556</v>
      </c>
      <c r="I1285">
        <v>52</v>
      </c>
      <c r="J1285" t="s">
        <v>3604</v>
      </c>
      <c r="K1285">
        <v>10034</v>
      </c>
      <c r="L1285" t="s">
        <v>3610</v>
      </c>
      <c r="M1285" t="s">
        <v>3610</v>
      </c>
      <c r="N1285" t="s">
        <v>4064</v>
      </c>
      <c r="O1285" t="s">
        <v>4209</v>
      </c>
      <c r="P1285" t="s">
        <v>4241</v>
      </c>
      <c r="R1285" t="s">
        <v>4258</v>
      </c>
      <c r="S1285" t="s">
        <v>3611</v>
      </c>
      <c r="U1285" t="s">
        <v>4268</v>
      </c>
      <c r="W1285" t="s">
        <v>209</v>
      </c>
      <c r="X1285">
        <v>896</v>
      </c>
      <c r="Y1285" t="s">
        <v>4351</v>
      </c>
      <c r="Z1285" t="s">
        <v>4353</v>
      </c>
      <c r="AB1285" t="s">
        <v>5397</v>
      </c>
      <c r="AD1285" t="s">
        <v>6750</v>
      </c>
      <c r="AE1285">
        <v>25</v>
      </c>
      <c r="AF1285" t="s">
        <v>7101</v>
      </c>
      <c r="AH1285">
        <v>30</v>
      </c>
      <c r="AI1285">
        <v>2</v>
      </c>
      <c r="AJ1285">
        <v>1</v>
      </c>
      <c r="AK1285">
        <v>179.4</v>
      </c>
      <c r="AN1285" t="s">
        <v>7138</v>
      </c>
      <c r="AO1285">
        <v>37280</v>
      </c>
      <c r="AU1285">
        <v>118.95</v>
      </c>
      <c r="AV1285" t="s">
        <v>143</v>
      </c>
      <c r="AW1285" t="s">
        <v>7359</v>
      </c>
    </row>
    <row r="1286" spans="1:50">
      <c r="A1286" s="1">
        <f>HYPERLINK("https://lsnyc.legalserver.org/matter/dynamic-profile/view/1900955","19-1900955")</f>
        <v>0</v>
      </c>
      <c r="B1286" t="s">
        <v>83</v>
      </c>
      <c r="C1286" t="s">
        <v>104</v>
      </c>
      <c r="D1286" t="s">
        <v>150</v>
      </c>
      <c r="E1286" t="s">
        <v>612</v>
      </c>
      <c r="F1286" t="s">
        <v>923</v>
      </c>
      <c r="G1286" t="s">
        <v>844</v>
      </c>
      <c r="H1286" t="s">
        <v>3087</v>
      </c>
      <c r="I1286" t="s">
        <v>3526</v>
      </c>
      <c r="J1286" t="s">
        <v>3604</v>
      </c>
      <c r="K1286">
        <v>10029</v>
      </c>
      <c r="L1286" t="s">
        <v>3610</v>
      </c>
      <c r="M1286" t="s">
        <v>3609</v>
      </c>
      <c r="O1286" t="s">
        <v>4212</v>
      </c>
      <c r="P1286" t="s">
        <v>4244</v>
      </c>
      <c r="Q1286" t="s">
        <v>4254</v>
      </c>
      <c r="R1286" t="s">
        <v>4258</v>
      </c>
      <c r="S1286" t="s">
        <v>3611</v>
      </c>
      <c r="U1286" t="s">
        <v>4270</v>
      </c>
      <c r="V1286" t="s">
        <v>4274</v>
      </c>
      <c r="W1286" t="s">
        <v>149</v>
      </c>
      <c r="X1286">
        <v>98</v>
      </c>
      <c r="Y1286" t="s">
        <v>4351</v>
      </c>
      <c r="Z1286" t="s">
        <v>4356</v>
      </c>
      <c r="AA1286" t="s">
        <v>4376</v>
      </c>
      <c r="AB1286" t="s">
        <v>5398</v>
      </c>
      <c r="AC1286" t="s">
        <v>5843</v>
      </c>
      <c r="AD1286" t="s">
        <v>6751</v>
      </c>
      <c r="AE1286">
        <v>120</v>
      </c>
      <c r="AF1286" t="s">
        <v>7101</v>
      </c>
      <c r="AG1286" t="s">
        <v>7116</v>
      </c>
      <c r="AH1286">
        <v>0</v>
      </c>
      <c r="AI1286">
        <v>1</v>
      </c>
      <c r="AJ1286">
        <v>3</v>
      </c>
      <c r="AK1286">
        <v>179.45</v>
      </c>
      <c r="AN1286" t="s">
        <v>7138</v>
      </c>
      <c r="AO1286">
        <v>46207.92</v>
      </c>
      <c r="AU1286">
        <v>3.5</v>
      </c>
      <c r="AV1286" t="s">
        <v>659</v>
      </c>
      <c r="AW1286" t="s">
        <v>7341</v>
      </c>
      <c r="AX1286" t="s">
        <v>7377</v>
      </c>
    </row>
    <row r="1287" spans="1:50">
      <c r="A1287" s="1">
        <f>HYPERLINK("https://lsnyc.legalserver.org/matter/dynamic-profile/view/1841452","17-1841452")</f>
        <v>0</v>
      </c>
      <c r="B1287" t="s">
        <v>61</v>
      </c>
      <c r="C1287" t="s">
        <v>105</v>
      </c>
      <c r="D1287" t="s">
        <v>380</v>
      </c>
      <c r="F1287" t="s">
        <v>1354</v>
      </c>
      <c r="G1287" t="s">
        <v>2215</v>
      </c>
      <c r="H1287" t="s">
        <v>2934</v>
      </c>
      <c r="I1287" t="s">
        <v>3396</v>
      </c>
      <c r="J1287" t="s">
        <v>3604</v>
      </c>
      <c r="K1287">
        <v>10034</v>
      </c>
      <c r="L1287" t="s">
        <v>3610</v>
      </c>
      <c r="M1287" t="s">
        <v>3609</v>
      </c>
      <c r="N1287" t="s">
        <v>4065</v>
      </c>
      <c r="O1287" t="s">
        <v>4209</v>
      </c>
      <c r="P1287" t="s">
        <v>4241</v>
      </c>
      <c r="R1287" t="s">
        <v>4258</v>
      </c>
      <c r="S1287" t="s">
        <v>3611</v>
      </c>
      <c r="U1287" t="s">
        <v>4268</v>
      </c>
      <c r="W1287" t="s">
        <v>380</v>
      </c>
      <c r="X1287">
        <v>1384.66</v>
      </c>
      <c r="Y1287" t="s">
        <v>4351</v>
      </c>
      <c r="Z1287" t="s">
        <v>4354</v>
      </c>
      <c r="AB1287" t="s">
        <v>5389</v>
      </c>
      <c r="AD1287" t="s">
        <v>6742</v>
      </c>
      <c r="AE1287">
        <v>42</v>
      </c>
      <c r="AF1287" t="s">
        <v>7101</v>
      </c>
      <c r="AG1287" t="s">
        <v>7118</v>
      </c>
      <c r="AH1287">
        <v>25</v>
      </c>
      <c r="AI1287">
        <v>1</v>
      </c>
      <c r="AJ1287">
        <v>0</v>
      </c>
      <c r="AK1287">
        <v>179.51</v>
      </c>
      <c r="AN1287" t="s">
        <v>7139</v>
      </c>
      <c r="AO1287">
        <v>21649.2</v>
      </c>
      <c r="AU1287">
        <v>24.05</v>
      </c>
      <c r="AV1287" t="s">
        <v>7330</v>
      </c>
      <c r="AW1287" t="s">
        <v>7342</v>
      </c>
    </row>
    <row r="1288" spans="1:50">
      <c r="A1288" s="1">
        <f>HYPERLINK("https://lsnyc.legalserver.org/matter/dynamic-profile/view/1880681","18-1880681")</f>
        <v>0</v>
      </c>
      <c r="B1288" t="s">
        <v>61</v>
      </c>
      <c r="C1288" t="s">
        <v>105</v>
      </c>
      <c r="D1288" t="s">
        <v>293</v>
      </c>
      <c r="F1288" t="s">
        <v>784</v>
      </c>
      <c r="G1288" t="s">
        <v>2221</v>
      </c>
      <c r="H1288" t="s">
        <v>2648</v>
      </c>
      <c r="I1288" t="s">
        <v>3282</v>
      </c>
      <c r="J1288" t="s">
        <v>3604</v>
      </c>
      <c r="K1288">
        <v>10034</v>
      </c>
      <c r="L1288" t="s">
        <v>3610</v>
      </c>
      <c r="M1288" t="s">
        <v>3610</v>
      </c>
      <c r="N1288" t="s">
        <v>4066</v>
      </c>
      <c r="O1288" t="s">
        <v>4209</v>
      </c>
      <c r="P1288" t="s">
        <v>4241</v>
      </c>
      <c r="R1288" t="s">
        <v>4258</v>
      </c>
      <c r="S1288" t="s">
        <v>3611</v>
      </c>
      <c r="U1288" t="s">
        <v>4268</v>
      </c>
      <c r="W1288" t="s">
        <v>220</v>
      </c>
      <c r="X1288">
        <v>642.37</v>
      </c>
      <c r="Y1288" t="s">
        <v>4351</v>
      </c>
      <c r="Z1288" t="s">
        <v>4357</v>
      </c>
      <c r="AB1288" t="s">
        <v>5399</v>
      </c>
      <c r="AD1288" t="s">
        <v>6752</v>
      </c>
      <c r="AE1288">
        <v>21</v>
      </c>
      <c r="AF1288" t="s">
        <v>7101</v>
      </c>
      <c r="AG1288" t="s">
        <v>7118</v>
      </c>
      <c r="AH1288">
        <v>45</v>
      </c>
      <c r="AI1288">
        <v>1</v>
      </c>
      <c r="AJ1288">
        <v>0</v>
      </c>
      <c r="AK1288">
        <v>179.7</v>
      </c>
      <c r="AN1288" t="s">
        <v>7138</v>
      </c>
      <c r="AO1288">
        <v>21816</v>
      </c>
      <c r="AU1288">
        <v>13.2</v>
      </c>
      <c r="AV1288" t="s">
        <v>642</v>
      </c>
      <c r="AW1288" t="s">
        <v>7351</v>
      </c>
      <c r="AX1288" t="s">
        <v>7377</v>
      </c>
    </row>
    <row r="1289" spans="1:50">
      <c r="A1289" s="1">
        <f>HYPERLINK("https://lsnyc.legalserver.org/matter/dynamic-profile/view/1877960","18-1877960")</f>
        <v>0</v>
      </c>
      <c r="B1289" t="s">
        <v>61</v>
      </c>
      <c r="C1289" t="s">
        <v>104</v>
      </c>
      <c r="D1289" t="s">
        <v>600</v>
      </c>
      <c r="E1289" t="s">
        <v>668</v>
      </c>
      <c r="F1289" t="s">
        <v>1360</v>
      </c>
      <c r="G1289" t="s">
        <v>1588</v>
      </c>
      <c r="H1289" t="s">
        <v>3088</v>
      </c>
      <c r="I1289" t="s">
        <v>3392</v>
      </c>
      <c r="J1289" t="s">
        <v>3604</v>
      </c>
      <c r="K1289">
        <v>10034</v>
      </c>
      <c r="L1289" t="s">
        <v>3610</v>
      </c>
      <c r="M1289" t="s">
        <v>3610</v>
      </c>
      <c r="O1289" t="s">
        <v>4211</v>
      </c>
      <c r="P1289" t="s">
        <v>4245</v>
      </c>
      <c r="Q1289" t="s">
        <v>4249</v>
      </c>
      <c r="R1289" t="s">
        <v>4258</v>
      </c>
      <c r="S1289" t="s">
        <v>3611</v>
      </c>
      <c r="U1289" t="s">
        <v>4268</v>
      </c>
      <c r="W1289" t="s">
        <v>600</v>
      </c>
      <c r="X1289">
        <v>1135</v>
      </c>
      <c r="Y1289" t="s">
        <v>4351</v>
      </c>
      <c r="Z1289" t="s">
        <v>4354</v>
      </c>
      <c r="AA1289" t="s">
        <v>4373</v>
      </c>
      <c r="AB1289" t="s">
        <v>5400</v>
      </c>
      <c r="AD1289" t="s">
        <v>6753</v>
      </c>
      <c r="AE1289">
        <v>66</v>
      </c>
      <c r="AF1289" t="s">
        <v>7101</v>
      </c>
      <c r="AG1289" t="s">
        <v>7116</v>
      </c>
      <c r="AH1289">
        <v>41</v>
      </c>
      <c r="AI1289">
        <v>2</v>
      </c>
      <c r="AJ1289">
        <v>0</v>
      </c>
      <c r="AK1289">
        <v>179.99</v>
      </c>
      <c r="AN1289" t="s">
        <v>7139</v>
      </c>
      <c r="AO1289">
        <v>29626.8</v>
      </c>
      <c r="AU1289">
        <v>2.2</v>
      </c>
      <c r="AV1289" t="s">
        <v>668</v>
      </c>
      <c r="AW1289" t="s">
        <v>7342</v>
      </c>
      <c r="AX1289" t="s">
        <v>7377</v>
      </c>
    </row>
    <row r="1290" spans="1:50">
      <c r="A1290" s="1">
        <f>HYPERLINK("https://lsnyc.legalserver.org/matter/dynamic-profile/view/1892005","19-1892005")</f>
        <v>0</v>
      </c>
      <c r="B1290" t="s">
        <v>64</v>
      </c>
      <c r="C1290" t="s">
        <v>104</v>
      </c>
      <c r="D1290" t="s">
        <v>148</v>
      </c>
      <c r="E1290" t="s">
        <v>245</v>
      </c>
      <c r="F1290" t="s">
        <v>1361</v>
      </c>
      <c r="G1290" t="s">
        <v>2222</v>
      </c>
      <c r="H1290" t="s">
        <v>3089</v>
      </c>
      <c r="I1290" t="s">
        <v>3325</v>
      </c>
      <c r="J1290" t="s">
        <v>3604</v>
      </c>
      <c r="K1290">
        <v>10032</v>
      </c>
      <c r="L1290" t="s">
        <v>3610</v>
      </c>
      <c r="M1290" t="s">
        <v>3610</v>
      </c>
      <c r="P1290" t="s">
        <v>4242</v>
      </c>
      <c r="Q1290" t="s">
        <v>4250</v>
      </c>
      <c r="R1290" t="s">
        <v>4258</v>
      </c>
      <c r="S1290" t="s">
        <v>3611</v>
      </c>
      <c r="U1290" t="s">
        <v>4268</v>
      </c>
      <c r="W1290" t="s">
        <v>148</v>
      </c>
      <c r="X1290">
        <v>1239.65</v>
      </c>
      <c r="Y1290" t="s">
        <v>4351</v>
      </c>
      <c r="Z1290" t="s">
        <v>4354</v>
      </c>
      <c r="AA1290" t="s">
        <v>4373</v>
      </c>
      <c r="AB1290" t="s">
        <v>5047</v>
      </c>
      <c r="AD1290" t="s">
        <v>6754</v>
      </c>
      <c r="AE1290">
        <v>0</v>
      </c>
      <c r="AF1290" t="s">
        <v>7101</v>
      </c>
      <c r="AG1290" t="s">
        <v>3745</v>
      </c>
      <c r="AH1290">
        <v>21</v>
      </c>
      <c r="AI1290">
        <v>2</v>
      </c>
      <c r="AJ1290">
        <v>0</v>
      </c>
      <c r="AK1290">
        <v>180.2</v>
      </c>
      <c r="AN1290" t="s">
        <v>7139</v>
      </c>
      <c r="AO1290">
        <v>30472</v>
      </c>
      <c r="AU1290">
        <v>1.1</v>
      </c>
      <c r="AV1290" t="s">
        <v>245</v>
      </c>
      <c r="AW1290" t="s">
        <v>7342</v>
      </c>
    </row>
    <row r="1291" spans="1:50">
      <c r="A1291" s="1">
        <f>HYPERLINK("https://lsnyc.legalserver.org/matter/dynamic-profile/view/1901181","19-1901181")</f>
        <v>0</v>
      </c>
      <c r="B1291" t="s">
        <v>98</v>
      </c>
      <c r="C1291" t="s">
        <v>104</v>
      </c>
      <c r="D1291" t="s">
        <v>426</v>
      </c>
      <c r="E1291" t="s">
        <v>396</v>
      </c>
      <c r="F1291" t="s">
        <v>727</v>
      </c>
      <c r="G1291" t="s">
        <v>1902</v>
      </c>
      <c r="H1291" t="s">
        <v>3090</v>
      </c>
      <c r="I1291" t="s">
        <v>3334</v>
      </c>
      <c r="J1291" t="s">
        <v>3604</v>
      </c>
      <c r="K1291">
        <v>10033</v>
      </c>
      <c r="L1291" t="s">
        <v>3610</v>
      </c>
      <c r="M1291" t="s">
        <v>3609</v>
      </c>
      <c r="N1291" t="s">
        <v>4067</v>
      </c>
      <c r="O1291" t="s">
        <v>4210</v>
      </c>
      <c r="P1291" t="s">
        <v>4242</v>
      </c>
      <c r="Q1291" t="s">
        <v>4250</v>
      </c>
      <c r="R1291" t="s">
        <v>4258</v>
      </c>
      <c r="S1291" t="s">
        <v>3611</v>
      </c>
      <c r="U1291" t="s">
        <v>4268</v>
      </c>
      <c r="V1291" t="s">
        <v>4274</v>
      </c>
      <c r="W1291" t="s">
        <v>426</v>
      </c>
      <c r="X1291">
        <v>825</v>
      </c>
      <c r="Y1291" t="s">
        <v>4351</v>
      </c>
      <c r="Z1291" t="s">
        <v>4353</v>
      </c>
      <c r="AA1291" t="s">
        <v>4373</v>
      </c>
      <c r="AB1291" t="s">
        <v>5401</v>
      </c>
      <c r="AC1291" t="s">
        <v>5844</v>
      </c>
      <c r="AD1291" t="s">
        <v>6755</v>
      </c>
      <c r="AE1291">
        <v>50</v>
      </c>
      <c r="AF1291" t="s">
        <v>7104</v>
      </c>
      <c r="AG1291" t="s">
        <v>3745</v>
      </c>
      <c r="AH1291">
        <v>15</v>
      </c>
      <c r="AI1291">
        <v>2</v>
      </c>
      <c r="AJ1291">
        <v>0</v>
      </c>
      <c r="AK1291">
        <v>180.7</v>
      </c>
      <c r="AN1291" t="s">
        <v>7139</v>
      </c>
      <c r="AO1291">
        <v>30556</v>
      </c>
      <c r="AU1291">
        <v>2.7</v>
      </c>
      <c r="AV1291" t="s">
        <v>661</v>
      </c>
      <c r="AW1291" t="s">
        <v>7341</v>
      </c>
      <c r="AX1291" t="s">
        <v>7377</v>
      </c>
    </row>
    <row r="1292" spans="1:50">
      <c r="A1292" s="1">
        <f>HYPERLINK("https://lsnyc.legalserver.org/matter/dynamic-profile/view/1898805","19-1898805")</f>
        <v>0</v>
      </c>
      <c r="B1292" t="s">
        <v>56</v>
      </c>
      <c r="C1292" t="s">
        <v>104</v>
      </c>
      <c r="D1292" t="s">
        <v>273</v>
      </c>
      <c r="E1292" t="s">
        <v>659</v>
      </c>
      <c r="F1292" t="s">
        <v>979</v>
      </c>
      <c r="G1292" t="s">
        <v>1790</v>
      </c>
      <c r="H1292" t="s">
        <v>2844</v>
      </c>
      <c r="I1292" t="s">
        <v>3273</v>
      </c>
      <c r="J1292" t="s">
        <v>3604</v>
      </c>
      <c r="K1292">
        <v>10034</v>
      </c>
      <c r="L1292" t="s">
        <v>3610</v>
      </c>
      <c r="M1292" t="s">
        <v>3610</v>
      </c>
      <c r="N1292" t="s">
        <v>4068</v>
      </c>
      <c r="O1292" t="s">
        <v>4209</v>
      </c>
      <c r="P1292" t="s">
        <v>4242</v>
      </c>
      <c r="Q1292" t="s">
        <v>4250</v>
      </c>
      <c r="R1292" t="s">
        <v>4258</v>
      </c>
      <c r="S1292" t="s">
        <v>3611</v>
      </c>
      <c r="U1292" t="s">
        <v>4268</v>
      </c>
      <c r="W1292" t="s">
        <v>273</v>
      </c>
      <c r="X1292">
        <v>1241</v>
      </c>
      <c r="Y1292" t="s">
        <v>4351</v>
      </c>
      <c r="Z1292" t="s">
        <v>4353</v>
      </c>
      <c r="AA1292" t="s">
        <v>4373</v>
      </c>
      <c r="AB1292" t="s">
        <v>5402</v>
      </c>
      <c r="AC1292" t="s">
        <v>5845</v>
      </c>
      <c r="AD1292" t="s">
        <v>6756</v>
      </c>
      <c r="AE1292">
        <v>73</v>
      </c>
      <c r="AF1292" t="s">
        <v>7101</v>
      </c>
      <c r="AG1292" t="s">
        <v>7118</v>
      </c>
      <c r="AH1292">
        <v>14</v>
      </c>
      <c r="AI1292">
        <v>3</v>
      </c>
      <c r="AJ1292">
        <v>0</v>
      </c>
      <c r="AK1292">
        <v>180.84</v>
      </c>
      <c r="AN1292" t="s">
        <v>7139</v>
      </c>
      <c r="AO1292">
        <v>38573.08</v>
      </c>
      <c r="AU1292">
        <v>2.8</v>
      </c>
      <c r="AV1292" t="s">
        <v>7286</v>
      </c>
      <c r="AW1292" t="s">
        <v>7347</v>
      </c>
      <c r="AX1292" t="s">
        <v>7377</v>
      </c>
    </row>
    <row r="1293" spans="1:50">
      <c r="A1293" s="1">
        <f>HYPERLINK("https://lsnyc.legalserver.org/matter/dynamic-profile/view/1841834","17-1841834")</f>
        <v>0</v>
      </c>
      <c r="B1293" t="s">
        <v>53</v>
      </c>
      <c r="C1293" t="s">
        <v>104</v>
      </c>
      <c r="D1293" t="s">
        <v>210</v>
      </c>
      <c r="E1293" t="s">
        <v>113</v>
      </c>
      <c r="F1293" t="s">
        <v>1362</v>
      </c>
      <c r="G1293" t="s">
        <v>2223</v>
      </c>
      <c r="H1293" t="s">
        <v>2462</v>
      </c>
      <c r="I1293" t="s">
        <v>3285</v>
      </c>
      <c r="J1293" t="s">
        <v>3604</v>
      </c>
      <c r="K1293">
        <v>10040</v>
      </c>
      <c r="L1293" t="s">
        <v>3610</v>
      </c>
      <c r="M1293" t="s">
        <v>3610</v>
      </c>
      <c r="N1293" t="s">
        <v>3669</v>
      </c>
      <c r="O1293" t="s">
        <v>4213</v>
      </c>
      <c r="P1293" t="s">
        <v>4241</v>
      </c>
      <c r="Q1293" t="s">
        <v>4250</v>
      </c>
      <c r="R1293" t="s">
        <v>4258</v>
      </c>
      <c r="S1293" t="s">
        <v>3610</v>
      </c>
      <c r="U1293" t="s">
        <v>4268</v>
      </c>
      <c r="W1293" t="s">
        <v>133</v>
      </c>
      <c r="X1293">
        <v>526.87</v>
      </c>
      <c r="Y1293" t="s">
        <v>4351</v>
      </c>
      <c r="Z1293" t="s">
        <v>4354</v>
      </c>
      <c r="AA1293" t="s">
        <v>4373</v>
      </c>
      <c r="AB1293" t="s">
        <v>5403</v>
      </c>
      <c r="AD1293" t="s">
        <v>6757</v>
      </c>
      <c r="AE1293">
        <v>31</v>
      </c>
      <c r="AF1293" t="s">
        <v>7101</v>
      </c>
      <c r="AG1293" t="s">
        <v>3745</v>
      </c>
      <c r="AH1293">
        <v>33</v>
      </c>
      <c r="AI1293">
        <v>1</v>
      </c>
      <c r="AJ1293">
        <v>0</v>
      </c>
      <c r="AK1293">
        <v>181.09</v>
      </c>
      <c r="AN1293" t="s">
        <v>7139</v>
      </c>
      <c r="AO1293">
        <v>21840</v>
      </c>
      <c r="AU1293">
        <v>4.51</v>
      </c>
      <c r="AV1293" t="s">
        <v>113</v>
      </c>
      <c r="AW1293" t="s">
        <v>7342</v>
      </c>
    </row>
    <row r="1294" spans="1:50">
      <c r="A1294" s="1">
        <f>HYPERLINK("https://lsnyc.legalserver.org/matter/dynamic-profile/view/1852699","17-1852699")</f>
        <v>0</v>
      </c>
      <c r="B1294" t="s">
        <v>53</v>
      </c>
      <c r="C1294" t="s">
        <v>104</v>
      </c>
      <c r="D1294" t="s">
        <v>309</v>
      </c>
      <c r="E1294" t="s">
        <v>260</v>
      </c>
      <c r="F1294" t="s">
        <v>924</v>
      </c>
      <c r="G1294" t="s">
        <v>1790</v>
      </c>
      <c r="H1294" t="s">
        <v>2544</v>
      </c>
      <c r="I1294" t="s">
        <v>3466</v>
      </c>
      <c r="J1294" t="s">
        <v>3604</v>
      </c>
      <c r="K1294">
        <v>10034</v>
      </c>
      <c r="L1294" t="s">
        <v>3610</v>
      </c>
      <c r="M1294" t="s">
        <v>3609</v>
      </c>
      <c r="N1294" t="s">
        <v>4069</v>
      </c>
      <c r="O1294" t="s">
        <v>4209</v>
      </c>
      <c r="P1294" t="s">
        <v>4241</v>
      </c>
      <c r="Q1294" t="s">
        <v>4248</v>
      </c>
      <c r="R1294" t="s">
        <v>4258</v>
      </c>
      <c r="S1294" t="s">
        <v>3611</v>
      </c>
      <c r="U1294" t="s">
        <v>4268</v>
      </c>
      <c r="W1294" t="s">
        <v>309</v>
      </c>
      <c r="X1294">
        <v>1569</v>
      </c>
      <c r="Y1294" t="s">
        <v>4351</v>
      </c>
      <c r="Z1294" t="s">
        <v>4357</v>
      </c>
      <c r="AA1294" t="s">
        <v>4374</v>
      </c>
      <c r="AB1294" t="s">
        <v>5067</v>
      </c>
      <c r="AD1294" t="s">
        <v>6442</v>
      </c>
      <c r="AE1294">
        <v>63</v>
      </c>
      <c r="AF1294" t="s">
        <v>7101</v>
      </c>
      <c r="AG1294" t="s">
        <v>7118</v>
      </c>
      <c r="AH1294">
        <v>33</v>
      </c>
      <c r="AI1294">
        <v>1</v>
      </c>
      <c r="AJ1294">
        <v>0</v>
      </c>
      <c r="AK1294">
        <v>181.13</v>
      </c>
      <c r="AN1294" t="s">
        <v>7138</v>
      </c>
      <c r="AO1294">
        <v>21844</v>
      </c>
      <c r="AU1294">
        <v>1.6</v>
      </c>
      <c r="AV1294" t="s">
        <v>194</v>
      </c>
      <c r="AW1294" t="s">
        <v>7342</v>
      </c>
    </row>
    <row r="1295" spans="1:50">
      <c r="A1295" s="1">
        <f>HYPERLINK("https://lsnyc.legalserver.org/matter/dynamic-profile/view/1900422","19-1900422")</f>
        <v>0</v>
      </c>
      <c r="B1295" t="s">
        <v>71</v>
      </c>
      <c r="C1295" t="s">
        <v>105</v>
      </c>
      <c r="D1295" t="s">
        <v>424</v>
      </c>
      <c r="F1295" t="s">
        <v>966</v>
      </c>
      <c r="G1295" t="s">
        <v>2224</v>
      </c>
      <c r="H1295" t="s">
        <v>3091</v>
      </c>
      <c r="J1295" t="s">
        <v>3604</v>
      </c>
      <c r="K1295">
        <v>10031</v>
      </c>
      <c r="L1295" t="s">
        <v>3609</v>
      </c>
      <c r="M1295" t="s">
        <v>3609</v>
      </c>
      <c r="O1295" t="s">
        <v>4209</v>
      </c>
      <c r="P1295" t="s">
        <v>4241</v>
      </c>
      <c r="R1295" t="s">
        <v>4258</v>
      </c>
      <c r="U1295" t="s">
        <v>4268</v>
      </c>
      <c r="X1295">
        <v>0</v>
      </c>
      <c r="Y1295" t="s">
        <v>4351</v>
      </c>
      <c r="AB1295" t="s">
        <v>5404</v>
      </c>
      <c r="AD1295" t="s">
        <v>6758</v>
      </c>
      <c r="AE1295">
        <v>0</v>
      </c>
      <c r="AH1295">
        <v>0</v>
      </c>
      <c r="AI1295">
        <v>1</v>
      </c>
      <c r="AJ1295">
        <v>0</v>
      </c>
      <c r="AK1295">
        <v>181.68</v>
      </c>
      <c r="AN1295" t="s">
        <v>7138</v>
      </c>
      <c r="AO1295">
        <v>22692</v>
      </c>
      <c r="AU1295">
        <v>8.050000000000001</v>
      </c>
      <c r="AV1295" t="s">
        <v>676</v>
      </c>
      <c r="AW1295" t="s">
        <v>7348</v>
      </c>
    </row>
    <row r="1296" spans="1:50">
      <c r="A1296" s="1">
        <f>HYPERLINK("https://lsnyc.legalserver.org/matter/dynamic-profile/view/0830898","17-0830898")</f>
        <v>0</v>
      </c>
      <c r="B1296" t="s">
        <v>64</v>
      </c>
      <c r="C1296" t="s">
        <v>104</v>
      </c>
      <c r="D1296" t="s">
        <v>243</v>
      </c>
      <c r="E1296" t="s">
        <v>280</v>
      </c>
      <c r="F1296" t="s">
        <v>1363</v>
      </c>
      <c r="G1296" t="s">
        <v>1676</v>
      </c>
      <c r="H1296" t="s">
        <v>3092</v>
      </c>
      <c r="I1296">
        <v>33</v>
      </c>
      <c r="J1296" t="s">
        <v>3604</v>
      </c>
      <c r="K1296">
        <v>10032</v>
      </c>
      <c r="L1296" t="s">
        <v>3609</v>
      </c>
      <c r="M1296" t="s">
        <v>3609</v>
      </c>
      <c r="O1296" t="s">
        <v>4213</v>
      </c>
      <c r="P1296" t="s">
        <v>4244</v>
      </c>
      <c r="Q1296" t="s">
        <v>4254</v>
      </c>
      <c r="R1296" t="s">
        <v>4258</v>
      </c>
      <c r="S1296" t="s">
        <v>3610</v>
      </c>
      <c r="U1296" t="s">
        <v>4268</v>
      </c>
      <c r="W1296" t="s">
        <v>317</v>
      </c>
      <c r="X1296">
        <v>538.64</v>
      </c>
      <c r="Y1296" t="s">
        <v>4351</v>
      </c>
      <c r="Z1296" t="s">
        <v>4352</v>
      </c>
      <c r="AA1296" t="s">
        <v>4377</v>
      </c>
      <c r="AB1296" t="s">
        <v>5405</v>
      </c>
      <c r="AD1296" t="s">
        <v>6759</v>
      </c>
      <c r="AE1296">
        <v>50</v>
      </c>
      <c r="AF1296" t="s">
        <v>7101</v>
      </c>
      <c r="AG1296" t="s">
        <v>3745</v>
      </c>
      <c r="AH1296">
        <v>43</v>
      </c>
      <c r="AI1296">
        <v>1</v>
      </c>
      <c r="AJ1296">
        <v>0</v>
      </c>
      <c r="AK1296">
        <v>181.99</v>
      </c>
      <c r="AL1296" t="s">
        <v>4319</v>
      </c>
      <c r="AN1296" t="s">
        <v>7139</v>
      </c>
      <c r="AO1296">
        <v>21948</v>
      </c>
      <c r="AU1296">
        <v>0.3</v>
      </c>
      <c r="AV1296" t="s">
        <v>280</v>
      </c>
      <c r="AW1296" t="s">
        <v>7341</v>
      </c>
    </row>
    <row r="1297" spans="1:50">
      <c r="A1297" s="1">
        <f>HYPERLINK("https://lsnyc.legalserver.org/matter/dynamic-profile/view/0830904","17-0830904")</f>
        <v>0</v>
      </c>
      <c r="B1297" t="s">
        <v>64</v>
      </c>
      <c r="C1297" t="s">
        <v>105</v>
      </c>
      <c r="D1297" t="s">
        <v>243</v>
      </c>
      <c r="F1297" t="s">
        <v>1363</v>
      </c>
      <c r="G1297" t="s">
        <v>1676</v>
      </c>
      <c r="H1297" t="s">
        <v>3092</v>
      </c>
      <c r="I1297">
        <v>33</v>
      </c>
      <c r="J1297" t="s">
        <v>3604</v>
      </c>
      <c r="K1297">
        <v>10032</v>
      </c>
      <c r="L1297" t="s">
        <v>3609</v>
      </c>
      <c r="M1297" t="s">
        <v>3609</v>
      </c>
      <c r="O1297" t="s">
        <v>4211</v>
      </c>
      <c r="P1297" t="s">
        <v>4241</v>
      </c>
      <c r="R1297" t="s">
        <v>4258</v>
      </c>
      <c r="S1297" t="s">
        <v>3611</v>
      </c>
      <c r="U1297" t="s">
        <v>4268</v>
      </c>
      <c r="W1297" t="s">
        <v>317</v>
      </c>
      <c r="X1297">
        <v>538.64</v>
      </c>
      <c r="Y1297" t="s">
        <v>4351</v>
      </c>
      <c r="AB1297" t="s">
        <v>5405</v>
      </c>
      <c r="AD1297" t="s">
        <v>6759</v>
      </c>
      <c r="AE1297">
        <v>50</v>
      </c>
      <c r="AF1297" t="s">
        <v>7101</v>
      </c>
      <c r="AG1297" t="s">
        <v>3745</v>
      </c>
      <c r="AH1297">
        <v>43</v>
      </c>
      <c r="AI1297">
        <v>1</v>
      </c>
      <c r="AJ1297">
        <v>0</v>
      </c>
      <c r="AK1297">
        <v>181.99</v>
      </c>
      <c r="AL1297" t="s">
        <v>4319</v>
      </c>
      <c r="AN1297" t="s">
        <v>7139</v>
      </c>
      <c r="AO1297">
        <v>21948</v>
      </c>
      <c r="AU1297">
        <v>0.75</v>
      </c>
      <c r="AV1297" t="s">
        <v>208</v>
      </c>
      <c r="AW1297" t="s">
        <v>7341</v>
      </c>
    </row>
    <row r="1298" spans="1:50">
      <c r="A1298" s="1">
        <f>HYPERLINK("https://lsnyc.legalserver.org/matter/dynamic-profile/view/1875857","18-1875857")</f>
        <v>0</v>
      </c>
      <c r="B1298" t="s">
        <v>64</v>
      </c>
      <c r="C1298" t="s">
        <v>104</v>
      </c>
      <c r="D1298" t="s">
        <v>573</v>
      </c>
      <c r="E1298" t="s">
        <v>136</v>
      </c>
      <c r="F1298" t="s">
        <v>727</v>
      </c>
      <c r="G1298" t="s">
        <v>2225</v>
      </c>
      <c r="H1298" t="s">
        <v>3093</v>
      </c>
      <c r="I1298" t="s">
        <v>3286</v>
      </c>
      <c r="J1298" t="s">
        <v>3604</v>
      </c>
      <c r="K1298">
        <v>10032</v>
      </c>
      <c r="L1298" t="s">
        <v>3610</v>
      </c>
      <c r="M1298" t="s">
        <v>3610</v>
      </c>
      <c r="O1298" t="s">
        <v>4211</v>
      </c>
      <c r="P1298" t="s">
        <v>4245</v>
      </c>
      <c r="Q1298" t="s">
        <v>4250</v>
      </c>
      <c r="R1298" t="s">
        <v>4258</v>
      </c>
      <c r="S1298" t="s">
        <v>3611</v>
      </c>
      <c r="U1298" t="s">
        <v>4268</v>
      </c>
      <c r="W1298" t="s">
        <v>573</v>
      </c>
      <c r="X1298">
        <v>1537.34</v>
      </c>
      <c r="Y1298" t="s">
        <v>4351</v>
      </c>
      <c r="Z1298" t="s">
        <v>4354</v>
      </c>
      <c r="AA1298" t="s">
        <v>4373</v>
      </c>
      <c r="AB1298" t="s">
        <v>5406</v>
      </c>
      <c r="AD1298" t="s">
        <v>6760</v>
      </c>
      <c r="AE1298">
        <v>74</v>
      </c>
      <c r="AF1298" t="s">
        <v>7101</v>
      </c>
      <c r="AG1298" t="s">
        <v>3745</v>
      </c>
      <c r="AH1298">
        <v>14</v>
      </c>
      <c r="AI1298">
        <v>2</v>
      </c>
      <c r="AJ1298">
        <v>0</v>
      </c>
      <c r="AK1298">
        <v>182.26</v>
      </c>
      <c r="AN1298" t="s">
        <v>7139</v>
      </c>
      <c r="AO1298">
        <v>30000</v>
      </c>
      <c r="AU1298">
        <v>0.3</v>
      </c>
      <c r="AV1298" t="s">
        <v>136</v>
      </c>
      <c r="AW1298" t="s">
        <v>7342</v>
      </c>
    </row>
    <row r="1299" spans="1:50">
      <c r="A1299" s="1">
        <f>HYPERLINK("https://lsnyc.legalserver.org/matter/dynamic-profile/view/1881268","18-1881268")</f>
        <v>0</v>
      </c>
      <c r="B1299" t="s">
        <v>53</v>
      </c>
      <c r="C1299" t="s">
        <v>105</v>
      </c>
      <c r="D1299" t="s">
        <v>306</v>
      </c>
      <c r="F1299" t="s">
        <v>747</v>
      </c>
      <c r="G1299" t="s">
        <v>2226</v>
      </c>
      <c r="H1299" t="s">
        <v>2729</v>
      </c>
      <c r="I1299">
        <v>34</v>
      </c>
      <c r="J1299" t="s">
        <v>3604</v>
      </c>
      <c r="K1299">
        <v>10039</v>
      </c>
      <c r="L1299" t="s">
        <v>3610</v>
      </c>
      <c r="M1299" t="s">
        <v>3610</v>
      </c>
      <c r="N1299" t="s">
        <v>3767</v>
      </c>
      <c r="O1299" t="s">
        <v>4213</v>
      </c>
      <c r="P1299" t="s">
        <v>4241</v>
      </c>
      <c r="R1299" t="s">
        <v>4258</v>
      </c>
      <c r="S1299" t="s">
        <v>3610</v>
      </c>
      <c r="U1299" t="s">
        <v>4268</v>
      </c>
      <c r="V1299" t="s">
        <v>4274</v>
      </c>
      <c r="W1299" t="s">
        <v>348</v>
      </c>
      <c r="X1299">
        <v>1600</v>
      </c>
      <c r="Y1299" t="s">
        <v>4351</v>
      </c>
      <c r="Z1299" t="s">
        <v>4354</v>
      </c>
      <c r="AB1299" t="s">
        <v>5407</v>
      </c>
      <c r="AD1299" t="s">
        <v>6761</v>
      </c>
      <c r="AE1299">
        <v>24</v>
      </c>
      <c r="AF1299" t="s">
        <v>7112</v>
      </c>
      <c r="AG1299" t="s">
        <v>3745</v>
      </c>
      <c r="AH1299">
        <v>4</v>
      </c>
      <c r="AI1299">
        <v>1</v>
      </c>
      <c r="AJ1299">
        <v>0</v>
      </c>
      <c r="AK1299">
        <v>182.37</v>
      </c>
      <c r="AN1299" t="s">
        <v>7138</v>
      </c>
      <c r="AO1299">
        <v>22140</v>
      </c>
      <c r="AU1299">
        <v>44.9</v>
      </c>
      <c r="AV1299" t="s">
        <v>512</v>
      </c>
      <c r="AW1299" t="s">
        <v>7341</v>
      </c>
      <c r="AX1299" t="s">
        <v>7377</v>
      </c>
    </row>
    <row r="1300" spans="1:50">
      <c r="A1300" s="1">
        <f>HYPERLINK("https://lsnyc.legalserver.org/matter/dynamic-profile/view/1843578","17-1843578")</f>
        <v>0</v>
      </c>
      <c r="B1300" t="s">
        <v>55</v>
      </c>
      <c r="C1300" t="s">
        <v>104</v>
      </c>
      <c r="D1300" t="s">
        <v>188</v>
      </c>
      <c r="E1300" t="s">
        <v>303</v>
      </c>
      <c r="F1300" t="s">
        <v>725</v>
      </c>
      <c r="G1300" t="s">
        <v>1679</v>
      </c>
      <c r="H1300" t="s">
        <v>3094</v>
      </c>
      <c r="I1300" t="s">
        <v>3527</v>
      </c>
      <c r="J1300" t="s">
        <v>3604</v>
      </c>
      <c r="K1300">
        <v>10029</v>
      </c>
      <c r="L1300" t="s">
        <v>3610</v>
      </c>
      <c r="M1300" t="s">
        <v>3610</v>
      </c>
      <c r="N1300" t="s">
        <v>4070</v>
      </c>
      <c r="O1300" t="s">
        <v>4209</v>
      </c>
      <c r="P1300" t="s">
        <v>4241</v>
      </c>
      <c r="Q1300" t="s">
        <v>4254</v>
      </c>
      <c r="R1300" t="s">
        <v>4258</v>
      </c>
      <c r="S1300" t="s">
        <v>3611</v>
      </c>
      <c r="U1300" t="s">
        <v>4268</v>
      </c>
      <c r="V1300" t="s">
        <v>4274</v>
      </c>
      <c r="W1300" t="s">
        <v>188</v>
      </c>
      <c r="X1300">
        <v>1319.05</v>
      </c>
      <c r="Y1300" t="s">
        <v>4351</v>
      </c>
      <c r="Z1300" t="s">
        <v>4357</v>
      </c>
      <c r="AA1300" t="s">
        <v>4374</v>
      </c>
      <c r="AB1300" t="s">
        <v>5408</v>
      </c>
      <c r="AD1300" t="s">
        <v>6762</v>
      </c>
      <c r="AE1300">
        <v>936</v>
      </c>
      <c r="AF1300" t="s">
        <v>7102</v>
      </c>
      <c r="AG1300" t="s">
        <v>7116</v>
      </c>
      <c r="AH1300">
        <v>22</v>
      </c>
      <c r="AI1300">
        <v>1</v>
      </c>
      <c r="AJ1300">
        <v>0</v>
      </c>
      <c r="AK1300">
        <v>182.42</v>
      </c>
      <c r="AN1300" t="s">
        <v>7139</v>
      </c>
      <c r="AO1300">
        <v>22000</v>
      </c>
      <c r="AU1300">
        <v>10</v>
      </c>
      <c r="AV1300" t="s">
        <v>4309</v>
      </c>
      <c r="AW1300" t="s">
        <v>7341</v>
      </c>
    </row>
    <row r="1301" spans="1:50">
      <c r="A1301" s="1">
        <f>HYPERLINK("https://lsnyc.legalserver.org/matter/dynamic-profile/view/1850772","17-1850772")</f>
        <v>0</v>
      </c>
      <c r="B1301" t="s">
        <v>57</v>
      </c>
      <c r="C1301" t="s">
        <v>105</v>
      </c>
      <c r="D1301" t="s">
        <v>388</v>
      </c>
      <c r="F1301" t="s">
        <v>725</v>
      </c>
      <c r="G1301" t="s">
        <v>1679</v>
      </c>
      <c r="H1301" t="s">
        <v>3094</v>
      </c>
      <c r="I1301" t="s">
        <v>3527</v>
      </c>
      <c r="J1301" t="s">
        <v>3604</v>
      </c>
      <c r="K1301">
        <v>10029</v>
      </c>
      <c r="L1301" t="s">
        <v>3610</v>
      </c>
      <c r="M1301" t="s">
        <v>3609</v>
      </c>
      <c r="O1301" t="s">
        <v>4212</v>
      </c>
      <c r="P1301" t="s">
        <v>4244</v>
      </c>
      <c r="R1301" t="s">
        <v>4258</v>
      </c>
      <c r="S1301" t="s">
        <v>3611</v>
      </c>
      <c r="U1301" t="s">
        <v>4270</v>
      </c>
      <c r="W1301" t="s">
        <v>388</v>
      </c>
      <c r="X1301">
        <v>1319.05</v>
      </c>
      <c r="Y1301" t="s">
        <v>4351</v>
      </c>
      <c r="Z1301" t="s">
        <v>4356</v>
      </c>
      <c r="AB1301" t="s">
        <v>5408</v>
      </c>
      <c r="AD1301" t="s">
        <v>6762</v>
      </c>
      <c r="AE1301">
        <v>936</v>
      </c>
      <c r="AF1301" t="s">
        <v>7102</v>
      </c>
      <c r="AG1301" t="s">
        <v>3745</v>
      </c>
      <c r="AH1301">
        <v>22</v>
      </c>
      <c r="AI1301">
        <v>1</v>
      </c>
      <c r="AJ1301">
        <v>0</v>
      </c>
      <c r="AK1301">
        <v>182.42</v>
      </c>
      <c r="AN1301" t="s">
        <v>7139</v>
      </c>
      <c r="AO1301">
        <v>22000</v>
      </c>
      <c r="AU1301">
        <v>58.5</v>
      </c>
      <c r="AV1301" t="s">
        <v>302</v>
      </c>
      <c r="AW1301" t="s">
        <v>7341</v>
      </c>
    </row>
    <row r="1302" spans="1:50">
      <c r="A1302" s="1">
        <f>HYPERLINK("https://lsnyc.legalserver.org/matter/dynamic-profile/view/1857859","18-1857859")</f>
        <v>0</v>
      </c>
      <c r="B1302" t="s">
        <v>66</v>
      </c>
      <c r="C1302" t="s">
        <v>104</v>
      </c>
      <c r="D1302" t="s">
        <v>601</v>
      </c>
      <c r="E1302" t="s">
        <v>636</v>
      </c>
      <c r="F1302" t="s">
        <v>1364</v>
      </c>
      <c r="G1302" t="s">
        <v>2227</v>
      </c>
      <c r="H1302" t="s">
        <v>3095</v>
      </c>
      <c r="I1302" t="s">
        <v>3356</v>
      </c>
      <c r="J1302" t="s">
        <v>3604</v>
      </c>
      <c r="K1302">
        <v>10027</v>
      </c>
      <c r="L1302" t="s">
        <v>3610</v>
      </c>
      <c r="M1302" t="s">
        <v>3610</v>
      </c>
      <c r="N1302" t="s">
        <v>4071</v>
      </c>
      <c r="O1302" t="s">
        <v>4210</v>
      </c>
      <c r="P1302" t="s">
        <v>4242</v>
      </c>
      <c r="Q1302" t="s">
        <v>4250</v>
      </c>
      <c r="R1302" t="s">
        <v>4258</v>
      </c>
      <c r="S1302" t="s">
        <v>3611</v>
      </c>
      <c r="T1302" t="s">
        <v>4259</v>
      </c>
      <c r="U1302" t="s">
        <v>4268</v>
      </c>
      <c r="W1302" t="s">
        <v>428</v>
      </c>
      <c r="X1302">
        <v>691</v>
      </c>
      <c r="Y1302" t="s">
        <v>4351</v>
      </c>
      <c r="Z1302" t="s">
        <v>4367</v>
      </c>
      <c r="AA1302" t="s">
        <v>4373</v>
      </c>
      <c r="AB1302" t="s">
        <v>5409</v>
      </c>
      <c r="AD1302" t="s">
        <v>6763</v>
      </c>
      <c r="AE1302">
        <v>11</v>
      </c>
      <c r="AF1302" t="s">
        <v>7101</v>
      </c>
      <c r="AG1302" t="s">
        <v>3745</v>
      </c>
      <c r="AH1302">
        <v>12</v>
      </c>
      <c r="AI1302">
        <v>2</v>
      </c>
      <c r="AJ1302">
        <v>2</v>
      </c>
      <c r="AK1302">
        <v>182.44</v>
      </c>
      <c r="AN1302" t="s">
        <v>7138</v>
      </c>
      <c r="AO1302">
        <v>44880</v>
      </c>
      <c r="AU1302">
        <v>1.2</v>
      </c>
      <c r="AV1302" t="s">
        <v>249</v>
      </c>
      <c r="AW1302" t="s">
        <v>7344</v>
      </c>
    </row>
    <row r="1303" spans="1:50">
      <c r="A1303" s="1">
        <f>HYPERLINK("https://lsnyc.legalserver.org/matter/dynamic-profile/view/1844727","17-1844727")</f>
        <v>0</v>
      </c>
      <c r="B1303" t="s">
        <v>53</v>
      </c>
      <c r="C1303" t="s">
        <v>104</v>
      </c>
      <c r="D1303" t="s">
        <v>514</v>
      </c>
      <c r="E1303" t="s">
        <v>260</v>
      </c>
      <c r="F1303" t="s">
        <v>711</v>
      </c>
      <c r="G1303" t="s">
        <v>1702</v>
      </c>
      <c r="H1303" t="s">
        <v>2594</v>
      </c>
      <c r="I1303" t="s">
        <v>3524</v>
      </c>
      <c r="J1303" t="s">
        <v>3604</v>
      </c>
      <c r="K1303">
        <v>10034</v>
      </c>
      <c r="L1303" t="s">
        <v>3610</v>
      </c>
      <c r="M1303" t="s">
        <v>3609</v>
      </c>
      <c r="N1303" t="s">
        <v>4063</v>
      </c>
      <c r="O1303" t="s">
        <v>4209</v>
      </c>
      <c r="P1303" t="s">
        <v>4241</v>
      </c>
      <c r="Q1303" t="s">
        <v>4248</v>
      </c>
      <c r="R1303" t="s">
        <v>4258</v>
      </c>
      <c r="S1303" t="s">
        <v>3611</v>
      </c>
      <c r="U1303" t="s">
        <v>4268</v>
      </c>
      <c r="W1303" t="s">
        <v>514</v>
      </c>
      <c r="X1303">
        <v>1068</v>
      </c>
      <c r="Y1303" t="s">
        <v>4351</v>
      </c>
      <c r="Z1303" t="s">
        <v>4365</v>
      </c>
      <c r="AA1303" t="s">
        <v>4374</v>
      </c>
      <c r="AB1303" t="s">
        <v>5391</v>
      </c>
      <c r="AD1303" t="s">
        <v>6745</v>
      </c>
      <c r="AE1303">
        <v>20</v>
      </c>
      <c r="AF1303" t="s">
        <v>7101</v>
      </c>
      <c r="AG1303" t="s">
        <v>3745</v>
      </c>
      <c r="AH1303">
        <v>6</v>
      </c>
      <c r="AI1303">
        <v>3</v>
      </c>
      <c r="AJ1303">
        <v>2</v>
      </c>
      <c r="AK1303">
        <v>182.49</v>
      </c>
      <c r="AN1303" t="s">
        <v>7139</v>
      </c>
      <c r="AO1303">
        <v>52520</v>
      </c>
      <c r="AU1303">
        <v>12.4</v>
      </c>
      <c r="AV1303" t="s">
        <v>126</v>
      </c>
      <c r="AW1303" t="s">
        <v>7366</v>
      </c>
    </row>
    <row r="1304" spans="1:50">
      <c r="A1304" s="1">
        <f>HYPERLINK("https://lsnyc.legalserver.org/matter/dynamic-profile/view/1897061","19-1897061")</f>
        <v>0</v>
      </c>
      <c r="B1304" t="s">
        <v>64</v>
      </c>
      <c r="C1304" t="s">
        <v>105</v>
      </c>
      <c r="D1304" t="s">
        <v>253</v>
      </c>
      <c r="F1304" t="s">
        <v>1365</v>
      </c>
      <c r="G1304" t="s">
        <v>1642</v>
      </c>
      <c r="H1304" t="s">
        <v>2671</v>
      </c>
      <c r="I1304">
        <v>1</v>
      </c>
      <c r="J1304" t="s">
        <v>3604</v>
      </c>
      <c r="K1304">
        <v>10034</v>
      </c>
      <c r="L1304" t="s">
        <v>3610</v>
      </c>
      <c r="M1304" t="s">
        <v>3610</v>
      </c>
      <c r="O1304" t="s">
        <v>4213</v>
      </c>
      <c r="P1304" t="s">
        <v>4244</v>
      </c>
      <c r="R1304" t="s">
        <v>4258</v>
      </c>
      <c r="S1304" t="s">
        <v>3610</v>
      </c>
      <c r="U1304" t="s">
        <v>4268</v>
      </c>
      <c r="W1304" t="s">
        <v>253</v>
      </c>
      <c r="X1304">
        <v>1400</v>
      </c>
      <c r="Y1304" t="s">
        <v>4351</v>
      </c>
      <c r="Z1304" t="s">
        <v>4354</v>
      </c>
      <c r="AB1304" t="s">
        <v>5410</v>
      </c>
      <c r="AD1304" t="s">
        <v>6764</v>
      </c>
      <c r="AE1304">
        <v>20</v>
      </c>
      <c r="AF1304" t="s">
        <v>7101</v>
      </c>
      <c r="AG1304" t="s">
        <v>4228</v>
      </c>
      <c r="AH1304">
        <v>10</v>
      </c>
      <c r="AI1304">
        <v>1</v>
      </c>
      <c r="AJ1304">
        <v>0</v>
      </c>
      <c r="AK1304">
        <v>182.55</v>
      </c>
      <c r="AN1304" t="s">
        <v>7139</v>
      </c>
      <c r="AO1304">
        <v>22800</v>
      </c>
      <c r="AU1304">
        <v>9.800000000000001</v>
      </c>
      <c r="AV1304" t="s">
        <v>625</v>
      </c>
      <c r="AW1304" t="s">
        <v>7342</v>
      </c>
    </row>
    <row r="1305" spans="1:50">
      <c r="A1305" s="1">
        <f>HYPERLINK("https://lsnyc.legalserver.org/matter/dynamic-profile/view/1843111","17-1843111")</f>
        <v>0</v>
      </c>
      <c r="B1305" t="s">
        <v>62</v>
      </c>
      <c r="C1305" t="s">
        <v>105</v>
      </c>
      <c r="D1305" t="s">
        <v>307</v>
      </c>
      <c r="F1305" t="s">
        <v>1366</v>
      </c>
      <c r="G1305" t="s">
        <v>1579</v>
      </c>
      <c r="H1305" t="s">
        <v>3096</v>
      </c>
      <c r="I1305" t="s">
        <v>3333</v>
      </c>
      <c r="J1305" t="s">
        <v>3604</v>
      </c>
      <c r="K1305">
        <v>10033</v>
      </c>
      <c r="L1305" t="s">
        <v>3610</v>
      </c>
      <c r="M1305" t="s">
        <v>3610</v>
      </c>
      <c r="P1305" t="s">
        <v>4241</v>
      </c>
      <c r="R1305" t="s">
        <v>4258</v>
      </c>
      <c r="S1305" t="s">
        <v>3611</v>
      </c>
      <c r="U1305" t="s">
        <v>4268</v>
      </c>
      <c r="W1305" t="s">
        <v>307</v>
      </c>
      <c r="X1305">
        <v>650</v>
      </c>
      <c r="Y1305" t="s">
        <v>4351</v>
      </c>
      <c r="Z1305" t="s">
        <v>4354</v>
      </c>
      <c r="AB1305" t="s">
        <v>5411</v>
      </c>
      <c r="AD1305" t="s">
        <v>6765</v>
      </c>
      <c r="AE1305">
        <v>30</v>
      </c>
      <c r="AF1305" t="s">
        <v>7101</v>
      </c>
      <c r="AG1305" t="s">
        <v>3745</v>
      </c>
      <c r="AH1305">
        <v>1</v>
      </c>
      <c r="AI1305">
        <v>1</v>
      </c>
      <c r="AJ1305">
        <v>0</v>
      </c>
      <c r="AK1305">
        <v>182.59</v>
      </c>
      <c r="AN1305" t="s">
        <v>7139</v>
      </c>
      <c r="AO1305">
        <v>22020</v>
      </c>
      <c r="AU1305">
        <v>89.75</v>
      </c>
      <c r="AV1305" t="s">
        <v>396</v>
      </c>
      <c r="AW1305" t="s">
        <v>7342</v>
      </c>
    </row>
    <row r="1306" spans="1:50">
      <c r="A1306" s="1">
        <f>HYPERLINK("https://lsnyc.legalserver.org/matter/dynamic-profile/view/1849721","17-1849721")</f>
        <v>0</v>
      </c>
      <c r="B1306" t="s">
        <v>56</v>
      </c>
      <c r="C1306" t="s">
        <v>104</v>
      </c>
      <c r="D1306" t="s">
        <v>596</v>
      </c>
      <c r="E1306" t="s">
        <v>670</v>
      </c>
      <c r="F1306" t="s">
        <v>878</v>
      </c>
      <c r="G1306" t="s">
        <v>2019</v>
      </c>
      <c r="H1306" t="s">
        <v>2920</v>
      </c>
      <c r="I1306" t="s">
        <v>3421</v>
      </c>
      <c r="J1306" t="s">
        <v>3604</v>
      </c>
      <c r="K1306">
        <v>10034</v>
      </c>
      <c r="L1306" t="s">
        <v>3610</v>
      </c>
      <c r="M1306" t="s">
        <v>3610</v>
      </c>
      <c r="O1306" t="s">
        <v>4228</v>
      </c>
      <c r="P1306" t="s">
        <v>4241</v>
      </c>
      <c r="Q1306" t="s">
        <v>4248</v>
      </c>
      <c r="R1306" t="s">
        <v>4258</v>
      </c>
      <c r="S1306" t="s">
        <v>3611</v>
      </c>
      <c r="U1306" t="s">
        <v>4268</v>
      </c>
      <c r="W1306" t="s">
        <v>4297</v>
      </c>
      <c r="X1306">
        <v>1100</v>
      </c>
      <c r="Y1306" t="s">
        <v>4351</v>
      </c>
      <c r="Z1306" t="s">
        <v>4354</v>
      </c>
      <c r="AA1306" t="s">
        <v>4374</v>
      </c>
      <c r="AB1306" t="s">
        <v>5183</v>
      </c>
      <c r="AD1306" t="s">
        <v>6766</v>
      </c>
      <c r="AE1306">
        <v>66</v>
      </c>
      <c r="AF1306" t="s">
        <v>7101</v>
      </c>
      <c r="AG1306" t="s">
        <v>3745</v>
      </c>
      <c r="AH1306">
        <v>31</v>
      </c>
      <c r="AI1306">
        <v>1</v>
      </c>
      <c r="AJ1306">
        <v>0</v>
      </c>
      <c r="AK1306">
        <v>183.25</v>
      </c>
      <c r="AN1306" t="s">
        <v>7139</v>
      </c>
      <c r="AO1306">
        <v>22100</v>
      </c>
      <c r="AU1306">
        <v>18.4</v>
      </c>
      <c r="AV1306" t="s">
        <v>280</v>
      </c>
      <c r="AW1306" t="s">
        <v>7342</v>
      </c>
    </row>
    <row r="1307" spans="1:50">
      <c r="A1307" s="1">
        <f>HYPERLINK("https://lsnyc.legalserver.org/matter/dynamic-profile/view/1888399","19-1888399")</f>
        <v>0</v>
      </c>
      <c r="B1307" t="s">
        <v>61</v>
      </c>
      <c r="C1307" t="s">
        <v>105</v>
      </c>
      <c r="D1307" t="s">
        <v>113</v>
      </c>
      <c r="F1307" t="s">
        <v>727</v>
      </c>
      <c r="G1307" t="s">
        <v>1622</v>
      </c>
      <c r="H1307" t="s">
        <v>2556</v>
      </c>
      <c r="I1307">
        <v>55</v>
      </c>
      <c r="J1307" t="s">
        <v>3604</v>
      </c>
      <c r="K1307">
        <v>10034</v>
      </c>
      <c r="L1307" t="s">
        <v>3610</v>
      </c>
      <c r="M1307" t="s">
        <v>3610</v>
      </c>
      <c r="N1307" t="s">
        <v>3739</v>
      </c>
      <c r="O1307" t="s">
        <v>4213</v>
      </c>
      <c r="P1307" t="s">
        <v>4241</v>
      </c>
      <c r="R1307" t="s">
        <v>4258</v>
      </c>
      <c r="S1307" t="s">
        <v>3610</v>
      </c>
      <c r="U1307" t="s">
        <v>4268</v>
      </c>
      <c r="W1307" t="s">
        <v>113</v>
      </c>
      <c r="X1307">
        <v>925.0700000000001</v>
      </c>
      <c r="Y1307" t="s">
        <v>4351</v>
      </c>
      <c r="Z1307" t="s">
        <v>4354</v>
      </c>
      <c r="AB1307" t="s">
        <v>5412</v>
      </c>
      <c r="AD1307" t="s">
        <v>6767</v>
      </c>
      <c r="AE1307">
        <v>25</v>
      </c>
      <c r="AF1307" t="s">
        <v>7101</v>
      </c>
      <c r="AG1307" t="s">
        <v>7116</v>
      </c>
      <c r="AH1307">
        <v>27</v>
      </c>
      <c r="AI1307">
        <v>2</v>
      </c>
      <c r="AJ1307">
        <v>0</v>
      </c>
      <c r="AK1307">
        <v>183.32</v>
      </c>
      <c r="AN1307" t="s">
        <v>7139</v>
      </c>
      <c r="AO1307">
        <v>31000</v>
      </c>
      <c r="AU1307">
        <v>1.42</v>
      </c>
      <c r="AV1307" t="s">
        <v>179</v>
      </c>
      <c r="AW1307" t="s">
        <v>7342</v>
      </c>
      <c r="AX1307" t="s">
        <v>7377</v>
      </c>
    </row>
    <row r="1308" spans="1:50">
      <c r="A1308" s="1">
        <f>HYPERLINK("https://lsnyc.legalserver.org/matter/dynamic-profile/view/0816440","16-0816440")</f>
        <v>0</v>
      </c>
      <c r="B1308" t="s">
        <v>66</v>
      </c>
      <c r="C1308" t="s">
        <v>104</v>
      </c>
      <c r="D1308" t="s">
        <v>602</v>
      </c>
      <c r="E1308" t="s">
        <v>271</v>
      </c>
      <c r="F1308" t="s">
        <v>1367</v>
      </c>
      <c r="G1308" t="s">
        <v>2228</v>
      </c>
      <c r="H1308" t="s">
        <v>3097</v>
      </c>
      <c r="I1308">
        <v>25</v>
      </c>
      <c r="J1308" t="s">
        <v>3604</v>
      </c>
      <c r="K1308">
        <v>10031</v>
      </c>
      <c r="L1308" t="s">
        <v>3610</v>
      </c>
      <c r="M1308" t="s">
        <v>3609</v>
      </c>
      <c r="P1308" t="s">
        <v>4241</v>
      </c>
      <c r="Q1308" t="s">
        <v>4248</v>
      </c>
      <c r="R1308" t="s">
        <v>4258</v>
      </c>
      <c r="S1308" t="s">
        <v>3610</v>
      </c>
      <c r="T1308" t="s">
        <v>4260</v>
      </c>
      <c r="U1308" t="s">
        <v>4268</v>
      </c>
      <c r="W1308" t="s">
        <v>278</v>
      </c>
      <c r="X1308">
        <v>0</v>
      </c>
      <c r="Y1308" t="s">
        <v>4351</v>
      </c>
      <c r="AA1308" t="s">
        <v>4374</v>
      </c>
      <c r="AB1308" t="s">
        <v>5413</v>
      </c>
      <c r="AD1308" t="s">
        <v>6768</v>
      </c>
      <c r="AE1308">
        <v>0</v>
      </c>
      <c r="AH1308">
        <v>0</v>
      </c>
      <c r="AI1308">
        <v>2</v>
      </c>
      <c r="AJ1308">
        <v>2</v>
      </c>
      <c r="AK1308">
        <v>183.37</v>
      </c>
      <c r="AN1308" t="s">
        <v>7139</v>
      </c>
      <c r="AO1308">
        <v>44560</v>
      </c>
      <c r="AU1308">
        <v>57.25</v>
      </c>
      <c r="AV1308" t="s">
        <v>495</v>
      </c>
      <c r="AW1308" t="s">
        <v>7359</v>
      </c>
    </row>
    <row r="1309" spans="1:50">
      <c r="A1309" s="1">
        <f>HYPERLINK("https://lsnyc.legalserver.org/matter/dynamic-profile/view/1857427","18-1857427")</f>
        <v>0</v>
      </c>
      <c r="B1309" t="s">
        <v>57</v>
      </c>
      <c r="C1309" t="s">
        <v>104</v>
      </c>
      <c r="D1309" t="s">
        <v>603</v>
      </c>
      <c r="E1309" t="s">
        <v>372</v>
      </c>
      <c r="F1309" t="s">
        <v>1368</v>
      </c>
      <c r="G1309" t="s">
        <v>2229</v>
      </c>
      <c r="H1309" t="s">
        <v>2485</v>
      </c>
      <c r="I1309">
        <v>311</v>
      </c>
      <c r="J1309" t="s">
        <v>3604</v>
      </c>
      <c r="K1309">
        <v>10034</v>
      </c>
      <c r="L1309" t="s">
        <v>3610</v>
      </c>
      <c r="M1309" t="s">
        <v>3609</v>
      </c>
      <c r="O1309" t="s">
        <v>4212</v>
      </c>
      <c r="P1309" t="s">
        <v>4244</v>
      </c>
      <c r="Q1309" t="s">
        <v>4252</v>
      </c>
      <c r="R1309" t="s">
        <v>4258</v>
      </c>
      <c r="S1309" t="s">
        <v>3611</v>
      </c>
      <c r="U1309" t="s">
        <v>4270</v>
      </c>
      <c r="W1309" t="s">
        <v>603</v>
      </c>
      <c r="X1309">
        <v>846</v>
      </c>
      <c r="Y1309" t="s">
        <v>4351</v>
      </c>
      <c r="Z1309" t="s">
        <v>4356</v>
      </c>
      <c r="AA1309" t="s">
        <v>4376</v>
      </c>
      <c r="AB1309" t="s">
        <v>5414</v>
      </c>
      <c r="AD1309" t="s">
        <v>6769</v>
      </c>
      <c r="AE1309">
        <v>47</v>
      </c>
      <c r="AF1309" t="s">
        <v>7105</v>
      </c>
      <c r="AG1309" t="s">
        <v>3745</v>
      </c>
      <c r="AH1309">
        <v>1</v>
      </c>
      <c r="AI1309">
        <v>1</v>
      </c>
      <c r="AJ1309">
        <v>0</v>
      </c>
      <c r="AK1309">
        <v>183.58</v>
      </c>
      <c r="AN1309" t="s">
        <v>7138</v>
      </c>
      <c r="AO1309">
        <v>22140</v>
      </c>
      <c r="AU1309">
        <v>35.05</v>
      </c>
      <c r="AV1309" t="s">
        <v>360</v>
      </c>
      <c r="AW1309" t="s">
        <v>7341</v>
      </c>
    </row>
    <row r="1310" spans="1:50">
      <c r="A1310" s="1">
        <f>HYPERLINK("https://lsnyc.legalserver.org/matter/dynamic-profile/view/0825470","17-0825470")</f>
        <v>0</v>
      </c>
      <c r="B1310" t="s">
        <v>53</v>
      </c>
      <c r="C1310" t="s">
        <v>104</v>
      </c>
      <c r="D1310" t="s">
        <v>604</v>
      </c>
      <c r="E1310" t="s">
        <v>260</v>
      </c>
      <c r="F1310" t="s">
        <v>924</v>
      </c>
      <c r="G1310" t="s">
        <v>1790</v>
      </c>
      <c r="H1310" t="s">
        <v>2544</v>
      </c>
      <c r="I1310" t="s">
        <v>3466</v>
      </c>
      <c r="J1310" t="s">
        <v>3604</v>
      </c>
      <c r="K1310">
        <v>10034</v>
      </c>
      <c r="L1310" t="s">
        <v>3610</v>
      </c>
      <c r="M1310" t="s">
        <v>3609</v>
      </c>
      <c r="O1310" t="s">
        <v>4211</v>
      </c>
      <c r="P1310" t="s">
        <v>4246</v>
      </c>
      <c r="Q1310" t="s">
        <v>4249</v>
      </c>
      <c r="R1310" t="s">
        <v>4258</v>
      </c>
      <c r="S1310" t="s">
        <v>3611</v>
      </c>
      <c r="U1310" t="s">
        <v>4268</v>
      </c>
      <c r="W1310" t="s">
        <v>604</v>
      </c>
      <c r="X1310">
        <v>1569</v>
      </c>
      <c r="Y1310" t="s">
        <v>4351</v>
      </c>
      <c r="Z1310" t="s">
        <v>4357</v>
      </c>
      <c r="AA1310" t="s">
        <v>4379</v>
      </c>
      <c r="AB1310" t="s">
        <v>5067</v>
      </c>
      <c r="AD1310" t="s">
        <v>6442</v>
      </c>
      <c r="AE1310">
        <v>63</v>
      </c>
      <c r="AF1310" t="s">
        <v>7101</v>
      </c>
      <c r="AG1310" t="s">
        <v>7118</v>
      </c>
      <c r="AH1310">
        <v>33</v>
      </c>
      <c r="AI1310">
        <v>1</v>
      </c>
      <c r="AJ1310">
        <v>0</v>
      </c>
      <c r="AK1310">
        <v>183.87</v>
      </c>
      <c r="AN1310" t="s">
        <v>7138</v>
      </c>
      <c r="AO1310">
        <v>21844</v>
      </c>
      <c r="AU1310">
        <v>19.68</v>
      </c>
      <c r="AV1310" t="s">
        <v>7331</v>
      </c>
      <c r="AW1310" t="s">
        <v>7341</v>
      </c>
    </row>
    <row r="1311" spans="1:50">
      <c r="A1311" s="1">
        <f>HYPERLINK("https://lsnyc.legalserver.org/matter/dynamic-profile/view/1867368","18-1867368")</f>
        <v>0</v>
      </c>
      <c r="B1311" t="s">
        <v>69</v>
      </c>
      <c r="C1311" t="s">
        <v>104</v>
      </c>
      <c r="D1311" t="s">
        <v>225</v>
      </c>
      <c r="E1311" t="s">
        <v>529</v>
      </c>
      <c r="F1311" t="s">
        <v>923</v>
      </c>
      <c r="G1311" t="s">
        <v>844</v>
      </c>
      <c r="H1311" t="s">
        <v>3087</v>
      </c>
      <c r="I1311" t="s">
        <v>3526</v>
      </c>
      <c r="J1311" t="s">
        <v>3604</v>
      </c>
      <c r="K1311">
        <v>10029</v>
      </c>
      <c r="L1311" t="s">
        <v>3610</v>
      </c>
      <c r="M1311" t="s">
        <v>3609</v>
      </c>
      <c r="N1311" t="s">
        <v>4072</v>
      </c>
      <c r="O1311" t="s">
        <v>4209</v>
      </c>
      <c r="P1311" t="s">
        <v>4241</v>
      </c>
      <c r="Q1311" t="s">
        <v>4248</v>
      </c>
      <c r="R1311" t="s">
        <v>4258</v>
      </c>
      <c r="S1311" t="s">
        <v>3611</v>
      </c>
      <c r="U1311" t="s">
        <v>4268</v>
      </c>
      <c r="V1311" t="s">
        <v>4274</v>
      </c>
      <c r="W1311" t="s">
        <v>233</v>
      </c>
      <c r="X1311">
        <v>3258</v>
      </c>
      <c r="Y1311" t="s">
        <v>4351</v>
      </c>
      <c r="Z1311" t="s">
        <v>4369</v>
      </c>
      <c r="AA1311" t="s">
        <v>4374</v>
      </c>
      <c r="AB1311" t="s">
        <v>5398</v>
      </c>
      <c r="AC1311" t="s">
        <v>5843</v>
      </c>
      <c r="AD1311" t="s">
        <v>6751</v>
      </c>
      <c r="AE1311">
        <v>120</v>
      </c>
      <c r="AF1311" t="s">
        <v>7101</v>
      </c>
      <c r="AG1311" t="s">
        <v>7116</v>
      </c>
      <c r="AH1311">
        <v>38</v>
      </c>
      <c r="AI1311">
        <v>1</v>
      </c>
      <c r="AJ1311">
        <v>3</v>
      </c>
      <c r="AK1311">
        <v>184.1</v>
      </c>
      <c r="AN1311" t="s">
        <v>7138</v>
      </c>
      <c r="AO1311">
        <v>46207.92</v>
      </c>
      <c r="AR1311" t="s">
        <v>7205</v>
      </c>
      <c r="AS1311" t="s">
        <v>7231</v>
      </c>
      <c r="AT1311" t="s">
        <v>7271</v>
      </c>
      <c r="AU1311">
        <v>35.4</v>
      </c>
      <c r="AV1311" t="s">
        <v>131</v>
      </c>
      <c r="AW1311" t="s">
        <v>7357</v>
      </c>
      <c r="AX1311" t="s">
        <v>7377</v>
      </c>
    </row>
    <row r="1312" spans="1:50">
      <c r="A1312" s="1">
        <f>HYPERLINK("https://lsnyc.legalserver.org/matter/dynamic-profile/view/1844286","17-1844286")</f>
        <v>0</v>
      </c>
      <c r="B1312" t="s">
        <v>55</v>
      </c>
      <c r="C1312" t="s">
        <v>104</v>
      </c>
      <c r="D1312" t="s">
        <v>430</v>
      </c>
      <c r="E1312" t="s">
        <v>329</v>
      </c>
      <c r="F1312" t="s">
        <v>853</v>
      </c>
      <c r="G1312" t="s">
        <v>2230</v>
      </c>
      <c r="H1312" t="s">
        <v>3098</v>
      </c>
      <c r="I1312">
        <v>7</v>
      </c>
      <c r="J1312" t="s">
        <v>3604</v>
      </c>
      <c r="K1312">
        <v>10029</v>
      </c>
      <c r="L1312" t="s">
        <v>3610</v>
      </c>
      <c r="M1312" t="s">
        <v>3610</v>
      </c>
      <c r="N1312" t="s">
        <v>4073</v>
      </c>
      <c r="O1312" t="s">
        <v>4209</v>
      </c>
      <c r="P1312" t="s">
        <v>4241</v>
      </c>
      <c r="Q1312" t="s">
        <v>4248</v>
      </c>
      <c r="R1312" t="s">
        <v>4258</v>
      </c>
      <c r="S1312" t="s">
        <v>3611</v>
      </c>
      <c r="U1312" t="s">
        <v>4268</v>
      </c>
      <c r="V1312" t="s">
        <v>4274</v>
      </c>
      <c r="W1312" t="s">
        <v>430</v>
      </c>
      <c r="X1312">
        <v>670.96</v>
      </c>
      <c r="Y1312" t="s">
        <v>4351</v>
      </c>
      <c r="Z1312" t="s">
        <v>4353</v>
      </c>
      <c r="AA1312" t="s">
        <v>4374</v>
      </c>
      <c r="AB1312" t="s">
        <v>5415</v>
      </c>
      <c r="AD1312" t="s">
        <v>6770</v>
      </c>
      <c r="AE1312">
        <v>16</v>
      </c>
      <c r="AF1312" t="s">
        <v>7101</v>
      </c>
      <c r="AG1312" t="s">
        <v>3745</v>
      </c>
      <c r="AH1312">
        <v>30</v>
      </c>
      <c r="AI1312">
        <v>2</v>
      </c>
      <c r="AJ1312">
        <v>0</v>
      </c>
      <c r="AK1312">
        <v>184.11</v>
      </c>
      <c r="AN1312" t="s">
        <v>7138</v>
      </c>
      <c r="AO1312">
        <v>29900.04</v>
      </c>
      <c r="AU1312">
        <v>12.7</v>
      </c>
      <c r="AV1312" t="s">
        <v>603</v>
      </c>
      <c r="AW1312" t="s">
        <v>7344</v>
      </c>
    </row>
    <row r="1313" spans="1:50">
      <c r="A1313" s="1">
        <f>HYPERLINK("https://lsnyc.legalserver.org/matter/dynamic-profile/view/1878313","18-1878313")</f>
        <v>0</v>
      </c>
      <c r="B1313" t="s">
        <v>74</v>
      </c>
      <c r="C1313" t="s">
        <v>105</v>
      </c>
      <c r="D1313" t="s">
        <v>110</v>
      </c>
      <c r="F1313" t="s">
        <v>877</v>
      </c>
      <c r="G1313" t="s">
        <v>2231</v>
      </c>
      <c r="H1313" t="s">
        <v>3099</v>
      </c>
      <c r="I1313" t="s">
        <v>3528</v>
      </c>
      <c r="J1313" t="s">
        <v>3604</v>
      </c>
      <c r="K1313">
        <v>10128</v>
      </c>
      <c r="L1313" t="s">
        <v>3610</v>
      </c>
      <c r="M1313" t="s">
        <v>3610</v>
      </c>
      <c r="N1313" t="s">
        <v>4074</v>
      </c>
      <c r="O1313" t="s">
        <v>4209</v>
      </c>
      <c r="P1313" t="s">
        <v>4242</v>
      </c>
      <c r="R1313" t="s">
        <v>4258</v>
      </c>
      <c r="S1313" t="s">
        <v>3611</v>
      </c>
      <c r="U1313" t="s">
        <v>4268</v>
      </c>
      <c r="W1313" t="s">
        <v>110</v>
      </c>
      <c r="X1313">
        <v>1741.4</v>
      </c>
      <c r="Y1313" t="s">
        <v>4351</v>
      </c>
      <c r="Z1313" t="s">
        <v>4228</v>
      </c>
      <c r="AB1313" t="s">
        <v>5416</v>
      </c>
      <c r="AD1313" t="s">
        <v>6771</v>
      </c>
      <c r="AE1313">
        <v>20</v>
      </c>
      <c r="AF1313" t="s">
        <v>7101</v>
      </c>
      <c r="AG1313" t="s">
        <v>3745</v>
      </c>
      <c r="AH1313">
        <v>28</v>
      </c>
      <c r="AI1313">
        <v>1</v>
      </c>
      <c r="AJ1313">
        <v>0</v>
      </c>
      <c r="AK1313">
        <v>184.18</v>
      </c>
      <c r="AN1313" t="s">
        <v>7138</v>
      </c>
      <c r="AO1313">
        <v>22360</v>
      </c>
      <c r="AU1313">
        <v>1.8</v>
      </c>
      <c r="AV1313" t="s">
        <v>311</v>
      </c>
      <c r="AW1313" t="s">
        <v>7341</v>
      </c>
    </row>
    <row r="1314" spans="1:50">
      <c r="A1314" s="1">
        <f>HYPERLINK("https://lsnyc.legalserver.org/matter/dynamic-profile/view/1891601","19-1891601")</f>
        <v>0</v>
      </c>
      <c r="B1314" t="s">
        <v>62</v>
      </c>
      <c r="C1314" t="s">
        <v>104</v>
      </c>
      <c r="D1314" t="s">
        <v>605</v>
      </c>
      <c r="E1314" t="s">
        <v>540</v>
      </c>
      <c r="F1314" t="s">
        <v>901</v>
      </c>
      <c r="G1314" t="s">
        <v>2232</v>
      </c>
      <c r="H1314" t="s">
        <v>3100</v>
      </c>
      <c r="I1314" t="s">
        <v>3306</v>
      </c>
      <c r="J1314" t="s">
        <v>3604</v>
      </c>
      <c r="K1314">
        <v>10040</v>
      </c>
      <c r="L1314" t="s">
        <v>3610</v>
      </c>
      <c r="M1314" t="s">
        <v>3609</v>
      </c>
      <c r="O1314" t="s">
        <v>4211</v>
      </c>
      <c r="P1314" t="s">
        <v>4242</v>
      </c>
      <c r="Q1314" t="s">
        <v>4250</v>
      </c>
      <c r="R1314" t="s">
        <v>4258</v>
      </c>
      <c r="S1314" t="s">
        <v>3611</v>
      </c>
      <c r="U1314" t="s">
        <v>4268</v>
      </c>
      <c r="W1314" t="s">
        <v>605</v>
      </c>
      <c r="X1314">
        <v>2300</v>
      </c>
      <c r="Y1314" t="s">
        <v>4351</v>
      </c>
      <c r="Z1314" t="s">
        <v>4354</v>
      </c>
      <c r="AA1314" t="s">
        <v>4373</v>
      </c>
      <c r="AB1314" t="s">
        <v>5417</v>
      </c>
      <c r="AD1314" t="s">
        <v>6772</v>
      </c>
      <c r="AE1314">
        <v>55</v>
      </c>
      <c r="AF1314" t="s">
        <v>7101</v>
      </c>
      <c r="AG1314" t="s">
        <v>3745</v>
      </c>
      <c r="AH1314">
        <v>11</v>
      </c>
      <c r="AI1314">
        <v>2</v>
      </c>
      <c r="AJ1314">
        <v>2</v>
      </c>
      <c r="AK1314">
        <v>184.85</v>
      </c>
      <c r="AN1314" t="s">
        <v>7139</v>
      </c>
      <c r="AO1314">
        <v>47600</v>
      </c>
      <c r="AU1314">
        <v>2.43</v>
      </c>
      <c r="AV1314" t="s">
        <v>504</v>
      </c>
      <c r="AW1314" t="s">
        <v>7340</v>
      </c>
      <c r="AX1314" t="s">
        <v>7377</v>
      </c>
    </row>
    <row r="1315" spans="1:50">
      <c r="A1315" s="1">
        <f>HYPERLINK("https://lsnyc.legalserver.org/matter/dynamic-profile/view/1898973","19-1898973")</f>
        <v>0</v>
      </c>
      <c r="B1315" t="s">
        <v>56</v>
      </c>
      <c r="C1315" t="s">
        <v>105</v>
      </c>
      <c r="D1315" t="s">
        <v>606</v>
      </c>
      <c r="F1315" t="s">
        <v>1369</v>
      </c>
      <c r="G1315" t="s">
        <v>1694</v>
      </c>
      <c r="H1315" t="s">
        <v>2534</v>
      </c>
      <c r="J1315" t="s">
        <v>3604</v>
      </c>
      <c r="K1315">
        <v>10040</v>
      </c>
      <c r="L1315" t="s">
        <v>3610</v>
      </c>
      <c r="M1315" t="s">
        <v>3609</v>
      </c>
      <c r="O1315" t="s">
        <v>4209</v>
      </c>
      <c r="P1315" t="s">
        <v>4241</v>
      </c>
      <c r="R1315" t="s">
        <v>4258</v>
      </c>
      <c r="S1315" t="s">
        <v>3610</v>
      </c>
      <c r="U1315" t="s">
        <v>4268</v>
      </c>
      <c r="W1315" t="s">
        <v>606</v>
      </c>
      <c r="X1315">
        <v>1147</v>
      </c>
      <c r="Y1315" t="s">
        <v>4351</v>
      </c>
      <c r="Z1315" t="s">
        <v>4357</v>
      </c>
      <c r="AB1315" t="s">
        <v>5418</v>
      </c>
      <c r="AD1315" t="s">
        <v>6773</v>
      </c>
      <c r="AE1315">
        <v>44</v>
      </c>
      <c r="AF1315" t="s">
        <v>7101</v>
      </c>
      <c r="AG1315" t="s">
        <v>3745</v>
      </c>
      <c r="AH1315">
        <v>8</v>
      </c>
      <c r="AI1315">
        <v>3</v>
      </c>
      <c r="AJ1315">
        <v>0</v>
      </c>
      <c r="AK1315">
        <v>184.87</v>
      </c>
      <c r="AN1315" t="s">
        <v>7139</v>
      </c>
      <c r="AO1315">
        <v>39432</v>
      </c>
      <c r="AU1315">
        <v>14.6</v>
      </c>
      <c r="AV1315" t="s">
        <v>529</v>
      </c>
      <c r="AW1315" t="s">
        <v>7342</v>
      </c>
      <c r="AX1315" t="s">
        <v>7377</v>
      </c>
    </row>
    <row r="1316" spans="1:50">
      <c r="A1316" s="1">
        <f>HYPERLINK("https://lsnyc.legalserver.org/matter/dynamic-profile/view/1868946","18-1868946")</f>
        <v>0</v>
      </c>
      <c r="B1316" t="s">
        <v>56</v>
      </c>
      <c r="C1316" t="s">
        <v>104</v>
      </c>
      <c r="D1316" t="s">
        <v>464</v>
      </c>
      <c r="E1316" t="s">
        <v>298</v>
      </c>
      <c r="F1316" t="s">
        <v>1370</v>
      </c>
      <c r="G1316" t="s">
        <v>2111</v>
      </c>
      <c r="H1316" t="s">
        <v>3101</v>
      </c>
      <c r="I1316" t="s">
        <v>3529</v>
      </c>
      <c r="J1316" t="s">
        <v>3604</v>
      </c>
      <c r="K1316">
        <v>10034</v>
      </c>
      <c r="L1316" t="s">
        <v>3610</v>
      </c>
      <c r="M1316" t="s">
        <v>3609</v>
      </c>
      <c r="N1316" t="s">
        <v>4075</v>
      </c>
      <c r="O1316" t="s">
        <v>4210</v>
      </c>
      <c r="P1316" t="s">
        <v>4242</v>
      </c>
      <c r="Q1316" t="s">
        <v>4250</v>
      </c>
      <c r="R1316" t="s">
        <v>4258</v>
      </c>
      <c r="S1316" t="s">
        <v>3611</v>
      </c>
      <c r="U1316" t="s">
        <v>4268</v>
      </c>
      <c r="W1316" t="s">
        <v>464</v>
      </c>
      <c r="X1316">
        <v>1550</v>
      </c>
      <c r="Y1316" t="s">
        <v>4351</v>
      </c>
      <c r="Z1316" t="s">
        <v>4354</v>
      </c>
      <c r="AA1316" t="s">
        <v>4373</v>
      </c>
      <c r="AB1316" t="s">
        <v>5419</v>
      </c>
      <c r="AD1316" t="s">
        <v>6774</v>
      </c>
      <c r="AE1316">
        <v>0</v>
      </c>
      <c r="AF1316" t="s">
        <v>7101</v>
      </c>
      <c r="AG1316" t="s">
        <v>3745</v>
      </c>
      <c r="AH1316">
        <v>1</v>
      </c>
      <c r="AI1316">
        <v>3</v>
      </c>
      <c r="AJ1316">
        <v>3</v>
      </c>
      <c r="AK1316">
        <v>184.94</v>
      </c>
      <c r="AN1316" t="s">
        <v>7139</v>
      </c>
      <c r="AO1316">
        <v>62400</v>
      </c>
      <c r="AU1316">
        <v>1</v>
      </c>
      <c r="AV1316" t="s">
        <v>464</v>
      </c>
      <c r="AW1316" t="s">
        <v>7342</v>
      </c>
    </row>
    <row r="1317" spans="1:50">
      <c r="A1317" s="1">
        <f>HYPERLINK("https://lsnyc.legalserver.org/matter/dynamic-profile/view/1894678","19-1894678")</f>
        <v>0</v>
      </c>
      <c r="B1317" t="s">
        <v>66</v>
      </c>
      <c r="C1317" t="s">
        <v>104</v>
      </c>
      <c r="D1317" t="s">
        <v>139</v>
      </c>
      <c r="E1317" t="s">
        <v>612</v>
      </c>
      <c r="F1317" t="s">
        <v>738</v>
      </c>
      <c r="G1317" t="s">
        <v>2233</v>
      </c>
      <c r="H1317" t="s">
        <v>3102</v>
      </c>
      <c r="I1317">
        <v>45</v>
      </c>
      <c r="J1317" t="s">
        <v>3604</v>
      </c>
      <c r="K1317">
        <v>10032</v>
      </c>
      <c r="L1317" t="s">
        <v>3610</v>
      </c>
      <c r="M1317" t="s">
        <v>3610</v>
      </c>
      <c r="N1317" t="s">
        <v>4076</v>
      </c>
      <c r="O1317" t="s">
        <v>4209</v>
      </c>
      <c r="P1317" t="s">
        <v>4245</v>
      </c>
      <c r="Q1317" t="s">
        <v>4249</v>
      </c>
      <c r="R1317" t="s">
        <v>4258</v>
      </c>
      <c r="S1317" t="s">
        <v>3611</v>
      </c>
      <c r="U1317" t="s">
        <v>4268</v>
      </c>
      <c r="W1317" t="s">
        <v>139</v>
      </c>
      <c r="X1317">
        <v>1088.62</v>
      </c>
      <c r="Y1317" t="s">
        <v>4351</v>
      </c>
      <c r="Z1317" t="s">
        <v>4353</v>
      </c>
      <c r="AA1317" t="s">
        <v>4373</v>
      </c>
      <c r="AB1317" t="s">
        <v>5420</v>
      </c>
      <c r="AD1317" t="s">
        <v>6775</v>
      </c>
      <c r="AE1317">
        <v>0</v>
      </c>
      <c r="AF1317" t="s">
        <v>7101</v>
      </c>
      <c r="AG1317" t="s">
        <v>3745</v>
      </c>
      <c r="AH1317">
        <v>16</v>
      </c>
      <c r="AI1317">
        <v>5</v>
      </c>
      <c r="AJ1317">
        <v>1</v>
      </c>
      <c r="AK1317">
        <v>185.02</v>
      </c>
      <c r="AN1317" t="s">
        <v>7139</v>
      </c>
      <c r="AO1317">
        <v>64000</v>
      </c>
      <c r="AU1317">
        <v>0.6</v>
      </c>
      <c r="AV1317" t="s">
        <v>659</v>
      </c>
      <c r="AW1317" t="s">
        <v>7347</v>
      </c>
      <c r="AX1317" t="s">
        <v>7377</v>
      </c>
    </row>
    <row r="1318" spans="1:50">
      <c r="A1318" s="1">
        <f>HYPERLINK("https://lsnyc.legalserver.org/matter/dynamic-profile/view/1867246","18-1867246")</f>
        <v>0</v>
      </c>
      <c r="B1318" t="s">
        <v>51</v>
      </c>
      <c r="C1318" t="s">
        <v>104</v>
      </c>
      <c r="D1318" t="s">
        <v>607</v>
      </c>
      <c r="E1318" t="s">
        <v>385</v>
      </c>
      <c r="F1318" t="s">
        <v>1371</v>
      </c>
      <c r="G1318" t="s">
        <v>1710</v>
      </c>
      <c r="H1318" t="s">
        <v>2565</v>
      </c>
      <c r="I1318" t="s">
        <v>3338</v>
      </c>
      <c r="J1318" t="s">
        <v>3604</v>
      </c>
      <c r="K1318">
        <v>10031</v>
      </c>
      <c r="L1318" t="s">
        <v>3610</v>
      </c>
      <c r="M1318" t="s">
        <v>3610</v>
      </c>
      <c r="N1318" t="s">
        <v>4077</v>
      </c>
      <c r="O1318" t="s">
        <v>4209</v>
      </c>
      <c r="P1318" t="s">
        <v>4241</v>
      </c>
      <c r="Q1318" t="s">
        <v>4248</v>
      </c>
      <c r="R1318" t="s">
        <v>4258</v>
      </c>
      <c r="S1318" t="s">
        <v>3611</v>
      </c>
      <c r="U1318" t="s">
        <v>4268</v>
      </c>
      <c r="V1318" t="s">
        <v>4274</v>
      </c>
      <c r="W1318" t="s">
        <v>607</v>
      </c>
      <c r="X1318">
        <v>2697</v>
      </c>
      <c r="Y1318" t="s">
        <v>4351</v>
      </c>
      <c r="Z1318" t="s">
        <v>4354</v>
      </c>
      <c r="AA1318" t="s">
        <v>4374</v>
      </c>
      <c r="AB1318" t="s">
        <v>5421</v>
      </c>
      <c r="AD1318" t="s">
        <v>6776</v>
      </c>
      <c r="AE1318">
        <v>44</v>
      </c>
      <c r="AF1318" t="s">
        <v>7106</v>
      </c>
      <c r="AG1318" t="s">
        <v>7116</v>
      </c>
      <c r="AH1318">
        <v>21</v>
      </c>
      <c r="AI1318">
        <v>1</v>
      </c>
      <c r="AJ1318">
        <v>2</v>
      </c>
      <c r="AK1318">
        <v>185.18</v>
      </c>
      <c r="AN1318" t="s">
        <v>7139</v>
      </c>
      <c r="AO1318">
        <v>38480</v>
      </c>
      <c r="AU1318">
        <v>3.6</v>
      </c>
      <c r="AV1318" t="s">
        <v>7290</v>
      </c>
      <c r="AW1318" t="s">
        <v>7341</v>
      </c>
    </row>
    <row r="1319" spans="1:50">
      <c r="A1319" s="1">
        <f>HYPERLINK("https://lsnyc.legalserver.org/matter/dynamic-profile/view/1902014","19-1902014")</f>
        <v>0</v>
      </c>
      <c r="B1319" t="s">
        <v>62</v>
      </c>
      <c r="C1319" t="s">
        <v>105</v>
      </c>
      <c r="D1319" t="s">
        <v>122</v>
      </c>
      <c r="F1319" t="s">
        <v>1372</v>
      </c>
      <c r="G1319" t="s">
        <v>1745</v>
      </c>
      <c r="H1319" t="s">
        <v>3103</v>
      </c>
      <c r="I1319" t="s">
        <v>3335</v>
      </c>
      <c r="J1319" t="s">
        <v>3604</v>
      </c>
      <c r="K1319">
        <v>10040</v>
      </c>
      <c r="L1319" t="s">
        <v>3610</v>
      </c>
      <c r="M1319" t="s">
        <v>3609</v>
      </c>
      <c r="P1319" t="s">
        <v>4245</v>
      </c>
      <c r="R1319" t="s">
        <v>4258</v>
      </c>
      <c r="S1319" t="s">
        <v>3611</v>
      </c>
      <c r="U1319" t="s">
        <v>4268</v>
      </c>
      <c r="W1319" t="s">
        <v>122</v>
      </c>
      <c r="X1319">
        <v>1164</v>
      </c>
      <c r="Y1319" t="s">
        <v>4351</v>
      </c>
      <c r="Z1319" t="s">
        <v>4354</v>
      </c>
      <c r="AB1319" t="s">
        <v>5422</v>
      </c>
      <c r="AD1319" t="s">
        <v>6777</v>
      </c>
      <c r="AE1319">
        <v>48</v>
      </c>
      <c r="AF1319" t="s">
        <v>7101</v>
      </c>
      <c r="AG1319" t="s">
        <v>7122</v>
      </c>
      <c r="AH1319">
        <v>24</v>
      </c>
      <c r="AI1319">
        <v>2</v>
      </c>
      <c r="AJ1319">
        <v>1</v>
      </c>
      <c r="AK1319">
        <v>185.28</v>
      </c>
      <c r="AN1319" t="s">
        <v>7139</v>
      </c>
      <c r="AO1319">
        <v>39520</v>
      </c>
      <c r="AU1319">
        <v>1</v>
      </c>
      <c r="AV1319" t="s">
        <v>502</v>
      </c>
      <c r="AW1319" t="s">
        <v>7342</v>
      </c>
      <c r="AX1319" t="s">
        <v>7377</v>
      </c>
    </row>
    <row r="1320" spans="1:50">
      <c r="A1320" s="1">
        <f>HYPERLINK("https://lsnyc.legalserver.org/matter/dynamic-profile/view/0827330","17-0827330")</f>
        <v>0</v>
      </c>
      <c r="B1320" t="s">
        <v>63</v>
      </c>
      <c r="C1320" t="s">
        <v>105</v>
      </c>
      <c r="D1320" t="s">
        <v>422</v>
      </c>
      <c r="F1320" t="s">
        <v>1358</v>
      </c>
      <c r="G1320" t="s">
        <v>1599</v>
      </c>
      <c r="H1320" t="s">
        <v>2637</v>
      </c>
      <c r="I1320" t="s">
        <v>3357</v>
      </c>
      <c r="J1320" t="s">
        <v>3604</v>
      </c>
      <c r="K1320">
        <v>10034</v>
      </c>
      <c r="L1320" t="s">
        <v>3610</v>
      </c>
      <c r="M1320" t="s">
        <v>3609</v>
      </c>
      <c r="N1320" t="s">
        <v>3860</v>
      </c>
      <c r="O1320" t="s">
        <v>4213</v>
      </c>
      <c r="P1320" t="s">
        <v>4241</v>
      </c>
      <c r="R1320" t="s">
        <v>4258</v>
      </c>
      <c r="S1320" t="s">
        <v>3610</v>
      </c>
      <c r="U1320" t="s">
        <v>4268</v>
      </c>
      <c r="W1320" t="s">
        <v>4317</v>
      </c>
      <c r="X1320">
        <v>1695</v>
      </c>
      <c r="Y1320" t="s">
        <v>4351</v>
      </c>
      <c r="Z1320" t="s">
        <v>4364</v>
      </c>
      <c r="AB1320" t="s">
        <v>5395</v>
      </c>
      <c r="AE1320">
        <v>44</v>
      </c>
      <c r="AF1320" t="s">
        <v>7101</v>
      </c>
      <c r="AG1320" t="s">
        <v>3745</v>
      </c>
      <c r="AH1320">
        <v>5</v>
      </c>
      <c r="AI1320">
        <v>1</v>
      </c>
      <c r="AJ1320">
        <v>0</v>
      </c>
      <c r="AK1320">
        <v>185.57</v>
      </c>
      <c r="AN1320" t="s">
        <v>7139</v>
      </c>
      <c r="AO1320">
        <v>22380</v>
      </c>
      <c r="AU1320">
        <v>29.8</v>
      </c>
      <c r="AV1320" t="s">
        <v>679</v>
      </c>
      <c r="AW1320" t="s">
        <v>63</v>
      </c>
    </row>
    <row r="1321" spans="1:50">
      <c r="A1321" s="1">
        <f>HYPERLINK("https://lsnyc.legalserver.org/matter/dynamic-profile/view/1858802","18-1858802")</f>
        <v>0</v>
      </c>
      <c r="B1321" t="s">
        <v>50</v>
      </c>
      <c r="C1321" t="s">
        <v>105</v>
      </c>
      <c r="D1321" t="s">
        <v>249</v>
      </c>
      <c r="F1321" t="s">
        <v>1373</v>
      </c>
      <c r="G1321" t="s">
        <v>2234</v>
      </c>
      <c r="H1321" t="s">
        <v>3104</v>
      </c>
      <c r="I1321" t="s">
        <v>3294</v>
      </c>
      <c r="J1321" t="s">
        <v>3608</v>
      </c>
      <c r="K1321">
        <v>10456</v>
      </c>
      <c r="L1321" t="s">
        <v>3609</v>
      </c>
      <c r="M1321" t="s">
        <v>3609</v>
      </c>
      <c r="R1321" t="s">
        <v>4258</v>
      </c>
      <c r="U1321" t="s">
        <v>4267</v>
      </c>
      <c r="X1321">
        <v>0</v>
      </c>
      <c r="Y1321" t="s">
        <v>4351</v>
      </c>
      <c r="AB1321" t="s">
        <v>5423</v>
      </c>
      <c r="AD1321" t="s">
        <v>6778</v>
      </c>
      <c r="AE1321">
        <v>0</v>
      </c>
      <c r="AH1321">
        <v>0</v>
      </c>
      <c r="AI1321">
        <v>2</v>
      </c>
      <c r="AJ1321">
        <v>1</v>
      </c>
      <c r="AK1321">
        <v>186.09</v>
      </c>
      <c r="AN1321" t="s">
        <v>7153</v>
      </c>
      <c r="AO1321">
        <v>38000</v>
      </c>
      <c r="AU1321">
        <v>49</v>
      </c>
      <c r="AV1321" t="s">
        <v>477</v>
      </c>
      <c r="AW1321" t="s">
        <v>7340</v>
      </c>
    </row>
    <row r="1322" spans="1:50">
      <c r="A1322" s="1">
        <f>HYPERLINK("https://lsnyc.legalserver.org/matter/dynamic-profile/view/0826348","17-0826348")</f>
        <v>0</v>
      </c>
      <c r="B1322" t="s">
        <v>64</v>
      </c>
      <c r="C1322" t="s">
        <v>105</v>
      </c>
      <c r="D1322" t="s">
        <v>597</v>
      </c>
      <c r="F1322" t="s">
        <v>877</v>
      </c>
      <c r="G1322" t="s">
        <v>2235</v>
      </c>
      <c r="H1322" t="s">
        <v>2576</v>
      </c>
      <c r="I1322" t="s">
        <v>3291</v>
      </c>
      <c r="J1322" t="s">
        <v>3604</v>
      </c>
      <c r="K1322">
        <v>10040</v>
      </c>
      <c r="L1322" t="s">
        <v>3610</v>
      </c>
      <c r="M1322" t="s">
        <v>3609</v>
      </c>
      <c r="N1322" t="s">
        <v>4078</v>
      </c>
      <c r="O1322" t="s">
        <v>4213</v>
      </c>
      <c r="P1322" t="s">
        <v>4241</v>
      </c>
      <c r="R1322" t="s">
        <v>4258</v>
      </c>
      <c r="S1322" t="s">
        <v>3610</v>
      </c>
      <c r="U1322" t="s">
        <v>4268</v>
      </c>
      <c r="W1322" t="s">
        <v>332</v>
      </c>
      <c r="X1322">
        <v>1169.86</v>
      </c>
      <c r="Y1322" t="s">
        <v>4351</v>
      </c>
      <c r="Z1322" t="s">
        <v>4352</v>
      </c>
      <c r="AB1322" t="s">
        <v>5424</v>
      </c>
      <c r="AE1322">
        <v>83</v>
      </c>
      <c r="AF1322" t="s">
        <v>7101</v>
      </c>
      <c r="AG1322" t="s">
        <v>3745</v>
      </c>
      <c r="AH1322">
        <v>5</v>
      </c>
      <c r="AI1322">
        <v>2</v>
      </c>
      <c r="AJ1322">
        <v>2</v>
      </c>
      <c r="AK1322">
        <v>186.83</v>
      </c>
      <c r="AL1322" t="s">
        <v>518</v>
      </c>
      <c r="AN1322" t="s">
        <v>7138</v>
      </c>
      <c r="AO1322">
        <v>45400</v>
      </c>
      <c r="AU1322">
        <v>0</v>
      </c>
      <c r="AV1322" t="s">
        <v>191</v>
      </c>
      <c r="AW1322" t="s">
        <v>7341</v>
      </c>
    </row>
    <row r="1323" spans="1:50">
      <c r="A1323" s="1">
        <f>HYPERLINK("https://lsnyc.legalserver.org/matter/dynamic-profile/view/1870784","18-1870784")</f>
        <v>0</v>
      </c>
      <c r="B1323" t="s">
        <v>63</v>
      </c>
      <c r="C1323" t="s">
        <v>104</v>
      </c>
      <c r="D1323" t="s">
        <v>552</v>
      </c>
      <c r="E1323" t="s">
        <v>377</v>
      </c>
      <c r="F1323" t="s">
        <v>1345</v>
      </c>
      <c r="G1323" t="s">
        <v>1768</v>
      </c>
      <c r="H1323" t="s">
        <v>2494</v>
      </c>
      <c r="I1323" t="s">
        <v>3274</v>
      </c>
      <c r="J1323" t="s">
        <v>3604</v>
      </c>
      <c r="K1323">
        <v>10032</v>
      </c>
      <c r="L1323" t="s">
        <v>3610</v>
      </c>
      <c r="M1323" t="s">
        <v>3609</v>
      </c>
      <c r="O1323" t="s">
        <v>4220</v>
      </c>
      <c r="P1323" t="s">
        <v>4242</v>
      </c>
      <c r="Q1323" t="s">
        <v>4250</v>
      </c>
      <c r="R1323" t="s">
        <v>4258</v>
      </c>
      <c r="S1323" t="s">
        <v>3610</v>
      </c>
      <c r="U1323" t="s">
        <v>4268</v>
      </c>
      <c r="W1323" t="s">
        <v>552</v>
      </c>
      <c r="X1323">
        <v>1217</v>
      </c>
      <c r="Y1323" t="s">
        <v>4351</v>
      </c>
      <c r="Z1323" t="s">
        <v>4357</v>
      </c>
      <c r="AA1323" t="s">
        <v>4379</v>
      </c>
      <c r="AB1323" t="s">
        <v>5425</v>
      </c>
      <c r="AE1323">
        <v>49</v>
      </c>
      <c r="AF1323" t="s">
        <v>7101</v>
      </c>
      <c r="AG1323" t="s">
        <v>3745</v>
      </c>
      <c r="AH1323">
        <v>19</v>
      </c>
      <c r="AI1323">
        <v>1</v>
      </c>
      <c r="AJ1323">
        <v>0</v>
      </c>
      <c r="AK1323">
        <v>187.81</v>
      </c>
      <c r="AN1323" t="s">
        <v>7138</v>
      </c>
      <c r="AO1323">
        <v>22800</v>
      </c>
      <c r="AU1323">
        <v>1</v>
      </c>
      <c r="AV1323" t="s">
        <v>552</v>
      </c>
      <c r="AW1323" t="s">
        <v>7342</v>
      </c>
    </row>
    <row r="1324" spans="1:50">
      <c r="A1324" s="1">
        <f>HYPERLINK("https://lsnyc.legalserver.org/matter/dynamic-profile/view/1871040","18-1871040")</f>
        <v>0</v>
      </c>
      <c r="B1324" t="s">
        <v>53</v>
      </c>
      <c r="C1324" t="s">
        <v>104</v>
      </c>
      <c r="D1324" t="s">
        <v>274</v>
      </c>
      <c r="E1324" t="s">
        <v>667</v>
      </c>
      <c r="F1324" t="s">
        <v>1374</v>
      </c>
      <c r="G1324" t="s">
        <v>2236</v>
      </c>
      <c r="H1324" t="s">
        <v>2736</v>
      </c>
      <c r="I1324" t="s">
        <v>3530</v>
      </c>
      <c r="J1324" t="s">
        <v>3604</v>
      </c>
      <c r="K1324">
        <v>10029</v>
      </c>
      <c r="L1324" t="s">
        <v>3610</v>
      </c>
      <c r="M1324" t="s">
        <v>3609</v>
      </c>
      <c r="O1324" t="s">
        <v>4211</v>
      </c>
      <c r="P1324" t="s">
        <v>4245</v>
      </c>
      <c r="Q1324" t="s">
        <v>4249</v>
      </c>
      <c r="R1324" t="s">
        <v>4258</v>
      </c>
      <c r="S1324" t="s">
        <v>3611</v>
      </c>
      <c r="U1324" t="s">
        <v>4268</v>
      </c>
      <c r="V1324" t="s">
        <v>4274</v>
      </c>
      <c r="W1324" t="s">
        <v>274</v>
      </c>
      <c r="X1324">
        <v>900</v>
      </c>
      <c r="Y1324" t="s">
        <v>4351</v>
      </c>
      <c r="Z1324" t="s">
        <v>4228</v>
      </c>
      <c r="AA1324" t="s">
        <v>4373</v>
      </c>
      <c r="AB1324" t="s">
        <v>5426</v>
      </c>
      <c r="AD1324" t="s">
        <v>6779</v>
      </c>
      <c r="AE1324">
        <v>396</v>
      </c>
      <c r="AF1324" t="s">
        <v>7101</v>
      </c>
      <c r="AG1324" t="s">
        <v>3745</v>
      </c>
      <c r="AH1324">
        <v>33</v>
      </c>
      <c r="AI1324">
        <v>1</v>
      </c>
      <c r="AJ1324">
        <v>0</v>
      </c>
      <c r="AK1324">
        <v>187.81</v>
      </c>
      <c r="AN1324" t="s">
        <v>7138</v>
      </c>
      <c r="AO1324">
        <v>22800</v>
      </c>
      <c r="AU1324">
        <v>8.65</v>
      </c>
      <c r="AV1324" t="s">
        <v>352</v>
      </c>
      <c r="AW1324" t="s">
        <v>7341</v>
      </c>
      <c r="AX1324" t="s">
        <v>7377</v>
      </c>
    </row>
    <row r="1325" spans="1:50">
      <c r="A1325" s="1">
        <f>HYPERLINK("https://lsnyc.legalserver.org/matter/dynamic-profile/view/1853573","17-1853573")</f>
        <v>0</v>
      </c>
      <c r="B1325" t="s">
        <v>72</v>
      </c>
      <c r="C1325" t="s">
        <v>104</v>
      </c>
      <c r="D1325" t="s">
        <v>217</v>
      </c>
      <c r="E1325" t="s">
        <v>424</v>
      </c>
      <c r="F1325" t="s">
        <v>1375</v>
      </c>
      <c r="G1325" t="s">
        <v>2237</v>
      </c>
      <c r="H1325" t="s">
        <v>2703</v>
      </c>
      <c r="I1325" t="s">
        <v>3531</v>
      </c>
      <c r="J1325" t="s">
        <v>3604</v>
      </c>
      <c r="K1325">
        <v>10029</v>
      </c>
      <c r="L1325" t="s">
        <v>3610</v>
      </c>
      <c r="M1325" t="s">
        <v>3610</v>
      </c>
      <c r="O1325" t="s">
        <v>4211</v>
      </c>
      <c r="P1325" t="s">
        <v>4244</v>
      </c>
      <c r="Q1325" t="s">
        <v>4249</v>
      </c>
      <c r="R1325" t="s">
        <v>4258</v>
      </c>
      <c r="S1325" t="s">
        <v>3611</v>
      </c>
      <c r="U1325" t="s">
        <v>4268</v>
      </c>
      <c r="V1325" t="s">
        <v>4274</v>
      </c>
      <c r="W1325" t="s">
        <v>452</v>
      </c>
      <c r="X1325">
        <v>1029</v>
      </c>
      <c r="Y1325" t="s">
        <v>4351</v>
      </c>
      <c r="Z1325" t="s">
        <v>4367</v>
      </c>
      <c r="AA1325" t="s">
        <v>4373</v>
      </c>
      <c r="AB1325" t="s">
        <v>5427</v>
      </c>
      <c r="AD1325" t="s">
        <v>6780</v>
      </c>
      <c r="AE1325">
        <v>30</v>
      </c>
      <c r="AF1325" t="s">
        <v>7101</v>
      </c>
      <c r="AG1325" t="s">
        <v>3745</v>
      </c>
      <c r="AH1325">
        <v>3</v>
      </c>
      <c r="AI1325">
        <v>1</v>
      </c>
      <c r="AJ1325">
        <v>0</v>
      </c>
      <c r="AK1325">
        <v>188.21</v>
      </c>
      <c r="AN1325" t="s">
        <v>7138</v>
      </c>
      <c r="AO1325">
        <v>22698</v>
      </c>
      <c r="AU1325">
        <v>12.7</v>
      </c>
      <c r="AV1325" t="s">
        <v>7332</v>
      </c>
      <c r="AW1325" t="s">
        <v>7358</v>
      </c>
      <c r="AX1325" t="s">
        <v>7377</v>
      </c>
    </row>
    <row r="1326" spans="1:50">
      <c r="A1326" s="1">
        <f>HYPERLINK("https://lsnyc.legalserver.org/matter/dynamic-profile/view/1864489","18-1864489")</f>
        <v>0</v>
      </c>
      <c r="B1326" t="s">
        <v>62</v>
      </c>
      <c r="C1326" t="s">
        <v>105</v>
      </c>
      <c r="D1326" t="s">
        <v>157</v>
      </c>
      <c r="F1326" t="s">
        <v>1376</v>
      </c>
      <c r="G1326" t="s">
        <v>1855</v>
      </c>
      <c r="H1326" t="s">
        <v>2734</v>
      </c>
      <c r="I1326" t="s">
        <v>3316</v>
      </c>
      <c r="J1326" t="s">
        <v>3604</v>
      </c>
      <c r="K1326">
        <v>10040</v>
      </c>
      <c r="L1326" t="s">
        <v>3610</v>
      </c>
      <c r="M1326" t="s">
        <v>3609</v>
      </c>
      <c r="O1326" t="s">
        <v>4210</v>
      </c>
      <c r="P1326" t="s">
        <v>4241</v>
      </c>
      <c r="R1326" t="s">
        <v>4258</v>
      </c>
      <c r="S1326" t="s">
        <v>3611</v>
      </c>
      <c r="U1326" t="s">
        <v>4268</v>
      </c>
      <c r="W1326" t="s">
        <v>157</v>
      </c>
      <c r="X1326">
        <v>765.78</v>
      </c>
      <c r="Y1326" t="s">
        <v>4351</v>
      </c>
      <c r="Z1326" t="s">
        <v>4354</v>
      </c>
      <c r="AB1326" t="s">
        <v>5428</v>
      </c>
      <c r="AC1326" t="s">
        <v>5846</v>
      </c>
      <c r="AD1326" t="s">
        <v>6781</v>
      </c>
      <c r="AE1326">
        <v>41</v>
      </c>
      <c r="AF1326" t="s">
        <v>7101</v>
      </c>
      <c r="AG1326" t="s">
        <v>3745</v>
      </c>
      <c r="AH1326">
        <v>35</v>
      </c>
      <c r="AI1326">
        <v>3</v>
      </c>
      <c r="AJ1326">
        <v>1</v>
      </c>
      <c r="AK1326">
        <v>188.37</v>
      </c>
      <c r="AL1326" t="s">
        <v>7125</v>
      </c>
      <c r="AN1326" t="s">
        <v>7139</v>
      </c>
      <c r="AO1326">
        <v>47280</v>
      </c>
      <c r="AU1326">
        <v>161.15</v>
      </c>
      <c r="AV1326" t="s">
        <v>689</v>
      </c>
      <c r="AW1326" t="s">
        <v>7342</v>
      </c>
    </row>
    <row r="1327" spans="1:50">
      <c r="A1327" s="1">
        <f>HYPERLINK("https://lsnyc.legalserver.org/matter/dynamic-profile/view/1857934","18-1857934")</f>
        <v>0</v>
      </c>
      <c r="B1327" t="s">
        <v>55</v>
      </c>
      <c r="C1327" t="s">
        <v>104</v>
      </c>
      <c r="D1327" t="s">
        <v>379</v>
      </c>
      <c r="E1327" t="s">
        <v>303</v>
      </c>
      <c r="F1327" t="s">
        <v>918</v>
      </c>
      <c r="G1327" t="s">
        <v>1798</v>
      </c>
      <c r="H1327" t="s">
        <v>2678</v>
      </c>
      <c r="I1327" t="s">
        <v>3286</v>
      </c>
      <c r="J1327" t="s">
        <v>3604</v>
      </c>
      <c r="K1327">
        <v>10029</v>
      </c>
      <c r="L1327" t="s">
        <v>3610</v>
      </c>
      <c r="M1327" t="s">
        <v>3609</v>
      </c>
      <c r="N1327" t="s">
        <v>4079</v>
      </c>
      <c r="O1327" t="s">
        <v>4209</v>
      </c>
      <c r="P1327" t="s">
        <v>4241</v>
      </c>
      <c r="Q1327" t="s">
        <v>4248</v>
      </c>
      <c r="R1327" t="s">
        <v>4258</v>
      </c>
      <c r="S1327" t="s">
        <v>3611</v>
      </c>
      <c r="U1327" t="s">
        <v>4268</v>
      </c>
      <c r="W1327" t="s">
        <v>379</v>
      </c>
      <c r="X1327">
        <v>3118</v>
      </c>
      <c r="Y1327" t="s">
        <v>4351</v>
      </c>
      <c r="Z1327" t="s">
        <v>4228</v>
      </c>
      <c r="AA1327" t="s">
        <v>4379</v>
      </c>
      <c r="AB1327" t="s">
        <v>4668</v>
      </c>
      <c r="AD1327" t="s">
        <v>6074</v>
      </c>
      <c r="AE1327">
        <v>147</v>
      </c>
      <c r="AF1327" t="s">
        <v>7101</v>
      </c>
      <c r="AG1327" t="s">
        <v>7116</v>
      </c>
      <c r="AH1327">
        <v>7</v>
      </c>
      <c r="AI1327">
        <v>2</v>
      </c>
      <c r="AJ1327">
        <v>3</v>
      </c>
      <c r="AK1327">
        <v>188.59</v>
      </c>
      <c r="AN1327" t="s">
        <v>7138</v>
      </c>
      <c r="AO1327">
        <v>54276.56</v>
      </c>
      <c r="AU1327">
        <v>12.5</v>
      </c>
      <c r="AV1327" t="s">
        <v>157</v>
      </c>
      <c r="AW1327" t="s">
        <v>7341</v>
      </c>
    </row>
    <row r="1328" spans="1:50">
      <c r="A1328" s="1">
        <f>HYPERLINK("https://lsnyc.legalserver.org/matter/dynamic-profile/view/1867179","18-1867179")</f>
        <v>0</v>
      </c>
      <c r="B1328" t="s">
        <v>61</v>
      </c>
      <c r="C1328" t="s">
        <v>105</v>
      </c>
      <c r="D1328" t="s">
        <v>240</v>
      </c>
      <c r="F1328" t="s">
        <v>1190</v>
      </c>
      <c r="G1328" t="s">
        <v>2238</v>
      </c>
      <c r="H1328" t="s">
        <v>3105</v>
      </c>
      <c r="I1328" t="s">
        <v>3307</v>
      </c>
      <c r="J1328" t="s">
        <v>3604</v>
      </c>
      <c r="K1328">
        <v>10002</v>
      </c>
      <c r="L1328" t="s">
        <v>3610</v>
      </c>
      <c r="M1328" t="s">
        <v>3609</v>
      </c>
      <c r="O1328" t="s">
        <v>4211</v>
      </c>
      <c r="P1328" t="s">
        <v>4245</v>
      </c>
      <c r="R1328" t="s">
        <v>4257</v>
      </c>
      <c r="S1328" t="s">
        <v>3611</v>
      </c>
      <c r="U1328" t="s">
        <v>4273</v>
      </c>
      <c r="W1328" t="s">
        <v>492</v>
      </c>
      <c r="X1328">
        <v>1390</v>
      </c>
      <c r="Y1328" t="s">
        <v>4351</v>
      </c>
      <c r="Z1328" t="s">
        <v>4355</v>
      </c>
      <c r="AB1328" t="s">
        <v>5429</v>
      </c>
      <c r="AD1328" t="s">
        <v>6782</v>
      </c>
      <c r="AE1328">
        <v>0</v>
      </c>
      <c r="AF1328" t="s">
        <v>7109</v>
      </c>
      <c r="AH1328">
        <v>11</v>
      </c>
      <c r="AI1328">
        <v>4</v>
      </c>
      <c r="AJ1328">
        <v>0</v>
      </c>
      <c r="AK1328">
        <v>188.66</v>
      </c>
      <c r="AN1328" t="s">
        <v>7139</v>
      </c>
      <c r="AO1328">
        <v>47353</v>
      </c>
      <c r="AU1328">
        <v>1.2</v>
      </c>
      <c r="AV1328" t="s">
        <v>410</v>
      </c>
      <c r="AW1328" t="s">
        <v>7349</v>
      </c>
    </row>
    <row r="1329" spans="1:50">
      <c r="A1329" s="1">
        <f>HYPERLINK("https://lsnyc.legalserver.org/matter/dynamic-profile/view/0823093","16-0823093")</f>
        <v>0</v>
      </c>
      <c r="B1329" t="s">
        <v>61</v>
      </c>
      <c r="C1329" t="s">
        <v>104</v>
      </c>
      <c r="D1329" t="s">
        <v>608</v>
      </c>
      <c r="E1329" t="s">
        <v>271</v>
      </c>
      <c r="F1329" t="s">
        <v>1377</v>
      </c>
      <c r="G1329" t="s">
        <v>2239</v>
      </c>
      <c r="H1329" t="s">
        <v>2642</v>
      </c>
      <c r="I1329" t="s">
        <v>3532</v>
      </c>
      <c r="J1329" t="s">
        <v>3604</v>
      </c>
      <c r="K1329">
        <v>10034</v>
      </c>
      <c r="L1329" t="s">
        <v>3610</v>
      </c>
      <c r="M1329" t="s">
        <v>3609</v>
      </c>
      <c r="N1329" t="s">
        <v>4080</v>
      </c>
      <c r="O1329" t="s">
        <v>4210</v>
      </c>
      <c r="P1329" t="s">
        <v>4244</v>
      </c>
      <c r="Q1329" t="s">
        <v>4254</v>
      </c>
      <c r="R1329" t="s">
        <v>4258</v>
      </c>
      <c r="S1329" t="s">
        <v>3611</v>
      </c>
      <c r="U1329" t="s">
        <v>4268</v>
      </c>
      <c r="W1329" t="s">
        <v>446</v>
      </c>
      <c r="X1329">
        <v>489</v>
      </c>
      <c r="Y1329" t="s">
        <v>4351</v>
      </c>
      <c r="Z1329" t="s">
        <v>4354</v>
      </c>
      <c r="AA1329" t="s">
        <v>4377</v>
      </c>
      <c r="AB1329" t="s">
        <v>5430</v>
      </c>
      <c r="AD1329" t="s">
        <v>6783</v>
      </c>
      <c r="AE1329">
        <v>49</v>
      </c>
      <c r="AF1329" t="s">
        <v>7104</v>
      </c>
      <c r="AG1329" t="s">
        <v>3745</v>
      </c>
      <c r="AH1329">
        <v>16</v>
      </c>
      <c r="AI1329">
        <v>3</v>
      </c>
      <c r="AJ1329">
        <v>0</v>
      </c>
      <c r="AK1329">
        <v>188.89</v>
      </c>
      <c r="AN1329" t="s">
        <v>7138</v>
      </c>
      <c r="AO1329">
        <v>38080</v>
      </c>
      <c r="AU1329">
        <v>27.85</v>
      </c>
      <c r="AV1329" t="s">
        <v>271</v>
      </c>
      <c r="AW1329" t="s">
        <v>7351</v>
      </c>
    </row>
    <row r="1330" spans="1:50">
      <c r="A1330" s="1">
        <f>HYPERLINK("https://lsnyc.legalserver.org/matter/dynamic-profile/view/1841736","17-1841736")</f>
        <v>0</v>
      </c>
      <c r="B1330" t="s">
        <v>63</v>
      </c>
      <c r="C1330" t="s">
        <v>104</v>
      </c>
      <c r="D1330" t="s">
        <v>210</v>
      </c>
      <c r="E1330" t="s">
        <v>377</v>
      </c>
      <c r="F1330" t="s">
        <v>1345</v>
      </c>
      <c r="G1330" t="s">
        <v>1768</v>
      </c>
      <c r="H1330" t="s">
        <v>2494</v>
      </c>
      <c r="I1330" t="s">
        <v>3274</v>
      </c>
      <c r="J1330" t="s">
        <v>3604</v>
      </c>
      <c r="K1330">
        <v>10032</v>
      </c>
      <c r="L1330" t="s">
        <v>3610</v>
      </c>
      <c r="M1330" t="s">
        <v>3609</v>
      </c>
      <c r="P1330" t="s">
        <v>4246</v>
      </c>
      <c r="Q1330" t="s">
        <v>4250</v>
      </c>
      <c r="R1330" t="s">
        <v>4258</v>
      </c>
      <c r="S1330" t="s">
        <v>3611</v>
      </c>
      <c r="U1330" t="s">
        <v>4268</v>
      </c>
      <c r="W1330" t="s">
        <v>133</v>
      </c>
      <c r="X1330">
        <v>1217</v>
      </c>
      <c r="Y1330" t="s">
        <v>4351</v>
      </c>
      <c r="Z1330" t="s">
        <v>4354</v>
      </c>
      <c r="AA1330" t="s">
        <v>4378</v>
      </c>
      <c r="AB1330" t="s">
        <v>5425</v>
      </c>
      <c r="AE1330">
        <v>49</v>
      </c>
      <c r="AF1330" t="s">
        <v>7101</v>
      </c>
      <c r="AG1330" t="s">
        <v>3745</v>
      </c>
      <c r="AH1330">
        <v>19</v>
      </c>
      <c r="AI1330">
        <v>1</v>
      </c>
      <c r="AJ1330">
        <v>0</v>
      </c>
      <c r="AK1330">
        <v>189.05</v>
      </c>
      <c r="AN1330" t="s">
        <v>7138</v>
      </c>
      <c r="AO1330">
        <v>22800</v>
      </c>
      <c r="AU1330">
        <v>15.7</v>
      </c>
      <c r="AV1330" t="s">
        <v>274</v>
      </c>
      <c r="AW1330" t="s">
        <v>7342</v>
      </c>
    </row>
    <row r="1331" spans="1:50">
      <c r="A1331" s="1">
        <f>HYPERLINK("https://lsnyc.legalserver.org/matter/dynamic-profile/view/1900983","19-1900983")</f>
        <v>0</v>
      </c>
      <c r="B1331" t="s">
        <v>64</v>
      </c>
      <c r="C1331" t="s">
        <v>104</v>
      </c>
      <c r="D1331" t="s">
        <v>150</v>
      </c>
      <c r="E1331" t="s">
        <v>637</v>
      </c>
      <c r="F1331" t="s">
        <v>727</v>
      </c>
      <c r="G1331" t="s">
        <v>2240</v>
      </c>
      <c r="H1331" t="s">
        <v>3106</v>
      </c>
      <c r="I1331" t="s">
        <v>3533</v>
      </c>
      <c r="J1331" t="s">
        <v>3604</v>
      </c>
      <c r="K1331">
        <v>10032</v>
      </c>
      <c r="L1331" t="s">
        <v>3610</v>
      </c>
      <c r="M1331" t="s">
        <v>3609</v>
      </c>
      <c r="P1331" t="s">
        <v>4242</v>
      </c>
      <c r="Q1331" t="s">
        <v>4250</v>
      </c>
      <c r="R1331" t="s">
        <v>4258</v>
      </c>
      <c r="S1331" t="s">
        <v>3611</v>
      </c>
      <c r="U1331" t="s">
        <v>4268</v>
      </c>
      <c r="W1331" t="s">
        <v>150</v>
      </c>
      <c r="X1331">
        <v>750.87</v>
      </c>
      <c r="Y1331" t="s">
        <v>4351</v>
      </c>
      <c r="Z1331" t="s">
        <v>4354</v>
      </c>
      <c r="AA1331" t="s">
        <v>4373</v>
      </c>
      <c r="AB1331" t="s">
        <v>5431</v>
      </c>
      <c r="AD1331" t="s">
        <v>6784</v>
      </c>
      <c r="AE1331">
        <v>219</v>
      </c>
      <c r="AF1331" t="s">
        <v>7101</v>
      </c>
      <c r="AG1331" t="s">
        <v>3745</v>
      </c>
      <c r="AH1331">
        <v>8</v>
      </c>
      <c r="AI1331">
        <v>2</v>
      </c>
      <c r="AJ1331">
        <v>0</v>
      </c>
      <c r="AK1331">
        <v>189.24</v>
      </c>
      <c r="AN1331" t="s">
        <v>7139</v>
      </c>
      <c r="AO1331">
        <v>32000</v>
      </c>
      <c r="AU1331">
        <v>1</v>
      </c>
      <c r="AV1331" t="s">
        <v>681</v>
      </c>
      <c r="AW1331" t="s">
        <v>7342</v>
      </c>
      <c r="AX1331" t="s">
        <v>7377</v>
      </c>
    </row>
    <row r="1332" spans="1:50">
      <c r="A1332" s="1">
        <f>HYPERLINK("https://lsnyc.legalserver.org/matter/dynamic-profile/view/1864089","18-1864089")</f>
        <v>0</v>
      </c>
      <c r="B1332" t="s">
        <v>56</v>
      </c>
      <c r="C1332" t="s">
        <v>105</v>
      </c>
      <c r="D1332" t="s">
        <v>161</v>
      </c>
      <c r="F1332" t="s">
        <v>1369</v>
      </c>
      <c r="G1332" t="s">
        <v>1694</v>
      </c>
      <c r="H1332" t="s">
        <v>2534</v>
      </c>
      <c r="J1332" t="s">
        <v>3604</v>
      </c>
      <c r="K1332">
        <v>10040</v>
      </c>
      <c r="L1332" t="s">
        <v>3610</v>
      </c>
      <c r="M1332" t="s">
        <v>3609</v>
      </c>
      <c r="N1332" t="s">
        <v>3656</v>
      </c>
      <c r="O1332" t="s">
        <v>4213</v>
      </c>
      <c r="P1332" t="s">
        <v>4241</v>
      </c>
      <c r="R1332" t="s">
        <v>4258</v>
      </c>
      <c r="S1332" t="s">
        <v>3610</v>
      </c>
      <c r="U1332" t="s">
        <v>4268</v>
      </c>
      <c r="W1332" t="s">
        <v>161</v>
      </c>
      <c r="X1332">
        <v>1147</v>
      </c>
      <c r="Y1332" t="s">
        <v>4351</v>
      </c>
      <c r="Z1332" t="s">
        <v>4357</v>
      </c>
      <c r="AB1332" t="s">
        <v>5418</v>
      </c>
      <c r="AD1332" t="s">
        <v>6773</v>
      </c>
      <c r="AE1332">
        <v>44</v>
      </c>
      <c r="AF1332" t="s">
        <v>7101</v>
      </c>
      <c r="AG1332" t="s">
        <v>3745</v>
      </c>
      <c r="AH1332">
        <v>8</v>
      </c>
      <c r="AI1332">
        <v>3</v>
      </c>
      <c r="AJ1332">
        <v>0</v>
      </c>
      <c r="AK1332">
        <v>189.76</v>
      </c>
      <c r="AL1332" t="s">
        <v>246</v>
      </c>
      <c r="AN1332" t="s">
        <v>7139</v>
      </c>
      <c r="AO1332">
        <v>39432</v>
      </c>
      <c r="AU1332">
        <v>0.6</v>
      </c>
      <c r="AV1332" t="s">
        <v>7287</v>
      </c>
      <c r="AW1332" t="s">
        <v>7342</v>
      </c>
    </row>
    <row r="1333" spans="1:50">
      <c r="A1333" s="1">
        <f>HYPERLINK("https://lsnyc.legalserver.org/matter/dynamic-profile/view/1902477","19-1902477")</f>
        <v>0</v>
      </c>
      <c r="B1333" t="s">
        <v>92</v>
      </c>
      <c r="C1333" t="s">
        <v>104</v>
      </c>
      <c r="D1333" t="s">
        <v>330</v>
      </c>
      <c r="E1333" t="s">
        <v>325</v>
      </c>
      <c r="F1333" t="s">
        <v>1378</v>
      </c>
      <c r="G1333" t="s">
        <v>2241</v>
      </c>
      <c r="H1333" t="s">
        <v>3107</v>
      </c>
      <c r="I1333" t="s">
        <v>3314</v>
      </c>
      <c r="J1333" t="s">
        <v>3604</v>
      </c>
      <c r="K1333">
        <v>10028</v>
      </c>
      <c r="L1333" t="s">
        <v>3610</v>
      </c>
      <c r="M1333" t="s">
        <v>3609</v>
      </c>
      <c r="N1333" t="s">
        <v>4081</v>
      </c>
      <c r="O1333" t="s">
        <v>4210</v>
      </c>
      <c r="P1333" t="s">
        <v>4242</v>
      </c>
      <c r="Q1333" t="s">
        <v>4250</v>
      </c>
      <c r="R1333" t="s">
        <v>4258</v>
      </c>
      <c r="S1333" t="s">
        <v>3611</v>
      </c>
      <c r="U1333" t="s">
        <v>4268</v>
      </c>
      <c r="W1333" t="s">
        <v>330</v>
      </c>
      <c r="X1333">
        <v>0</v>
      </c>
      <c r="Y1333" t="s">
        <v>4351</v>
      </c>
      <c r="Z1333" t="s">
        <v>4353</v>
      </c>
      <c r="AA1333" t="s">
        <v>4373</v>
      </c>
      <c r="AB1333" t="s">
        <v>5432</v>
      </c>
      <c r="AD1333" t="s">
        <v>6785</v>
      </c>
      <c r="AE1333">
        <v>0</v>
      </c>
      <c r="AF1333" t="s">
        <v>7105</v>
      </c>
      <c r="AG1333" t="s">
        <v>3745</v>
      </c>
      <c r="AH1333">
        <v>3</v>
      </c>
      <c r="AI1333">
        <v>2</v>
      </c>
      <c r="AJ1333">
        <v>2</v>
      </c>
      <c r="AK1333">
        <v>190.29</v>
      </c>
      <c r="AN1333" t="s">
        <v>7150</v>
      </c>
      <c r="AO1333">
        <v>49000</v>
      </c>
      <c r="AU1333">
        <v>1</v>
      </c>
      <c r="AV1333" t="s">
        <v>330</v>
      </c>
      <c r="AW1333" t="s">
        <v>7347</v>
      </c>
      <c r="AX1333" t="s">
        <v>7377</v>
      </c>
    </row>
    <row r="1334" spans="1:50">
      <c r="A1334" s="1">
        <f>HYPERLINK("https://lsnyc.legalserver.org/matter/dynamic-profile/view/1847570","17-1847570")</f>
        <v>0</v>
      </c>
      <c r="B1334" t="s">
        <v>53</v>
      </c>
      <c r="C1334" t="s">
        <v>105</v>
      </c>
      <c r="D1334" t="s">
        <v>609</v>
      </c>
      <c r="F1334" t="s">
        <v>1379</v>
      </c>
      <c r="G1334" t="s">
        <v>2242</v>
      </c>
      <c r="H1334" t="s">
        <v>2995</v>
      </c>
      <c r="I1334" t="s">
        <v>3534</v>
      </c>
      <c r="J1334" t="s">
        <v>3604</v>
      </c>
      <c r="K1334">
        <v>10034</v>
      </c>
      <c r="L1334" t="s">
        <v>3610</v>
      </c>
      <c r="M1334" t="s">
        <v>3609</v>
      </c>
      <c r="O1334" t="s">
        <v>4211</v>
      </c>
      <c r="P1334" t="s">
        <v>4244</v>
      </c>
      <c r="R1334" t="s">
        <v>4258</v>
      </c>
      <c r="S1334" t="s">
        <v>3611</v>
      </c>
      <c r="U1334" t="s">
        <v>4268</v>
      </c>
      <c r="W1334" t="s">
        <v>132</v>
      </c>
      <c r="X1334">
        <v>2300</v>
      </c>
      <c r="Y1334" t="s">
        <v>4351</v>
      </c>
      <c r="Z1334" t="s">
        <v>4354</v>
      </c>
      <c r="AB1334" t="s">
        <v>5433</v>
      </c>
      <c r="AD1334" t="s">
        <v>6786</v>
      </c>
      <c r="AE1334">
        <v>228</v>
      </c>
      <c r="AF1334" t="s">
        <v>7101</v>
      </c>
      <c r="AG1334" t="s">
        <v>3745</v>
      </c>
      <c r="AH1334">
        <v>9</v>
      </c>
      <c r="AI1334">
        <v>1</v>
      </c>
      <c r="AJ1334">
        <v>0</v>
      </c>
      <c r="AK1334">
        <v>190.71</v>
      </c>
      <c r="AN1334" t="s">
        <v>7138</v>
      </c>
      <c r="AO1334">
        <v>23000</v>
      </c>
      <c r="AU1334">
        <v>68.7</v>
      </c>
      <c r="AV1334" t="s">
        <v>666</v>
      </c>
      <c r="AW1334" t="s">
        <v>7342</v>
      </c>
    </row>
    <row r="1335" spans="1:50">
      <c r="A1335" s="1">
        <f>HYPERLINK("https://lsnyc.legalserver.org/matter/dynamic-profile/view/1890827","19-1890827")</f>
        <v>0</v>
      </c>
      <c r="B1335" t="s">
        <v>52</v>
      </c>
      <c r="C1335" t="s">
        <v>105</v>
      </c>
      <c r="D1335" t="s">
        <v>569</v>
      </c>
      <c r="F1335" t="s">
        <v>733</v>
      </c>
      <c r="G1335" t="s">
        <v>2243</v>
      </c>
      <c r="H1335" t="s">
        <v>2657</v>
      </c>
      <c r="I1335" t="s">
        <v>3311</v>
      </c>
      <c r="J1335" t="s">
        <v>3604</v>
      </c>
      <c r="K1335">
        <v>10032</v>
      </c>
      <c r="L1335" t="s">
        <v>3610</v>
      </c>
      <c r="M1335" t="s">
        <v>3610</v>
      </c>
      <c r="P1335" t="s">
        <v>4244</v>
      </c>
      <c r="R1335" t="s">
        <v>4258</v>
      </c>
      <c r="S1335" t="s">
        <v>3610</v>
      </c>
      <c r="U1335" t="s">
        <v>4268</v>
      </c>
      <c r="W1335" t="s">
        <v>569</v>
      </c>
      <c r="X1335">
        <v>699.15</v>
      </c>
      <c r="Y1335" t="s">
        <v>4351</v>
      </c>
      <c r="Z1335" t="s">
        <v>4354</v>
      </c>
      <c r="AB1335" t="s">
        <v>5434</v>
      </c>
      <c r="AD1335" t="s">
        <v>6787</v>
      </c>
      <c r="AE1335">
        <v>0</v>
      </c>
      <c r="AF1335" t="s">
        <v>7101</v>
      </c>
      <c r="AG1335" t="s">
        <v>7118</v>
      </c>
      <c r="AH1335">
        <v>40</v>
      </c>
      <c r="AI1335">
        <v>1</v>
      </c>
      <c r="AJ1335">
        <v>0</v>
      </c>
      <c r="AK1335">
        <v>190.71</v>
      </c>
      <c r="AN1335" t="s">
        <v>7139</v>
      </c>
      <c r="AO1335">
        <v>23820</v>
      </c>
      <c r="AU1335">
        <v>0</v>
      </c>
      <c r="AW1335" t="s">
        <v>7342</v>
      </c>
    </row>
    <row r="1336" spans="1:50">
      <c r="A1336" s="1">
        <f>HYPERLINK("https://lsnyc.legalserver.org/matter/dynamic-profile/view/1850505","17-1850505")</f>
        <v>0</v>
      </c>
      <c r="B1336" t="s">
        <v>64</v>
      </c>
      <c r="C1336" t="s">
        <v>104</v>
      </c>
      <c r="D1336" t="s">
        <v>610</v>
      </c>
      <c r="E1336" t="s">
        <v>335</v>
      </c>
      <c r="F1336" t="s">
        <v>1380</v>
      </c>
      <c r="G1336" t="s">
        <v>1622</v>
      </c>
      <c r="H1336" t="s">
        <v>2642</v>
      </c>
      <c r="I1336" t="s">
        <v>3535</v>
      </c>
      <c r="J1336" t="s">
        <v>3604</v>
      </c>
      <c r="K1336">
        <v>10034</v>
      </c>
      <c r="L1336" t="s">
        <v>3610</v>
      </c>
      <c r="M1336" t="s">
        <v>3609</v>
      </c>
      <c r="O1336" t="s">
        <v>4213</v>
      </c>
      <c r="P1336" t="s">
        <v>4241</v>
      </c>
      <c r="Q1336" t="s">
        <v>4249</v>
      </c>
      <c r="R1336" t="s">
        <v>4258</v>
      </c>
      <c r="S1336" t="s">
        <v>3610</v>
      </c>
      <c r="U1336" t="s">
        <v>4268</v>
      </c>
      <c r="W1336" t="s">
        <v>610</v>
      </c>
      <c r="X1336">
        <v>651.42</v>
      </c>
      <c r="Y1336" t="s">
        <v>4351</v>
      </c>
      <c r="Z1336" t="s">
        <v>4354</v>
      </c>
      <c r="AA1336" t="s">
        <v>4373</v>
      </c>
      <c r="AB1336" t="s">
        <v>5435</v>
      </c>
      <c r="AD1336" t="s">
        <v>6788</v>
      </c>
      <c r="AE1336">
        <v>49</v>
      </c>
      <c r="AF1336" t="s">
        <v>7101</v>
      </c>
      <c r="AG1336" t="s">
        <v>3745</v>
      </c>
      <c r="AH1336">
        <v>23</v>
      </c>
      <c r="AI1336">
        <v>2</v>
      </c>
      <c r="AJ1336">
        <v>0</v>
      </c>
      <c r="AK1336">
        <v>192.12</v>
      </c>
      <c r="AN1336" t="s">
        <v>7138</v>
      </c>
      <c r="AO1336">
        <v>46800</v>
      </c>
      <c r="AU1336">
        <v>1</v>
      </c>
      <c r="AV1336" t="s">
        <v>157</v>
      </c>
      <c r="AW1336" t="s">
        <v>7342</v>
      </c>
    </row>
    <row r="1337" spans="1:50">
      <c r="A1337" s="1">
        <f>HYPERLINK("https://lsnyc.legalserver.org/matter/dynamic-profile/view/1850503","17-1850503")</f>
        <v>0</v>
      </c>
      <c r="B1337" t="s">
        <v>64</v>
      </c>
      <c r="C1337" t="s">
        <v>104</v>
      </c>
      <c r="D1337" t="s">
        <v>610</v>
      </c>
      <c r="E1337" t="s">
        <v>271</v>
      </c>
      <c r="F1337" t="s">
        <v>1380</v>
      </c>
      <c r="G1337" t="s">
        <v>1622</v>
      </c>
      <c r="H1337" t="s">
        <v>2642</v>
      </c>
      <c r="I1337" t="s">
        <v>3535</v>
      </c>
      <c r="J1337" t="s">
        <v>3604</v>
      </c>
      <c r="K1337">
        <v>10034</v>
      </c>
      <c r="L1337" t="s">
        <v>3610</v>
      </c>
      <c r="M1337" t="s">
        <v>3609</v>
      </c>
      <c r="O1337" t="s">
        <v>4211</v>
      </c>
      <c r="P1337" t="s">
        <v>4244</v>
      </c>
      <c r="Q1337" t="s">
        <v>4254</v>
      </c>
      <c r="R1337" t="s">
        <v>4258</v>
      </c>
      <c r="S1337" t="s">
        <v>3611</v>
      </c>
      <c r="U1337" t="s">
        <v>4268</v>
      </c>
      <c r="W1337" t="s">
        <v>610</v>
      </c>
      <c r="X1337">
        <v>651.42</v>
      </c>
      <c r="Y1337" t="s">
        <v>4351</v>
      </c>
      <c r="Z1337" t="s">
        <v>4354</v>
      </c>
      <c r="AA1337" t="s">
        <v>4374</v>
      </c>
      <c r="AB1337" t="s">
        <v>5435</v>
      </c>
      <c r="AD1337" t="s">
        <v>6788</v>
      </c>
      <c r="AE1337">
        <v>49</v>
      </c>
      <c r="AF1337" t="s">
        <v>7101</v>
      </c>
      <c r="AG1337" t="s">
        <v>3745</v>
      </c>
      <c r="AH1337">
        <v>23</v>
      </c>
      <c r="AI1337">
        <v>2</v>
      </c>
      <c r="AJ1337">
        <v>0</v>
      </c>
      <c r="AK1337">
        <v>192.12</v>
      </c>
      <c r="AN1337" t="s">
        <v>7138</v>
      </c>
      <c r="AO1337">
        <v>31200</v>
      </c>
      <c r="AU1337">
        <v>5</v>
      </c>
      <c r="AV1337" t="s">
        <v>335</v>
      </c>
      <c r="AW1337" t="s">
        <v>7342</v>
      </c>
    </row>
    <row r="1338" spans="1:50">
      <c r="A1338" s="1">
        <f>HYPERLINK("https://lsnyc.legalserver.org/matter/dynamic-profile/view/1893067","19-1893067")</f>
        <v>0</v>
      </c>
      <c r="B1338" t="s">
        <v>53</v>
      </c>
      <c r="C1338" t="s">
        <v>105</v>
      </c>
      <c r="D1338" t="s">
        <v>611</v>
      </c>
      <c r="F1338" t="s">
        <v>1381</v>
      </c>
      <c r="G1338" t="s">
        <v>1844</v>
      </c>
      <c r="H1338" t="s">
        <v>3108</v>
      </c>
      <c r="I1338" t="s">
        <v>3291</v>
      </c>
      <c r="J1338" t="s">
        <v>3604</v>
      </c>
      <c r="K1338">
        <v>10029</v>
      </c>
      <c r="L1338" t="s">
        <v>3610</v>
      </c>
      <c r="M1338" t="s">
        <v>3610</v>
      </c>
      <c r="N1338" t="s">
        <v>4082</v>
      </c>
      <c r="O1338" t="s">
        <v>4214</v>
      </c>
      <c r="P1338" t="s">
        <v>4241</v>
      </c>
      <c r="R1338" t="s">
        <v>4258</v>
      </c>
      <c r="S1338" t="s">
        <v>3611</v>
      </c>
      <c r="U1338" t="s">
        <v>4268</v>
      </c>
      <c r="V1338" t="s">
        <v>4277</v>
      </c>
      <c r="W1338" t="s">
        <v>397</v>
      </c>
      <c r="X1338">
        <v>1255</v>
      </c>
      <c r="Y1338" t="s">
        <v>4351</v>
      </c>
      <c r="Z1338" t="s">
        <v>4360</v>
      </c>
      <c r="AB1338" t="s">
        <v>5436</v>
      </c>
      <c r="AD1338" t="s">
        <v>6789</v>
      </c>
      <c r="AE1338">
        <v>25</v>
      </c>
      <c r="AF1338" t="s">
        <v>7101</v>
      </c>
      <c r="AG1338" t="s">
        <v>7116</v>
      </c>
      <c r="AH1338">
        <v>20</v>
      </c>
      <c r="AI1338">
        <v>1</v>
      </c>
      <c r="AJ1338">
        <v>0</v>
      </c>
      <c r="AK1338">
        <v>192.15</v>
      </c>
      <c r="AN1338" t="s">
        <v>7138</v>
      </c>
      <c r="AO1338">
        <v>24000</v>
      </c>
      <c r="AQ1338" t="s">
        <v>7197</v>
      </c>
      <c r="AR1338" t="s">
        <v>7226</v>
      </c>
      <c r="AS1338" t="s">
        <v>7231</v>
      </c>
      <c r="AT1338" t="s">
        <v>7272</v>
      </c>
      <c r="AU1338">
        <v>73</v>
      </c>
      <c r="AV1338" t="s">
        <v>143</v>
      </c>
      <c r="AW1338" t="s">
        <v>7351</v>
      </c>
    </row>
    <row r="1339" spans="1:50">
      <c r="A1339" s="1">
        <f>HYPERLINK("https://lsnyc.legalserver.org/matter/dynamic-profile/view/1889370","19-1889370")</f>
        <v>0</v>
      </c>
      <c r="B1339" t="s">
        <v>70</v>
      </c>
      <c r="C1339" t="s">
        <v>105</v>
      </c>
      <c r="D1339" t="s">
        <v>155</v>
      </c>
      <c r="F1339" t="s">
        <v>1382</v>
      </c>
      <c r="G1339" t="s">
        <v>704</v>
      </c>
      <c r="H1339" t="s">
        <v>3109</v>
      </c>
      <c r="I1339" t="s">
        <v>3293</v>
      </c>
      <c r="J1339" t="s">
        <v>3604</v>
      </c>
      <c r="K1339">
        <v>10029</v>
      </c>
      <c r="L1339" t="s">
        <v>3610</v>
      </c>
      <c r="M1339" t="s">
        <v>3610</v>
      </c>
      <c r="O1339" t="s">
        <v>4211</v>
      </c>
      <c r="P1339" t="s">
        <v>4244</v>
      </c>
      <c r="R1339" t="s">
        <v>4258</v>
      </c>
      <c r="S1339" t="s">
        <v>3611</v>
      </c>
      <c r="U1339" t="s">
        <v>4268</v>
      </c>
      <c r="V1339" t="s">
        <v>4274</v>
      </c>
      <c r="W1339" t="s">
        <v>155</v>
      </c>
      <c r="X1339">
        <v>650</v>
      </c>
      <c r="Y1339" t="s">
        <v>4351</v>
      </c>
      <c r="Z1339" t="s">
        <v>4360</v>
      </c>
      <c r="AB1339" t="s">
        <v>5437</v>
      </c>
      <c r="AD1339" t="s">
        <v>6790</v>
      </c>
      <c r="AE1339">
        <v>33</v>
      </c>
      <c r="AF1339" t="s">
        <v>7112</v>
      </c>
      <c r="AG1339" t="s">
        <v>3745</v>
      </c>
      <c r="AH1339">
        <v>31</v>
      </c>
      <c r="AI1339">
        <v>1</v>
      </c>
      <c r="AJ1339">
        <v>0</v>
      </c>
      <c r="AK1339">
        <v>192.15</v>
      </c>
      <c r="AN1339" t="s">
        <v>7138</v>
      </c>
      <c r="AO1339">
        <v>24000</v>
      </c>
      <c r="AU1339">
        <v>23.45</v>
      </c>
      <c r="AV1339" t="s">
        <v>663</v>
      </c>
      <c r="AW1339" t="s">
        <v>7346</v>
      </c>
      <c r="AX1339" t="s">
        <v>7377</v>
      </c>
    </row>
    <row r="1340" spans="1:50">
      <c r="A1340" s="1">
        <f>HYPERLINK("https://lsnyc.legalserver.org/matter/dynamic-profile/view/1903011","19-1903011")</f>
        <v>0</v>
      </c>
      <c r="B1340" t="s">
        <v>53</v>
      </c>
      <c r="C1340" t="s">
        <v>105</v>
      </c>
      <c r="D1340" t="s">
        <v>477</v>
      </c>
      <c r="F1340" t="s">
        <v>786</v>
      </c>
      <c r="G1340" t="s">
        <v>2184</v>
      </c>
      <c r="H1340" t="s">
        <v>2508</v>
      </c>
      <c r="I1340">
        <v>509</v>
      </c>
      <c r="J1340" t="s">
        <v>3604</v>
      </c>
      <c r="K1340">
        <v>10029</v>
      </c>
      <c r="L1340" t="s">
        <v>3610</v>
      </c>
      <c r="M1340" t="s">
        <v>3609</v>
      </c>
      <c r="O1340" t="s">
        <v>4213</v>
      </c>
      <c r="P1340" t="s">
        <v>4241</v>
      </c>
      <c r="R1340" t="s">
        <v>4258</v>
      </c>
      <c r="S1340" t="s">
        <v>3610</v>
      </c>
      <c r="U1340" t="s">
        <v>4268</v>
      </c>
      <c r="V1340" t="s">
        <v>4274</v>
      </c>
      <c r="W1340" t="s">
        <v>512</v>
      </c>
      <c r="X1340">
        <v>905</v>
      </c>
      <c r="Y1340" t="s">
        <v>4351</v>
      </c>
      <c r="Z1340" t="s">
        <v>4357</v>
      </c>
      <c r="AB1340" t="s">
        <v>5344</v>
      </c>
      <c r="AD1340" t="s">
        <v>6791</v>
      </c>
      <c r="AE1340">
        <v>108</v>
      </c>
      <c r="AF1340" t="s">
        <v>7106</v>
      </c>
      <c r="AG1340" t="s">
        <v>7116</v>
      </c>
      <c r="AH1340">
        <v>7</v>
      </c>
      <c r="AI1340">
        <v>1</v>
      </c>
      <c r="AJ1340">
        <v>2</v>
      </c>
      <c r="AK1340">
        <v>192.22</v>
      </c>
      <c r="AN1340" t="s">
        <v>7138</v>
      </c>
      <c r="AO1340">
        <v>41000</v>
      </c>
      <c r="AP1340" t="s">
        <v>7164</v>
      </c>
      <c r="AU1340">
        <v>7</v>
      </c>
      <c r="AV1340" t="s">
        <v>678</v>
      </c>
      <c r="AW1340" t="s">
        <v>7341</v>
      </c>
      <c r="AX1340" t="s">
        <v>7377</v>
      </c>
    </row>
    <row r="1341" spans="1:50">
      <c r="A1341" s="1">
        <f>HYPERLINK("https://lsnyc.legalserver.org/matter/dynamic-profile/view/1872357","18-1872357")</f>
        <v>0</v>
      </c>
      <c r="B1341" t="s">
        <v>62</v>
      </c>
      <c r="C1341" t="s">
        <v>105</v>
      </c>
      <c r="D1341" t="s">
        <v>310</v>
      </c>
      <c r="F1341" t="s">
        <v>1383</v>
      </c>
      <c r="G1341" t="s">
        <v>2244</v>
      </c>
      <c r="H1341" t="s">
        <v>2817</v>
      </c>
      <c r="I1341" t="s">
        <v>3335</v>
      </c>
      <c r="J1341" t="s">
        <v>3604</v>
      </c>
      <c r="K1341">
        <v>10032</v>
      </c>
      <c r="L1341" t="s">
        <v>3610</v>
      </c>
      <c r="M1341" t="s">
        <v>3610</v>
      </c>
      <c r="O1341" t="s">
        <v>4213</v>
      </c>
      <c r="P1341" t="s">
        <v>4245</v>
      </c>
      <c r="R1341" t="s">
        <v>4258</v>
      </c>
      <c r="S1341" t="s">
        <v>3611</v>
      </c>
      <c r="U1341" t="s">
        <v>4268</v>
      </c>
      <c r="W1341" t="s">
        <v>310</v>
      </c>
      <c r="X1341">
        <v>1282.58</v>
      </c>
      <c r="Y1341" t="s">
        <v>4351</v>
      </c>
      <c r="Z1341" t="s">
        <v>4354</v>
      </c>
      <c r="AB1341" t="s">
        <v>5438</v>
      </c>
      <c r="AC1341" t="s">
        <v>5847</v>
      </c>
      <c r="AD1341" t="s">
        <v>6792</v>
      </c>
      <c r="AE1341">
        <v>49</v>
      </c>
      <c r="AF1341" t="s">
        <v>7101</v>
      </c>
      <c r="AG1341" t="s">
        <v>3745</v>
      </c>
      <c r="AH1341">
        <v>24</v>
      </c>
      <c r="AI1341">
        <v>3</v>
      </c>
      <c r="AJ1341">
        <v>0</v>
      </c>
      <c r="AK1341">
        <v>192.49</v>
      </c>
      <c r="AN1341" t="s">
        <v>7139</v>
      </c>
      <c r="AO1341">
        <v>40000</v>
      </c>
      <c r="AU1341">
        <v>61.3</v>
      </c>
      <c r="AV1341" t="s">
        <v>143</v>
      </c>
      <c r="AW1341" t="s">
        <v>7342</v>
      </c>
      <c r="AX1341" t="s">
        <v>7377</v>
      </c>
    </row>
    <row r="1342" spans="1:50">
      <c r="A1342" s="1">
        <f>HYPERLINK("https://lsnyc.legalserver.org/matter/dynamic-profile/view/1864736","18-1864736")</f>
        <v>0</v>
      </c>
      <c r="B1342" t="s">
        <v>53</v>
      </c>
      <c r="C1342" t="s">
        <v>105</v>
      </c>
      <c r="D1342" t="s">
        <v>151</v>
      </c>
      <c r="F1342" t="s">
        <v>719</v>
      </c>
      <c r="G1342" t="s">
        <v>2245</v>
      </c>
      <c r="H1342" t="s">
        <v>2508</v>
      </c>
      <c r="I1342">
        <v>208</v>
      </c>
      <c r="J1342" t="s">
        <v>3604</v>
      </c>
      <c r="K1342">
        <v>10029</v>
      </c>
      <c r="L1342" t="s">
        <v>3610</v>
      </c>
      <c r="M1342" t="s">
        <v>3610</v>
      </c>
      <c r="O1342" t="s">
        <v>4213</v>
      </c>
      <c r="P1342" t="s">
        <v>4245</v>
      </c>
      <c r="R1342" t="s">
        <v>4258</v>
      </c>
      <c r="S1342" t="s">
        <v>3610</v>
      </c>
      <c r="U1342" t="s">
        <v>4268</v>
      </c>
      <c r="V1342" t="s">
        <v>4274</v>
      </c>
      <c r="W1342" t="s">
        <v>151</v>
      </c>
      <c r="X1342">
        <v>0</v>
      </c>
      <c r="Y1342" t="s">
        <v>4351</v>
      </c>
      <c r="Z1342" t="s">
        <v>4352</v>
      </c>
      <c r="AB1342" t="s">
        <v>5439</v>
      </c>
      <c r="AD1342" t="s">
        <v>6793</v>
      </c>
      <c r="AE1342">
        <v>108</v>
      </c>
      <c r="AF1342" t="s">
        <v>7106</v>
      </c>
      <c r="AG1342" t="s">
        <v>7116</v>
      </c>
      <c r="AH1342">
        <v>35</v>
      </c>
      <c r="AI1342">
        <v>3</v>
      </c>
      <c r="AJ1342">
        <v>0</v>
      </c>
      <c r="AK1342">
        <v>192.49</v>
      </c>
      <c r="AN1342" t="s">
        <v>7139</v>
      </c>
      <c r="AO1342">
        <v>40000</v>
      </c>
      <c r="AU1342">
        <v>0</v>
      </c>
      <c r="AW1342" t="s">
        <v>7341</v>
      </c>
    </row>
    <row r="1343" spans="1:50">
      <c r="A1343" s="1">
        <f>HYPERLINK("https://lsnyc.legalserver.org/matter/dynamic-profile/view/1842878","17-1842878")</f>
        <v>0</v>
      </c>
      <c r="B1343" t="s">
        <v>53</v>
      </c>
      <c r="C1343" t="s">
        <v>104</v>
      </c>
      <c r="D1343" t="s">
        <v>328</v>
      </c>
      <c r="E1343" t="s">
        <v>676</v>
      </c>
      <c r="F1343" t="s">
        <v>1229</v>
      </c>
      <c r="G1343" t="s">
        <v>2246</v>
      </c>
      <c r="H1343" t="s">
        <v>3110</v>
      </c>
      <c r="I1343" t="s">
        <v>3365</v>
      </c>
      <c r="J1343" t="s">
        <v>3604</v>
      </c>
      <c r="K1343">
        <v>10033</v>
      </c>
      <c r="L1343" t="s">
        <v>3610</v>
      </c>
      <c r="M1343" t="s">
        <v>3609</v>
      </c>
      <c r="N1343" t="s">
        <v>4083</v>
      </c>
      <c r="O1343" t="s">
        <v>4220</v>
      </c>
      <c r="P1343" t="s">
        <v>4243</v>
      </c>
      <c r="Q1343" t="s">
        <v>4252</v>
      </c>
      <c r="R1343" t="s">
        <v>4258</v>
      </c>
      <c r="S1343" t="s">
        <v>3611</v>
      </c>
      <c r="U1343" t="s">
        <v>4268</v>
      </c>
      <c r="V1343" t="s">
        <v>4274</v>
      </c>
      <c r="W1343" t="s">
        <v>133</v>
      </c>
      <c r="X1343">
        <v>1115</v>
      </c>
      <c r="Y1343" t="s">
        <v>4351</v>
      </c>
      <c r="Z1343" t="s">
        <v>4354</v>
      </c>
      <c r="AA1343" t="s">
        <v>4379</v>
      </c>
      <c r="AB1343" t="s">
        <v>5440</v>
      </c>
      <c r="AD1343" t="s">
        <v>6794</v>
      </c>
      <c r="AE1343">
        <v>48</v>
      </c>
      <c r="AF1343" t="s">
        <v>7104</v>
      </c>
      <c r="AG1343" t="s">
        <v>3745</v>
      </c>
      <c r="AH1343">
        <v>50</v>
      </c>
      <c r="AI1343">
        <v>1</v>
      </c>
      <c r="AJ1343">
        <v>0</v>
      </c>
      <c r="AK1343">
        <v>192.55</v>
      </c>
      <c r="AL1343" t="s">
        <v>583</v>
      </c>
      <c r="AN1343" t="s">
        <v>7138</v>
      </c>
      <c r="AO1343">
        <v>23221.44</v>
      </c>
      <c r="AQ1343" t="s">
        <v>7197</v>
      </c>
      <c r="AR1343" t="s">
        <v>7212</v>
      </c>
      <c r="AS1343" t="s">
        <v>7231</v>
      </c>
      <c r="AT1343" t="s">
        <v>7273</v>
      </c>
      <c r="AU1343">
        <v>6</v>
      </c>
      <c r="AV1343" t="s">
        <v>666</v>
      </c>
      <c r="AW1343" t="s">
        <v>7342</v>
      </c>
      <c r="AX1343" t="s">
        <v>7377</v>
      </c>
    </row>
    <row r="1344" spans="1:50">
      <c r="A1344" s="1">
        <f>HYPERLINK("https://lsnyc.legalserver.org/matter/dynamic-profile/view/1902651","19-1902651")</f>
        <v>0</v>
      </c>
      <c r="B1344" t="s">
        <v>63</v>
      </c>
      <c r="C1344" t="s">
        <v>105</v>
      </c>
      <c r="D1344" t="s">
        <v>612</v>
      </c>
      <c r="F1344" t="s">
        <v>777</v>
      </c>
      <c r="G1344" t="s">
        <v>1746</v>
      </c>
      <c r="H1344" t="s">
        <v>3111</v>
      </c>
      <c r="I1344" t="s">
        <v>3316</v>
      </c>
      <c r="J1344" t="s">
        <v>3604</v>
      </c>
      <c r="K1344">
        <v>10040</v>
      </c>
      <c r="L1344" t="s">
        <v>3610</v>
      </c>
      <c r="M1344" t="s">
        <v>3609</v>
      </c>
      <c r="N1344" t="s">
        <v>4084</v>
      </c>
      <c r="O1344" t="s">
        <v>4209</v>
      </c>
      <c r="P1344" t="s">
        <v>4241</v>
      </c>
      <c r="R1344" t="s">
        <v>4258</v>
      </c>
      <c r="S1344" t="s">
        <v>3610</v>
      </c>
      <c r="U1344" t="s">
        <v>4268</v>
      </c>
      <c r="V1344" t="s">
        <v>4274</v>
      </c>
      <c r="W1344" t="s">
        <v>612</v>
      </c>
      <c r="X1344">
        <v>1353.32</v>
      </c>
      <c r="Y1344" t="s">
        <v>4351</v>
      </c>
      <c r="Z1344" t="s">
        <v>4357</v>
      </c>
      <c r="AB1344" t="s">
        <v>5322</v>
      </c>
      <c r="AD1344" t="s">
        <v>6680</v>
      </c>
      <c r="AE1344">
        <v>45</v>
      </c>
      <c r="AF1344" t="s">
        <v>7101</v>
      </c>
      <c r="AH1344">
        <v>28</v>
      </c>
      <c r="AI1344">
        <v>4</v>
      </c>
      <c r="AJ1344">
        <v>0</v>
      </c>
      <c r="AK1344">
        <v>192.62</v>
      </c>
      <c r="AM1344" t="s">
        <v>7136</v>
      </c>
      <c r="AN1344" t="s">
        <v>7139</v>
      </c>
      <c r="AO1344">
        <v>49600</v>
      </c>
      <c r="AU1344">
        <v>3</v>
      </c>
      <c r="AV1344" t="s">
        <v>131</v>
      </c>
      <c r="AW1344" t="s">
        <v>63</v>
      </c>
      <c r="AX1344" t="s">
        <v>7377</v>
      </c>
    </row>
    <row r="1345" spans="1:50">
      <c r="A1345" s="1">
        <f>HYPERLINK("https://lsnyc.legalserver.org/matter/dynamic-profile/view/1876754","18-1876754")</f>
        <v>0</v>
      </c>
      <c r="B1345" t="s">
        <v>50</v>
      </c>
      <c r="C1345" t="s">
        <v>104</v>
      </c>
      <c r="D1345" t="s">
        <v>135</v>
      </c>
      <c r="E1345" t="s">
        <v>500</v>
      </c>
      <c r="F1345" t="s">
        <v>1384</v>
      </c>
      <c r="G1345" t="s">
        <v>2247</v>
      </c>
      <c r="H1345" t="s">
        <v>3112</v>
      </c>
      <c r="I1345" t="s">
        <v>3313</v>
      </c>
      <c r="J1345" t="s">
        <v>3604</v>
      </c>
      <c r="K1345">
        <v>10040</v>
      </c>
      <c r="L1345" t="s">
        <v>3609</v>
      </c>
      <c r="M1345" t="s">
        <v>3609</v>
      </c>
      <c r="N1345" t="s">
        <v>4085</v>
      </c>
      <c r="P1345" t="s">
        <v>4241</v>
      </c>
      <c r="Q1345" t="s">
        <v>4248</v>
      </c>
      <c r="R1345" t="s">
        <v>4258</v>
      </c>
      <c r="U1345" t="s">
        <v>4267</v>
      </c>
      <c r="X1345">
        <v>0</v>
      </c>
      <c r="Y1345" t="s">
        <v>4351</v>
      </c>
      <c r="AA1345" t="s">
        <v>4372</v>
      </c>
      <c r="AB1345" t="s">
        <v>5441</v>
      </c>
      <c r="AD1345" t="s">
        <v>6795</v>
      </c>
      <c r="AE1345">
        <v>0</v>
      </c>
      <c r="AH1345">
        <v>0</v>
      </c>
      <c r="AI1345">
        <v>1</v>
      </c>
      <c r="AJ1345">
        <v>0</v>
      </c>
      <c r="AK1345">
        <v>192.75</v>
      </c>
      <c r="AN1345" t="s">
        <v>7138</v>
      </c>
      <c r="AO1345">
        <v>23400</v>
      </c>
      <c r="AU1345">
        <v>22.65</v>
      </c>
      <c r="AV1345" t="s">
        <v>540</v>
      </c>
      <c r="AW1345" t="s">
        <v>7340</v>
      </c>
    </row>
    <row r="1346" spans="1:50">
      <c r="A1346" s="1">
        <f>HYPERLINK("https://lsnyc.legalserver.org/matter/dynamic-profile/view/1843591","17-1843591")</f>
        <v>0</v>
      </c>
      <c r="B1346" t="s">
        <v>56</v>
      </c>
      <c r="C1346" t="s">
        <v>105</v>
      </c>
      <c r="D1346" t="s">
        <v>188</v>
      </c>
      <c r="F1346" t="s">
        <v>1369</v>
      </c>
      <c r="G1346" t="s">
        <v>1694</v>
      </c>
      <c r="H1346" t="s">
        <v>2534</v>
      </c>
      <c r="J1346" t="s">
        <v>3604</v>
      </c>
      <c r="K1346">
        <v>10040</v>
      </c>
      <c r="L1346" t="s">
        <v>3610</v>
      </c>
      <c r="M1346" t="s">
        <v>3610</v>
      </c>
      <c r="N1346" t="s">
        <v>3656</v>
      </c>
      <c r="O1346" t="s">
        <v>4213</v>
      </c>
      <c r="P1346" t="s">
        <v>4243</v>
      </c>
      <c r="R1346" t="s">
        <v>4258</v>
      </c>
      <c r="S1346" t="s">
        <v>3610</v>
      </c>
      <c r="U1346" t="s">
        <v>4268</v>
      </c>
      <c r="W1346" t="s">
        <v>354</v>
      </c>
      <c r="X1346">
        <v>1147</v>
      </c>
      <c r="Y1346" t="s">
        <v>4351</v>
      </c>
      <c r="Z1346" t="s">
        <v>4354</v>
      </c>
      <c r="AB1346" t="s">
        <v>5418</v>
      </c>
      <c r="AD1346" t="s">
        <v>6773</v>
      </c>
      <c r="AE1346">
        <v>44</v>
      </c>
      <c r="AF1346" t="s">
        <v>7101</v>
      </c>
      <c r="AG1346" t="s">
        <v>3745</v>
      </c>
      <c r="AH1346">
        <v>8</v>
      </c>
      <c r="AI1346">
        <v>3</v>
      </c>
      <c r="AJ1346">
        <v>0</v>
      </c>
      <c r="AK1346">
        <v>193.1</v>
      </c>
      <c r="AL1346" t="s">
        <v>246</v>
      </c>
      <c r="AN1346" t="s">
        <v>7139</v>
      </c>
      <c r="AO1346">
        <v>39432</v>
      </c>
      <c r="AU1346">
        <v>1.8</v>
      </c>
      <c r="AV1346" t="s">
        <v>156</v>
      </c>
      <c r="AW1346" t="s">
        <v>7342</v>
      </c>
    </row>
    <row r="1347" spans="1:50">
      <c r="A1347" s="1">
        <f>HYPERLINK("https://lsnyc.legalserver.org/matter/dynamic-profile/view/0822647","16-0822647")</f>
        <v>0</v>
      </c>
      <c r="B1347" t="s">
        <v>63</v>
      </c>
      <c r="C1347" t="s">
        <v>105</v>
      </c>
      <c r="D1347" t="s">
        <v>523</v>
      </c>
      <c r="F1347" t="s">
        <v>738</v>
      </c>
      <c r="G1347" t="s">
        <v>1656</v>
      </c>
      <c r="H1347" t="s">
        <v>2652</v>
      </c>
      <c r="I1347" t="s">
        <v>3338</v>
      </c>
      <c r="J1347" t="s">
        <v>3604</v>
      </c>
      <c r="K1347">
        <v>10034</v>
      </c>
      <c r="L1347" t="s">
        <v>3610</v>
      </c>
      <c r="M1347" t="s">
        <v>3609</v>
      </c>
      <c r="O1347" t="s">
        <v>4220</v>
      </c>
      <c r="P1347" t="s">
        <v>4243</v>
      </c>
      <c r="R1347" t="s">
        <v>4258</v>
      </c>
      <c r="S1347" t="s">
        <v>3610</v>
      </c>
      <c r="U1347" t="s">
        <v>4268</v>
      </c>
      <c r="W1347" t="s">
        <v>518</v>
      </c>
      <c r="X1347">
        <v>1040</v>
      </c>
      <c r="Y1347" t="s">
        <v>4351</v>
      </c>
      <c r="Z1347" t="s">
        <v>4352</v>
      </c>
      <c r="AB1347" t="s">
        <v>5442</v>
      </c>
      <c r="AE1347">
        <v>22</v>
      </c>
      <c r="AF1347" t="s">
        <v>7101</v>
      </c>
      <c r="AG1347" t="s">
        <v>3745</v>
      </c>
      <c r="AH1347">
        <v>31</v>
      </c>
      <c r="AI1347">
        <v>3</v>
      </c>
      <c r="AJ1347">
        <v>0</v>
      </c>
      <c r="AK1347">
        <v>193.45</v>
      </c>
      <c r="AN1347" t="s">
        <v>7139</v>
      </c>
      <c r="AO1347">
        <v>78000</v>
      </c>
      <c r="AU1347">
        <v>0</v>
      </c>
      <c r="AW1347" t="s">
        <v>7341</v>
      </c>
    </row>
    <row r="1348" spans="1:50">
      <c r="A1348" s="1">
        <f>HYPERLINK("https://lsnyc.legalserver.org/matter/dynamic-profile/view/1899088","19-1899088")</f>
        <v>0</v>
      </c>
      <c r="B1348" t="s">
        <v>52</v>
      </c>
      <c r="C1348" t="s">
        <v>105</v>
      </c>
      <c r="D1348" t="s">
        <v>613</v>
      </c>
      <c r="F1348" t="s">
        <v>933</v>
      </c>
      <c r="G1348" t="s">
        <v>1589</v>
      </c>
      <c r="H1348" t="s">
        <v>3012</v>
      </c>
      <c r="I1348" t="s">
        <v>3536</v>
      </c>
      <c r="J1348" t="s">
        <v>3604</v>
      </c>
      <c r="K1348">
        <v>10040</v>
      </c>
      <c r="L1348" t="s">
        <v>3610</v>
      </c>
      <c r="M1348" t="s">
        <v>3609</v>
      </c>
      <c r="O1348" t="s">
        <v>4211</v>
      </c>
      <c r="P1348" t="s">
        <v>4241</v>
      </c>
      <c r="R1348" t="s">
        <v>4258</v>
      </c>
      <c r="S1348" t="s">
        <v>3611</v>
      </c>
      <c r="U1348" t="s">
        <v>4268</v>
      </c>
      <c r="V1348" t="s">
        <v>4274</v>
      </c>
      <c r="W1348" t="s">
        <v>613</v>
      </c>
      <c r="X1348">
        <v>2100</v>
      </c>
      <c r="Y1348" t="s">
        <v>4351</v>
      </c>
      <c r="Z1348" t="s">
        <v>4354</v>
      </c>
      <c r="AB1348" t="s">
        <v>5443</v>
      </c>
      <c r="AD1348" t="s">
        <v>6796</v>
      </c>
      <c r="AE1348">
        <v>72</v>
      </c>
      <c r="AF1348" t="s">
        <v>7101</v>
      </c>
      <c r="AG1348" t="s">
        <v>3745</v>
      </c>
      <c r="AH1348">
        <v>7</v>
      </c>
      <c r="AI1348">
        <v>3</v>
      </c>
      <c r="AJ1348">
        <v>1</v>
      </c>
      <c r="AK1348">
        <v>194.17</v>
      </c>
      <c r="AN1348" t="s">
        <v>7139</v>
      </c>
      <c r="AO1348">
        <v>50000</v>
      </c>
      <c r="AU1348">
        <v>2.5</v>
      </c>
      <c r="AV1348" t="s">
        <v>680</v>
      </c>
      <c r="AW1348" t="s">
        <v>7342</v>
      </c>
      <c r="AX1348" t="s">
        <v>7377</v>
      </c>
    </row>
    <row r="1349" spans="1:50">
      <c r="A1349" s="1">
        <f>HYPERLINK("https://lsnyc.legalserver.org/matter/dynamic-profile/view/1866445","18-1866445")</f>
        <v>0</v>
      </c>
      <c r="B1349" t="s">
        <v>53</v>
      </c>
      <c r="C1349" t="s">
        <v>105</v>
      </c>
      <c r="D1349" t="s">
        <v>288</v>
      </c>
      <c r="F1349" t="s">
        <v>1385</v>
      </c>
      <c r="G1349" t="s">
        <v>1642</v>
      </c>
      <c r="H1349" t="s">
        <v>2565</v>
      </c>
      <c r="I1349" t="s">
        <v>3311</v>
      </c>
      <c r="J1349" t="s">
        <v>3604</v>
      </c>
      <c r="K1349">
        <v>10031</v>
      </c>
      <c r="L1349" t="s">
        <v>3610</v>
      </c>
      <c r="M1349" t="s">
        <v>3610</v>
      </c>
      <c r="O1349" t="s">
        <v>4213</v>
      </c>
      <c r="P1349" t="s">
        <v>4245</v>
      </c>
      <c r="R1349" t="s">
        <v>4258</v>
      </c>
      <c r="S1349" t="s">
        <v>3610</v>
      </c>
      <c r="U1349" t="s">
        <v>4268</v>
      </c>
      <c r="V1349" t="s">
        <v>4274</v>
      </c>
      <c r="W1349" t="s">
        <v>288</v>
      </c>
      <c r="X1349">
        <v>1712</v>
      </c>
      <c r="Y1349" t="s">
        <v>4351</v>
      </c>
      <c r="Z1349" t="s">
        <v>4352</v>
      </c>
      <c r="AB1349" t="s">
        <v>5444</v>
      </c>
      <c r="AD1349" t="s">
        <v>6797</v>
      </c>
      <c r="AE1349">
        <v>42</v>
      </c>
      <c r="AF1349" t="s">
        <v>7106</v>
      </c>
      <c r="AG1349" t="s">
        <v>7116</v>
      </c>
      <c r="AH1349">
        <v>3</v>
      </c>
      <c r="AI1349">
        <v>1</v>
      </c>
      <c r="AJ1349">
        <v>0</v>
      </c>
      <c r="AK1349">
        <v>194.28</v>
      </c>
      <c r="AN1349" t="s">
        <v>7138</v>
      </c>
      <c r="AO1349">
        <v>23586</v>
      </c>
      <c r="AU1349">
        <v>0.75</v>
      </c>
      <c r="AV1349" t="s">
        <v>591</v>
      </c>
      <c r="AW1349" t="s">
        <v>7341</v>
      </c>
      <c r="AX1349" t="s">
        <v>7377</v>
      </c>
    </row>
    <row r="1350" spans="1:50">
      <c r="A1350" s="1">
        <f>HYPERLINK("https://lsnyc.legalserver.org/matter/dynamic-profile/view/1886018","18-1886018")</f>
        <v>0</v>
      </c>
      <c r="B1350" t="s">
        <v>53</v>
      </c>
      <c r="C1350" t="s">
        <v>104</v>
      </c>
      <c r="D1350" t="s">
        <v>335</v>
      </c>
      <c r="E1350" t="s">
        <v>642</v>
      </c>
      <c r="F1350" t="s">
        <v>706</v>
      </c>
      <c r="G1350" t="s">
        <v>1576</v>
      </c>
      <c r="H1350" t="s">
        <v>2476</v>
      </c>
      <c r="I1350">
        <v>8</v>
      </c>
      <c r="J1350" t="s">
        <v>3604</v>
      </c>
      <c r="K1350">
        <v>10034</v>
      </c>
      <c r="L1350" t="s">
        <v>3610</v>
      </c>
      <c r="M1350" t="s">
        <v>3611</v>
      </c>
      <c r="O1350" t="s">
        <v>4237</v>
      </c>
      <c r="P1350" t="s">
        <v>4244</v>
      </c>
      <c r="Q1350" t="s">
        <v>4254</v>
      </c>
      <c r="R1350" t="s">
        <v>4258</v>
      </c>
      <c r="S1350" t="s">
        <v>3611</v>
      </c>
      <c r="U1350" t="s">
        <v>4270</v>
      </c>
      <c r="V1350" t="s">
        <v>4274</v>
      </c>
      <c r="W1350" t="s">
        <v>335</v>
      </c>
      <c r="X1350">
        <v>1668</v>
      </c>
      <c r="Y1350" t="s">
        <v>4351</v>
      </c>
      <c r="Z1350" t="s">
        <v>4352</v>
      </c>
      <c r="AA1350" t="s">
        <v>4397</v>
      </c>
      <c r="AB1350" t="s">
        <v>4416</v>
      </c>
      <c r="AC1350" t="s">
        <v>5848</v>
      </c>
      <c r="AD1350" t="s">
        <v>5863</v>
      </c>
      <c r="AE1350">
        <v>23</v>
      </c>
      <c r="AF1350" t="s">
        <v>7101</v>
      </c>
      <c r="AG1350" t="s">
        <v>3745</v>
      </c>
      <c r="AH1350">
        <v>20</v>
      </c>
      <c r="AI1350">
        <v>2</v>
      </c>
      <c r="AJ1350">
        <v>0</v>
      </c>
      <c r="AK1350">
        <v>194.41</v>
      </c>
      <c r="AN1350" t="s">
        <v>7138</v>
      </c>
      <c r="AO1350">
        <v>32000</v>
      </c>
      <c r="AP1350" t="s">
        <v>7188</v>
      </c>
      <c r="AQ1350" t="s">
        <v>7196</v>
      </c>
      <c r="AR1350" t="s">
        <v>7205</v>
      </c>
      <c r="AS1350" t="s">
        <v>7231</v>
      </c>
      <c r="AT1350" t="s">
        <v>7234</v>
      </c>
      <c r="AU1350">
        <v>0.2</v>
      </c>
      <c r="AV1350" t="s">
        <v>335</v>
      </c>
      <c r="AW1350" t="s">
        <v>53</v>
      </c>
    </row>
    <row r="1351" spans="1:50">
      <c r="A1351" s="1">
        <f>HYPERLINK("https://lsnyc.legalserver.org/matter/dynamic-profile/view/1863923","18-1863923")</f>
        <v>0</v>
      </c>
      <c r="B1351" t="s">
        <v>53</v>
      </c>
      <c r="C1351" t="s">
        <v>105</v>
      </c>
      <c r="D1351" t="s">
        <v>347</v>
      </c>
      <c r="F1351" t="s">
        <v>1386</v>
      </c>
      <c r="G1351" t="s">
        <v>2248</v>
      </c>
      <c r="H1351" t="s">
        <v>2508</v>
      </c>
      <c r="I1351">
        <v>405</v>
      </c>
      <c r="J1351" t="s">
        <v>3604</v>
      </c>
      <c r="K1351">
        <v>10029</v>
      </c>
      <c r="L1351" t="s">
        <v>3610</v>
      </c>
      <c r="M1351" t="s">
        <v>3610</v>
      </c>
      <c r="N1351" t="s">
        <v>3642</v>
      </c>
      <c r="O1351" t="s">
        <v>4213</v>
      </c>
      <c r="P1351" t="s">
        <v>4241</v>
      </c>
      <c r="R1351" t="s">
        <v>4258</v>
      </c>
      <c r="S1351" t="s">
        <v>3610</v>
      </c>
      <c r="U1351" t="s">
        <v>4268</v>
      </c>
      <c r="V1351" t="s">
        <v>4274</v>
      </c>
      <c r="W1351" t="s">
        <v>347</v>
      </c>
      <c r="X1351">
        <v>0</v>
      </c>
      <c r="Y1351" t="s">
        <v>4351</v>
      </c>
      <c r="Z1351" t="s">
        <v>4352</v>
      </c>
      <c r="AB1351" t="s">
        <v>5445</v>
      </c>
      <c r="AE1351">
        <v>108</v>
      </c>
      <c r="AF1351" t="s">
        <v>7106</v>
      </c>
      <c r="AG1351" t="s">
        <v>7116</v>
      </c>
      <c r="AH1351">
        <v>17</v>
      </c>
      <c r="AI1351">
        <v>1</v>
      </c>
      <c r="AJ1351">
        <v>1</v>
      </c>
      <c r="AK1351">
        <v>194.41</v>
      </c>
      <c r="AN1351" t="s">
        <v>7138</v>
      </c>
      <c r="AO1351">
        <v>32000</v>
      </c>
      <c r="AU1351">
        <v>0.5</v>
      </c>
      <c r="AV1351" t="s">
        <v>688</v>
      </c>
      <c r="AW1351" t="s">
        <v>7341</v>
      </c>
    </row>
    <row r="1352" spans="1:50">
      <c r="A1352" s="1">
        <f>HYPERLINK("https://lsnyc.legalserver.org/matter/dynamic-profile/view/1864734","18-1864734")</f>
        <v>0</v>
      </c>
      <c r="B1352" t="s">
        <v>53</v>
      </c>
      <c r="C1352" t="s">
        <v>105</v>
      </c>
      <c r="D1352" t="s">
        <v>151</v>
      </c>
      <c r="F1352" t="s">
        <v>1387</v>
      </c>
      <c r="G1352" t="s">
        <v>2249</v>
      </c>
      <c r="H1352" t="s">
        <v>2508</v>
      </c>
      <c r="I1352">
        <v>201</v>
      </c>
      <c r="J1352" t="s">
        <v>3604</v>
      </c>
      <c r="K1352">
        <v>10029</v>
      </c>
      <c r="L1352" t="s">
        <v>3610</v>
      </c>
      <c r="M1352" t="s">
        <v>3610</v>
      </c>
      <c r="N1352" t="s">
        <v>3642</v>
      </c>
      <c r="O1352" t="s">
        <v>4213</v>
      </c>
      <c r="P1352" t="s">
        <v>4241</v>
      </c>
      <c r="R1352" t="s">
        <v>4258</v>
      </c>
      <c r="S1352" t="s">
        <v>3610</v>
      </c>
      <c r="U1352" t="s">
        <v>4268</v>
      </c>
      <c r="V1352" t="s">
        <v>4274</v>
      </c>
      <c r="W1352" t="s">
        <v>151</v>
      </c>
      <c r="X1352">
        <v>0</v>
      </c>
      <c r="Y1352" t="s">
        <v>4351</v>
      </c>
      <c r="Z1352" t="s">
        <v>4352</v>
      </c>
      <c r="AB1352" t="s">
        <v>5446</v>
      </c>
      <c r="AE1352">
        <v>108</v>
      </c>
      <c r="AF1352" t="s">
        <v>7106</v>
      </c>
      <c r="AG1352" t="s">
        <v>7116</v>
      </c>
      <c r="AH1352">
        <v>9</v>
      </c>
      <c r="AI1352">
        <v>1</v>
      </c>
      <c r="AJ1352">
        <v>1</v>
      </c>
      <c r="AK1352">
        <v>194.41</v>
      </c>
      <c r="AN1352" t="s">
        <v>7138</v>
      </c>
      <c r="AO1352">
        <v>32000</v>
      </c>
      <c r="AU1352">
        <v>0</v>
      </c>
      <c r="AW1352" t="s">
        <v>7341</v>
      </c>
    </row>
    <row r="1353" spans="1:50">
      <c r="A1353" s="1">
        <f>HYPERLINK("https://lsnyc.legalserver.org/matter/dynamic-profile/view/0818184","16-0818184")</f>
        <v>0</v>
      </c>
      <c r="B1353" t="s">
        <v>56</v>
      </c>
      <c r="C1353" t="s">
        <v>105</v>
      </c>
      <c r="D1353" t="s">
        <v>223</v>
      </c>
      <c r="F1353" t="s">
        <v>1014</v>
      </c>
      <c r="G1353" t="s">
        <v>1825</v>
      </c>
      <c r="H1353" t="s">
        <v>2886</v>
      </c>
      <c r="I1353" t="s">
        <v>3315</v>
      </c>
      <c r="J1353" t="s">
        <v>3604</v>
      </c>
      <c r="K1353">
        <v>10034</v>
      </c>
      <c r="L1353" t="s">
        <v>3610</v>
      </c>
      <c r="M1353" t="s">
        <v>3609</v>
      </c>
      <c r="O1353" t="s">
        <v>4211</v>
      </c>
      <c r="P1353" t="s">
        <v>4244</v>
      </c>
      <c r="R1353" t="s">
        <v>4258</v>
      </c>
      <c r="S1353" t="s">
        <v>3611</v>
      </c>
      <c r="U1353" t="s">
        <v>4268</v>
      </c>
      <c r="W1353" t="s">
        <v>258</v>
      </c>
      <c r="X1353">
        <v>659.6</v>
      </c>
      <c r="Y1353" t="s">
        <v>4351</v>
      </c>
      <c r="Z1353" t="s">
        <v>4365</v>
      </c>
      <c r="AB1353" t="s">
        <v>5447</v>
      </c>
      <c r="AD1353" t="s">
        <v>6798</v>
      </c>
      <c r="AE1353">
        <v>30</v>
      </c>
      <c r="AF1353" t="s">
        <v>7101</v>
      </c>
      <c r="AG1353" t="s">
        <v>3745</v>
      </c>
      <c r="AH1353">
        <v>43</v>
      </c>
      <c r="AI1353">
        <v>2</v>
      </c>
      <c r="AJ1353">
        <v>0</v>
      </c>
      <c r="AK1353">
        <v>194.76</v>
      </c>
      <c r="AN1353" t="s">
        <v>7139</v>
      </c>
      <c r="AO1353">
        <v>31200</v>
      </c>
      <c r="AU1353">
        <v>42.21</v>
      </c>
      <c r="AV1353" t="s">
        <v>689</v>
      </c>
      <c r="AW1353" t="s">
        <v>7354</v>
      </c>
    </row>
    <row r="1354" spans="1:50">
      <c r="A1354" s="1">
        <f>HYPERLINK("https://lsnyc.legalserver.org/matter/dynamic-profile/view/1878945","18-1878945")</f>
        <v>0</v>
      </c>
      <c r="B1354" t="s">
        <v>64</v>
      </c>
      <c r="C1354" t="s">
        <v>105</v>
      </c>
      <c r="D1354" t="s">
        <v>282</v>
      </c>
      <c r="F1354" t="s">
        <v>1388</v>
      </c>
      <c r="G1354" t="s">
        <v>1817</v>
      </c>
      <c r="H1354" t="s">
        <v>2576</v>
      </c>
      <c r="I1354" t="s">
        <v>3434</v>
      </c>
      <c r="J1354" t="s">
        <v>3604</v>
      </c>
      <c r="K1354">
        <v>10040</v>
      </c>
      <c r="L1354" t="s">
        <v>3610</v>
      </c>
      <c r="M1354" t="s">
        <v>3610</v>
      </c>
      <c r="O1354" t="s">
        <v>4218</v>
      </c>
      <c r="P1354" t="s">
        <v>4241</v>
      </c>
      <c r="R1354" t="s">
        <v>4258</v>
      </c>
      <c r="S1354" t="s">
        <v>3610</v>
      </c>
      <c r="U1354" t="s">
        <v>4268</v>
      </c>
      <c r="W1354" t="s">
        <v>282</v>
      </c>
      <c r="X1354">
        <v>1120.85</v>
      </c>
      <c r="Y1354" t="s">
        <v>4351</v>
      </c>
      <c r="Z1354" t="s">
        <v>4352</v>
      </c>
      <c r="AB1354" t="s">
        <v>5448</v>
      </c>
      <c r="AD1354" t="s">
        <v>6799</v>
      </c>
      <c r="AE1354">
        <v>88</v>
      </c>
      <c r="AF1354" t="s">
        <v>7101</v>
      </c>
      <c r="AG1354" t="s">
        <v>3745</v>
      </c>
      <c r="AH1354">
        <v>23</v>
      </c>
      <c r="AI1354">
        <v>4</v>
      </c>
      <c r="AJ1354">
        <v>0</v>
      </c>
      <c r="AK1354">
        <v>195.22</v>
      </c>
      <c r="AN1354" t="s">
        <v>7138</v>
      </c>
      <c r="AO1354">
        <v>49000</v>
      </c>
      <c r="AU1354">
        <v>0</v>
      </c>
      <c r="AW1354" t="s">
        <v>7342</v>
      </c>
    </row>
    <row r="1355" spans="1:50">
      <c r="A1355" s="1">
        <f>HYPERLINK("https://lsnyc.legalserver.org/matter/dynamic-profile/view/1901185","19-1901185")</f>
        <v>0</v>
      </c>
      <c r="B1355" t="s">
        <v>75</v>
      </c>
      <c r="C1355" t="s">
        <v>105</v>
      </c>
      <c r="D1355" t="s">
        <v>426</v>
      </c>
      <c r="F1355" t="s">
        <v>1094</v>
      </c>
      <c r="G1355" t="s">
        <v>1904</v>
      </c>
      <c r="H1355" t="s">
        <v>3113</v>
      </c>
      <c r="I1355" t="s">
        <v>3296</v>
      </c>
      <c r="J1355" t="s">
        <v>3604</v>
      </c>
      <c r="K1355">
        <v>10039</v>
      </c>
      <c r="L1355" t="s">
        <v>3610</v>
      </c>
      <c r="M1355" t="s">
        <v>3609</v>
      </c>
      <c r="N1355" t="s">
        <v>4086</v>
      </c>
      <c r="O1355" t="s">
        <v>4209</v>
      </c>
      <c r="P1355" t="s">
        <v>4246</v>
      </c>
      <c r="R1355" t="s">
        <v>4258</v>
      </c>
      <c r="S1355" t="s">
        <v>3611</v>
      </c>
      <c r="U1355" t="s">
        <v>4268</v>
      </c>
      <c r="V1355" t="s">
        <v>4274</v>
      </c>
      <c r="W1355" t="s">
        <v>426</v>
      </c>
      <c r="X1355">
        <v>1100.48</v>
      </c>
      <c r="Y1355" t="s">
        <v>4351</v>
      </c>
      <c r="Z1355" t="s">
        <v>4353</v>
      </c>
      <c r="AB1355" t="s">
        <v>5449</v>
      </c>
      <c r="AD1355" t="s">
        <v>6800</v>
      </c>
      <c r="AE1355">
        <v>96</v>
      </c>
      <c r="AF1355" t="s">
        <v>7101</v>
      </c>
      <c r="AG1355" t="s">
        <v>3745</v>
      </c>
      <c r="AH1355">
        <v>42</v>
      </c>
      <c r="AI1355">
        <v>4</v>
      </c>
      <c r="AJ1355">
        <v>0</v>
      </c>
      <c r="AK1355">
        <v>195.31</v>
      </c>
      <c r="AN1355" t="s">
        <v>7138</v>
      </c>
      <c r="AO1355">
        <v>50292</v>
      </c>
      <c r="AU1355">
        <v>0.7</v>
      </c>
      <c r="AV1355" t="s">
        <v>426</v>
      </c>
      <c r="AW1355" t="s">
        <v>7341</v>
      </c>
      <c r="AX1355" t="s">
        <v>7377</v>
      </c>
    </row>
    <row r="1356" spans="1:50">
      <c r="A1356" s="1">
        <f>HYPERLINK("https://lsnyc.legalserver.org/matter/dynamic-profile/view/1834312","17-1834312")</f>
        <v>0</v>
      </c>
      <c r="B1356" t="s">
        <v>53</v>
      </c>
      <c r="C1356" t="s">
        <v>104</v>
      </c>
      <c r="D1356" t="s">
        <v>191</v>
      </c>
      <c r="E1356" t="s">
        <v>548</v>
      </c>
      <c r="F1356" t="s">
        <v>806</v>
      </c>
      <c r="G1356" t="s">
        <v>2250</v>
      </c>
      <c r="H1356" t="s">
        <v>2833</v>
      </c>
      <c r="I1356" t="s">
        <v>3474</v>
      </c>
      <c r="J1356" t="s">
        <v>3604</v>
      </c>
      <c r="K1356">
        <v>10040</v>
      </c>
      <c r="L1356" t="s">
        <v>3610</v>
      </c>
      <c r="M1356" t="s">
        <v>3610</v>
      </c>
      <c r="N1356" t="s">
        <v>3883</v>
      </c>
      <c r="O1356" t="s">
        <v>4213</v>
      </c>
      <c r="P1356" t="s">
        <v>4241</v>
      </c>
      <c r="Q1356" t="s">
        <v>4248</v>
      </c>
      <c r="R1356" t="s">
        <v>4258</v>
      </c>
      <c r="S1356" t="s">
        <v>3610</v>
      </c>
      <c r="U1356" t="s">
        <v>4268</v>
      </c>
      <c r="W1356" t="s">
        <v>4282</v>
      </c>
      <c r="X1356">
        <v>1660</v>
      </c>
      <c r="Y1356" t="s">
        <v>4351</v>
      </c>
      <c r="Z1356" t="s">
        <v>4352</v>
      </c>
      <c r="AA1356" t="s">
        <v>4379</v>
      </c>
      <c r="AB1356" t="s">
        <v>5450</v>
      </c>
      <c r="AD1356" t="s">
        <v>6801</v>
      </c>
      <c r="AE1356">
        <v>0</v>
      </c>
      <c r="AF1356" t="s">
        <v>7101</v>
      </c>
      <c r="AG1356" t="s">
        <v>7118</v>
      </c>
      <c r="AH1356">
        <v>20</v>
      </c>
      <c r="AI1356">
        <v>2</v>
      </c>
      <c r="AJ1356">
        <v>1</v>
      </c>
      <c r="AK1356">
        <v>195.89</v>
      </c>
      <c r="AL1356" t="s">
        <v>7129</v>
      </c>
      <c r="AN1356" t="s">
        <v>7138</v>
      </c>
      <c r="AO1356">
        <v>40000</v>
      </c>
      <c r="AQ1356" t="s">
        <v>7197</v>
      </c>
      <c r="AR1356" t="s">
        <v>7212</v>
      </c>
      <c r="AS1356" t="s">
        <v>7231</v>
      </c>
      <c r="AT1356" t="s">
        <v>7274</v>
      </c>
      <c r="AU1356">
        <v>191.98</v>
      </c>
      <c r="AV1356" t="s">
        <v>548</v>
      </c>
      <c r="AW1356" t="s">
        <v>7341</v>
      </c>
    </row>
    <row r="1357" spans="1:50">
      <c r="A1357" s="1">
        <f>HYPERLINK("https://lsnyc.legalserver.org/matter/dynamic-profile/view/1840093","17-1840093")</f>
        <v>0</v>
      </c>
      <c r="B1357" t="s">
        <v>53</v>
      </c>
      <c r="C1357" t="s">
        <v>104</v>
      </c>
      <c r="D1357" t="s">
        <v>498</v>
      </c>
      <c r="E1357" t="s">
        <v>488</v>
      </c>
      <c r="F1357" t="s">
        <v>1389</v>
      </c>
      <c r="G1357" t="s">
        <v>1918</v>
      </c>
      <c r="H1357" t="s">
        <v>2833</v>
      </c>
      <c r="I1357">
        <v>64</v>
      </c>
      <c r="J1357" t="s">
        <v>3604</v>
      </c>
      <c r="K1357">
        <v>10040</v>
      </c>
      <c r="L1357" t="s">
        <v>3610</v>
      </c>
      <c r="M1357" t="s">
        <v>3610</v>
      </c>
      <c r="N1357" t="s">
        <v>3883</v>
      </c>
      <c r="O1357" t="s">
        <v>4213</v>
      </c>
      <c r="P1357" t="s">
        <v>4241</v>
      </c>
      <c r="Q1357" t="s">
        <v>4248</v>
      </c>
      <c r="R1357" t="s">
        <v>4258</v>
      </c>
      <c r="S1357" t="s">
        <v>3610</v>
      </c>
      <c r="U1357" t="s">
        <v>4268</v>
      </c>
      <c r="V1357" t="s">
        <v>4274</v>
      </c>
      <c r="W1357" t="s">
        <v>354</v>
      </c>
      <c r="X1357">
        <v>1450</v>
      </c>
      <c r="Y1357" t="s">
        <v>4351</v>
      </c>
      <c r="Z1357" t="s">
        <v>4352</v>
      </c>
      <c r="AA1357" t="s">
        <v>4379</v>
      </c>
      <c r="AB1357" t="s">
        <v>5451</v>
      </c>
      <c r="AD1357" t="s">
        <v>6802</v>
      </c>
      <c r="AE1357">
        <v>45</v>
      </c>
      <c r="AF1357" t="s">
        <v>7101</v>
      </c>
      <c r="AG1357" t="s">
        <v>3745</v>
      </c>
      <c r="AH1357">
        <v>1</v>
      </c>
      <c r="AI1357">
        <v>2</v>
      </c>
      <c r="AJ1357">
        <v>1</v>
      </c>
      <c r="AK1357">
        <v>195.89</v>
      </c>
      <c r="AL1357" t="s">
        <v>183</v>
      </c>
      <c r="AN1357" t="s">
        <v>7139</v>
      </c>
      <c r="AO1357">
        <v>40000</v>
      </c>
      <c r="AQ1357" t="s">
        <v>7197</v>
      </c>
      <c r="AR1357" t="s">
        <v>7220</v>
      </c>
      <c r="AS1357" t="s">
        <v>7231</v>
      </c>
      <c r="AT1357" t="s">
        <v>7260</v>
      </c>
      <c r="AU1357">
        <v>5.15</v>
      </c>
      <c r="AV1357" t="s">
        <v>488</v>
      </c>
      <c r="AW1357" t="s">
        <v>7342</v>
      </c>
    </row>
    <row r="1358" spans="1:50">
      <c r="A1358" s="1">
        <f>HYPERLINK("https://lsnyc.legalserver.org/matter/dynamic-profile/view/1885560","18-1885560")</f>
        <v>0</v>
      </c>
      <c r="B1358" t="s">
        <v>56</v>
      </c>
      <c r="C1358" t="s">
        <v>104</v>
      </c>
      <c r="D1358" t="s">
        <v>575</v>
      </c>
      <c r="E1358" t="s">
        <v>320</v>
      </c>
      <c r="F1358" t="s">
        <v>1053</v>
      </c>
      <c r="G1358" t="s">
        <v>1961</v>
      </c>
      <c r="H1358" t="s">
        <v>3114</v>
      </c>
      <c r="I1358">
        <v>31</v>
      </c>
      <c r="J1358" t="s">
        <v>3604</v>
      </c>
      <c r="K1358">
        <v>10032</v>
      </c>
      <c r="L1358" t="s">
        <v>3610</v>
      </c>
      <c r="M1358" t="s">
        <v>3610</v>
      </c>
      <c r="P1358" t="s">
        <v>4242</v>
      </c>
      <c r="Q1358" t="s">
        <v>4250</v>
      </c>
      <c r="R1358" t="s">
        <v>4258</v>
      </c>
      <c r="U1358" t="s">
        <v>4268</v>
      </c>
      <c r="W1358" t="s">
        <v>575</v>
      </c>
      <c r="X1358">
        <v>1042.85</v>
      </c>
      <c r="Y1358" t="s">
        <v>4351</v>
      </c>
      <c r="Z1358" t="s">
        <v>4354</v>
      </c>
      <c r="AA1358" t="s">
        <v>4373</v>
      </c>
      <c r="AB1358" t="s">
        <v>5452</v>
      </c>
      <c r="AD1358" t="s">
        <v>6803</v>
      </c>
      <c r="AE1358">
        <v>44</v>
      </c>
      <c r="AF1358" t="s">
        <v>7101</v>
      </c>
      <c r="AG1358" t="s">
        <v>3745</v>
      </c>
      <c r="AH1358">
        <v>23</v>
      </c>
      <c r="AI1358">
        <v>3</v>
      </c>
      <c r="AJ1358">
        <v>0</v>
      </c>
      <c r="AK1358">
        <v>196.44</v>
      </c>
      <c r="AN1358" t="s">
        <v>7139</v>
      </c>
      <c r="AO1358">
        <v>40820</v>
      </c>
      <c r="AU1358">
        <v>0.2</v>
      </c>
      <c r="AV1358" t="s">
        <v>320</v>
      </c>
      <c r="AW1358" t="s">
        <v>7342</v>
      </c>
    </row>
    <row r="1359" spans="1:50">
      <c r="A1359" s="1">
        <f>HYPERLINK("https://lsnyc.legalserver.org/matter/dynamic-profile/view/1874115","18-1874115")</f>
        <v>0</v>
      </c>
      <c r="B1359" t="s">
        <v>55</v>
      </c>
      <c r="C1359" t="s">
        <v>104</v>
      </c>
      <c r="D1359" t="s">
        <v>489</v>
      </c>
      <c r="E1359" t="s">
        <v>664</v>
      </c>
      <c r="F1359" t="s">
        <v>1390</v>
      </c>
      <c r="G1359" t="s">
        <v>1579</v>
      </c>
      <c r="H1359" t="s">
        <v>3115</v>
      </c>
      <c r="I1359" t="s">
        <v>3318</v>
      </c>
      <c r="J1359" t="s">
        <v>3604</v>
      </c>
      <c r="K1359">
        <v>10029</v>
      </c>
      <c r="L1359" t="s">
        <v>3610</v>
      </c>
      <c r="M1359" t="s">
        <v>3610</v>
      </c>
      <c r="N1359" t="s">
        <v>4087</v>
      </c>
      <c r="O1359" t="s">
        <v>4213</v>
      </c>
      <c r="P1359" t="s">
        <v>4241</v>
      </c>
      <c r="Q1359" t="s">
        <v>4250</v>
      </c>
      <c r="R1359" t="s">
        <v>4258</v>
      </c>
      <c r="S1359" t="s">
        <v>3610</v>
      </c>
      <c r="U1359" t="s">
        <v>4268</v>
      </c>
      <c r="V1359" t="s">
        <v>4274</v>
      </c>
      <c r="W1359" t="s">
        <v>315</v>
      </c>
      <c r="X1359">
        <v>1101</v>
      </c>
      <c r="Y1359" t="s">
        <v>4351</v>
      </c>
      <c r="Z1359" t="s">
        <v>4363</v>
      </c>
      <c r="AA1359" t="s">
        <v>4373</v>
      </c>
      <c r="AB1359" t="s">
        <v>5453</v>
      </c>
      <c r="AD1359" t="s">
        <v>6804</v>
      </c>
      <c r="AE1359">
        <v>76</v>
      </c>
      <c r="AF1359" t="s">
        <v>7101</v>
      </c>
      <c r="AG1359" t="s">
        <v>3745</v>
      </c>
      <c r="AH1359">
        <v>5</v>
      </c>
      <c r="AI1359">
        <v>1</v>
      </c>
      <c r="AJ1359">
        <v>1</v>
      </c>
      <c r="AK1359">
        <v>196.84</v>
      </c>
      <c r="AN1359" t="s">
        <v>7138</v>
      </c>
      <c r="AO1359">
        <v>32400</v>
      </c>
      <c r="AU1359">
        <v>2</v>
      </c>
      <c r="AV1359" t="s">
        <v>600</v>
      </c>
      <c r="AW1359" t="s">
        <v>7369</v>
      </c>
    </row>
    <row r="1360" spans="1:50">
      <c r="A1360" s="1">
        <f>HYPERLINK("https://lsnyc.legalserver.org/matter/dynamic-profile/view/1881264","18-1881264")</f>
        <v>0</v>
      </c>
      <c r="B1360" t="s">
        <v>62</v>
      </c>
      <c r="C1360" t="s">
        <v>104</v>
      </c>
      <c r="D1360" t="s">
        <v>306</v>
      </c>
      <c r="E1360" t="s">
        <v>227</v>
      </c>
      <c r="F1360" t="s">
        <v>1391</v>
      </c>
      <c r="G1360" t="s">
        <v>1604</v>
      </c>
      <c r="H1360" t="s">
        <v>2741</v>
      </c>
      <c r="I1360">
        <v>5</v>
      </c>
      <c r="J1360" t="s">
        <v>3604</v>
      </c>
      <c r="K1360">
        <v>10034</v>
      </c>
      <c r="L1360" t="s">
        <v>3610</v>
      </c>
      <c r="M1360" t="s">
        <v>3610</v>
      </c>
      <c r="O1360" t="s">
        <v>4219</v>
      </c>
      <c r="P1360" t="s">
        <v>4242</v>
      </c>
      <c r="Q1360" t="s">
        <v>4250</v>
      </c>
      <c r="R1360" t="s">
        <v>4258</v>
      </c>
      <c r="S1360" t="s">
        <v>3611</v>
      </c>
      <c r="U1360" t="s">
        <v>4268</v>
      </c>
      <c r="W1360" t="s">
        <v>306</v>
      </c>
      <c r="X1360">
        <v>859.6799999999999</v>
      </c>
      <c r="Y1360" t="s">
        <v>4351</v>
      </c>
      <c r="Z1360" t="s">
        <v>4354</v>
      </c>
      <c r="AA1360" t="s">
        <v>4373</v>
      </c>
      <c r="AB1360" t="s">
        <v>5454</v>
      </c>
      <c r="AD1360" t="s">
        <v>6805</v>
      </c>
      <c r="AE1360">
        <v>25</v>
      </c>
      <c r="AF1360" t="s">
        <v>7101</v>
      </c>
      <c r="AG1360" t="s">
        <v>3745</v>
      </c>
      <c r="AH1360">
        <v>18</v>
      </c>
      <c r="AI1360">
        <v>3</v>
      </c>
      <c r="AJ1360">
        <v>2</v>
      </c>
      <c r="AK1360">
        <v>196.94</v>
      </c>
      <c r="AN1360" t="s">
        <v>7139</v>
      </c>
      <c r="AO1360">
        <v>57940</v>
      </c>
      <c r="AP1360" t="s">
        <v>7189</v>
      </c>
      <c r="AU1360">
        <v>2.9</v>
      </c>
      <c r="AV1360" t="s">
        <v>447</v>
      </c>
      <c r="AW1360" t="s">
        <v>7342</v>
      </c>
    </row>
    <row r="1361" spans="1:50">
      <c r="A1361" s="1">
        <f>HYPERLINK("https://lsnyc.legalserver.org/matter/dynamic-profile/view/1857302","18-1857302")</f>
        <v>0</v>
      </c>
      <c r="B1361" t="s">
        <v>64</v>
      </c>
      <c r="C1361" t="s">
        <v>104</v>
      </c>
      <c r="D1361" t="s">
        <v>451</v>
      </c>
      <c r="E1361" t="s">
        <v>119</v>
      </c>
      <c r="F1361" t="s">
        <v>1392</v>
      </c>
      <c r="G1361" t="s">
        <v>2251</v>
      </c>
      <c r="H1361" t="s">
        <v>3116</v>
      </c>
      <c r="I1361">
        <v>2</v>
      </c>
      <c r="J1361" t="s">
        <v>3604</v>
      </c>
      <c r="K1361">
        <v>10010</v>
      </c>
      <c r="L1361" t="s">
        <v>3610</v>
      </c>
      <c r="M1361" t="s">
        <v>3609</v>
      </c>
      <c r="O1361" t="s">
        <v>4211</v>
      </c>
      <c r="P1361" t="s">
        <v>4242</v>
      </c>
      <c r="Q1361" t="s">
        <v>4250</v>
      </c>
      <c r="R1361" t="s">
        <v>4257</v>
      </c>
      <c r="S1361" t="s">
        <v>3611</v>
      </c>
      <c r="U1361" t="s">
        <v>4268</v>
      </c>
      <c r="W1361" t="s">
        <v>432</v>
      </c>
      <c r="X1361">
        <v>3800</v>
      </c>
      <c r="Y1361" t="s">
        <v>4351</v>
      </c>
      <c r="Z1361" t="s">
        <v>4355</v>
      </c>
      <c r="AA1361" t="s">
        <v>4373</v>
      </c>
      <c r="AB1361" t="s">
        <v>5455</v>
      </c>
      <c r="AD1361" t="s">
        <v>6806</v>
      </c>
      <c r="AE1361">
        <v>3</v>
      </c>
      <c r="AF1361" t="s">
        <v>7103</v>
      </c>
      <c r="AG1361" t="s">
        <v>3745</v>
      </c>
      <c r="AH1361">
        <v>9</v>
      </c>
      <c r="AI1361">
        <v>1</v>
      </c>
      <c r="AJ1361">
        <v>0</v>
      </c>
      <c r="AK1361">
        <v>197.03</v>
      </c>
      <c r="AL1361" t="s">
        <v>369</v>
      </c>
      <c r="AN1361" t="s">
        <v>7139</v>
      </c>
      <c r="AO1361">
        <v>23920</v>
      </c>
      <c r="AU1361">
        <v>11.75</v>
      </c>
      <c r="AV1361" t="s">
        <v>119</v>
      </c>
      <c r="AW1361" t="s">
        <v>7349</v>
      </c>
    </row>
    <row r="1362" spans="1:50">
      <c r="A1362" s="1">
        <f>HYPERLINK("https://lsnyc.legalserver.org/matter/dynamic-profile/view/1874072","18-1874072")</f>
        <v>0</v>
      </c>
      <c r="B1362" t="s">
        <v>56</v>
      </c>
      <c r="C1362" t="s">
        <v>104</v>
      </c>
      <c r="D1362" t="s">
        <v>489</v>
      </c>
      <c r="E1362" t="s">
        <v>530</v>
      </c>
      <c r="F1362" t="s">
        <v>1193</v>
      </c>
      <c r="G1362" t="s">
        <v>2058</v>
      </c>
      <c r="H1362" t="s">
        <v>2937</v>
      </c>
      <c r="I1362" t="s">
        <v>3311</v>
      </c>
      <c r="J1362" t="s">
        <v>3604</v>
      </c>
      <c r="K1362">
        <v>10035</v>
      </c>
      <c r="L1362" t="s">
        <v>3610</v>
      </c>
      <c r="M1362" t="s">
        <v>3610</v>
      </c>
      <c r="O1362" t="s">
        <v>4211</v>
      </c>
      <c r="P1362" t="s">
        <v>4241</v>
      </c>
      <c r="Q1362" t="s">
        <v>4248</v>
      </c>
      <c r="R1362" t="s">
        <v>4258</v>
      </c>
      <c r="S1362" t="s">
        <v>3611</v>
      </c>
      <c r="U1362" t="s">
        <v>4268</v>
      </c>
      <c r="V1362" t="s">
        <v>4274</v>
      </c>
      <c r="W1362" t="s">
        <v>4306</v>
      </c>
      <c r="X1362">
        <v>1657</v>
      </c>
      <c r="Y1362" t="s">
        <v>4351</v>
      </c>
      <c r="Z1362" t="s">
        <v>4357</v>
      </c>
      <c r="AA1362" t="s">
        <v>4379</v>
      </c>
      <c r="AB1362" t="s">
        <v>5109</v>
      </c>
      <c r="AD1362" t="s">
        <v>6483</v>
      </c>
      <c r="AE1362">
        <v>16</v>
      </c>
      <c r="AF1362" t="s">
        <v>7101</v>
      </c>
      <c r="AG1362" t="s">
        <v>3745</v>
      </c>
      <c r="AH1362">
        <v>2</v>
      </c>
      <c r="AI1362">
        <v>1</v>
      </c>
      <c r="AJ1362">
        <v>0</v>
      </c>
      <c r="AK1362">
        <v>197.69</v>
      </c>
      <c r="AN1362" t="s">
        <v>7138</v>
      </c>
      <c r="AO1362">
        <v>24000</v>
      </c>
      <c r="AS1362" t="s">
        <v>7231</v>
      </c>
      <c r="AT1362" t="s">
        <v>7243</v>
      </c>
      <c r="AU1362">
        <v>26.3</v>
      </c>
      <c r="AV1362" t="s">
        <v>530</v>
      </c>
      <c r="AW1362" t="s">
        <v>7352</v>
      </c>
      <c r="AX1362" t="s">
        <v>7377</v>
      </c>
    </row>
    <row r="1363" spans="1:50">
      <c r="A1363" s="1">
        <f>HYPERLINK("https://lsnyc.legalserver.org/matter/dynamic-profile/view/1885156","18-1885156")</f>
        <v>0</v>
      </c>
      <c r="B1363" t="s">
        <v>52</v>
      </c>
      <c r="C1363" t="s">
        <v>104</v>
      </c>
      <c r="D1363" t="s">
        <v>425</v>
      </c>
      <c r="E1363" t="s">
        <v>214</v>
      </c>
      <c r="F1363" t="s">
        <v>1393</v>
      </c>
      <c r="G1363" t="s">
        <v>1567</v>
      </c>
      <c r="H1363" t="s">
        <v>3117</v>
      </c>
      <c r="I1363" t="s">
        <v>3274</v>
      </c>
      <c r="J1363" t="s">
        <v>3604</v>
      </c>
      <c r="K1363">
        <v>10034</v>
      </c>
      <c r="L1363" t="s">
        <v>3610</v>
      </c>
      <c r="M1363" t="s">
        <v>3610</v>
      </c>
      <c r="P1363" t="s">
        <v>4242</v>
      </c>
      <c r="Q1363" t="s">
        <v>4250</v>
      </c>
      <c r="R1363" t="s">
        <v>4258</v>
      </c>
      <c r="S1363" t="s">
        <v>3611</v>
      </c>
      <c r="U1363" t="s">
        <v>4268</v>
      </c>
      <c r="W1363" t="s">
        <v>425</v>
      </c>
      <c r="X1363">
        <v>802</v>
      </c>
      <c r="Y1363" t="s">
        <v>4351</v>
      </c>
      <c r="Z1363" t="s">
        <v>4354</v>
      </c>
      <c r="AA1363" t="s">
        <v>4373</v>
      </c>
      <c r="AB1363" t="s">
        <v>5456</v>
      </c>
      <c r="AD1363" t="s">
        <v>6807</v>
      </c>
      <c r="AE1363">
        <v>0</v>
      </c>
      <c r="AF1363" t="s">
        <v>7101</v>
      </c>
      <c r="AG1363" t="s">
        <v>7116</v>
      </c>
      <c r="AH1363">
        <v>27</v>
      </c>
      <c r="AI1363">
        <v>1</v>
      </c>
      <c r="AJ1363">
        <v>0</v>
      </c>
      <c r="AK1363">
        <v>197.69</v>
      </c>
      <c r="AN1363" t="s">
        <v>7139</v>
      </c>
      <c r="AO1363">
        <v>24000</v>
      </c>
      <c r="AU1363">
        <v>7.4</v>
      </c>
      <c r="AV1363" t="s">
        <v>7295</v>
      </c>
      <c r="AW1363" t="s">
        <v>7342</v>
      </c>
    </row>
    <row r="1364" spans="1:50">
      <c r="A1364" s="1">
        <f>HYPERLINK("https://lsnyc.legalserver.org/matter/dynamic-profile/view/1879026","18-1879026")</f>
        <v>0</v>
      </c>
      <c r="B1364" t="s">
        <v>56</v>
      </c>
      <c r="C1364" t="s">
        <v>104</v>
      </c>
      <c r="D1364" t="s">
        <v>302</v>
      </c>
      <c r="E1364" t="s">
        <v>636</v>
      </c>
      <c r="F1364" t="s">
        <v>1014</v>
      </c>
      <c r="G1364" t="s">
        <v>2252</v>
      </c>
      <c r="H1364" t="s">
        <v>3118</v>
      </c>
      <c r="J1364" t="s">
        <v>3604</v>
      </c>
      <c r="K1364">
        <v>10032</v>
      </c>
      <c r="L1364" t="s">
        <v>3609</v>
      </c>
      <c r="M1364" t="s">
        <v>3609</v>
      </c>
      <c r="O1364" t="s">
        <v>4211</v>
      </c>
      <c r="P1364" t="s">
        <v>4242</v>
      </c>
      <c r="Q1364" t="s">
        <v>4250</v>
      </c>
      <c r="R1364" t="s">
        <v>4258</v>
      </c>
      <c r="U1364" t="s">
        <v>4268</v>
      </c>
      <c r="X1364">
        <v>755</v>
      </c>
      <c r="Y1364" t="s">
        <v>4351</v>
      </c>
      <c r="AA1364" t="s">
        <v>4373</v>
      </c>
      <c r="AB1364" t="s">
        <v>5457</v>
      </c>
      <c r="AD1364" t="s">
        <v>6808</v>
      </c>
      <c r="AE1364">
        <v>0</v>
      </c>
      <c r="AH1364">
        <v>46</v>
      </c>
      <c r="AI1364">
        <v>1</v>
      </c>
      <c r="AJ1364">
        <v>0</v>
      </c>
      <c r="AK1364">
        <v>197.69</v>
      </c>
      <c r="AN1364" t="s">
        <v>7139</v>
      </c>
      <c r="AO1364">
        <v>24000</v>
      </c>
      <c r="AU1364">
        <v>1.5</v>
      </c>
      <c r="AV1364" t="s">
        <v>302</v>
      </c>
      <c r="AW1364" t="s">
        <v>7340</v>
      </c>
    </row>
    <row r="1365" spans="1:50">
      <c r="A1365" s="1">
        <f>HYPERLINK("https://lsnyc.legalserver.org/matter/dynamic-profile/view/1872923","18-1872923")</f>
        <v>0</v>
      </c>
      <c r="B1365" t="s">
        <v>79</v>
      </c>
      <c r="C1365" t="s">
        <v>104</v>
      </c>
      <c r="D1365" t="s">
        <v>177</v>
      </c>
      <c r="E1365" t="s">
        <v>280</v>
      </c>
      <c r="F1365" t="s">
        <v>886</v>
      </c>
      <c r="G1365" t="s">
        <v>2253</v>
      </c>
      <c r="H1365" t="s">
        <v>3119</v>
      </c>
      <c r="I1365" t="s">
        <v>3342</v>
      </c>
      <c r="J1365" t="s">
        <v>3604</v>
      </c>
      <c r="K1365">
        <v>10003</v>
      </c>
      <c r="L1365" t="s">
        <v>3610</v>
      </c>
      <c r="M1365" t="s">
        <v>3609</v>
      </c>
      <c r="N1365" t="s">
        <v>4088</v>
      </c>
      <c r="O1365" t="s">
        <v>4210</v>
      </c>
      <c r="P1365" t="s">
        <v>4242</v>
      </c>
      <c r="Q1365" t="s">
        <v>4250</v>
      </c>
      <c r="R1365" t="s">
        <v>4258</v>
      </c>
      <c r="S1365" t="s">
        <v>3611</v>
      </c>
      <c r="U1365" t="s">
        <v>4268</v>
      </c>
      <c r="W1365" t="s">
        <v>177</v>
      </c>
      <c r="X1365">
        <v>1366.14</v>
      </c>
      <c r="Y1365" t="s">
        <v>4351</v>
      </c>
      <c r="Z1365" t="s">
        <v>4357</v>
      </c>
      <c r="AA1365" t="s">
        <v>4373</v>
      </c>
      <c r="AB1365" t="s">
        <v>5458</v>
      </c>
      <c r="AD1365" t="s">
        <v>6809</v>
      </c>
      <c r="AE1365">
        <v>0</v>
      </c>
      <c r="AF1365" t="s">
        <v>7101</v>
      </c>
      <c r="AG1365" t="s">
        <v>3745</v>
      </c>
      <c r="AH1365">
        <v>20</v>
      </c>
      <c r="AI1365">
        <v>1</v>
      </c>
      <c r="AJ1365">
        <v>0</v>
      </c>
      <c r="AK1365">
        <v>197.69</v>
      </c>
      <c r="AN1365" t="s">
        <v>7138</v>
      </c>
      <c r="AO1365">
        <v>24000</v>
      </c>
      <c r="AU1365">
        <v>2.1</v>
      </c>
      <c r="AV1365" t="s">
        <v>280</v>
      </c>
      <c r="AW1365" t="s">
        <v>7344</v>
      </c>
    </row>
    <row r="1366" spans="1:50">
      <c r="A1366" s="1">
        <f>HYPERLINK("https://lsnyc.legalserver.org/matter/dynamic-profile/view/1837848","17-1837848")</f>
        <v>0</v>
      </c>
      <c r="B1366" t="s">
        <v>55</v>
      </c>
      <c r="C1366" t="s">
        <v>104</v>
      </c>
      <c r="D1366" t="s">
        <v>614</v>
      </c>
      <c r="E1366" t="s">
        <v>664</v>
      </c>
      <c r="F1366" t="s">
        <v>1394</v>
      </c>
      <c r="G1366" t="s">
        <v>1695</v>
      </c>
      <c r="H1366" t="s">
        <v>2582</v>
      </c>
      <c r="I1366" t="s">
        <v>3430</v>
      </c>
      <c r="J1366" t="s">
        <v>3604</v>
      </c>
      <c r="K1366">
        <v>10035</v>
      </c>
      <c r="L1366" t="s">
        <v>3610</v>
      </c>
      <c r="M1366" t="s">
        <v>3610</v>
      </c>
      <c r="N1366" t="s">
        <v>4089</v>
      </c>
      <c r="O1366" t="s">
        <v>4209</v>
      </c>
      <c r="P1366" t="s">
        <v>4241</v>
      </c>
      <c r="Q1366" t="s">
        <v>4248</v>
      </c>
      <c r="R1366" t="s">
        <v>4258</v>
      </c>
      <c r="S1366" t="s">
        <v>3611</v>
      </c>
      <c r="U1366" t="s">
        <v>4268</v>
      </c>
      <c r="V1366" t="s">
        <v>4274</v>
      </c>
      <c r="W1366" t="s">
        <v>614</v>
      </c>
      <c r="X1366">
        <v>0</v>
      </c>
      <c r="Y1366" t="s">
        <v>4351</v>
      </c>
      <c r="AA1366" t="s">
        <v>4374</v>
      </c>
      <c r="AB1366" t="s">
        <v>5459</v>
      </c>
      <c r="AD1366" t="s">
        <v>6810</v>
      </c>
      <c r="AE1366">
        <v>0</v>
      </c>
      <c r="AF1366" t="s">
        <v>7101</v>
      </c>
      <c r="AG1366" t="s">
        <v>7116</v>
      </c>
      <c r="AH1366">
        <v>30</v>
      </c>
      <c r="AI1366">
        <v>3</v>
      </c>
      <c r="AJ1366">
        <v>1</v>
      </c>
      <c r="AK1366">
        <v>198.37</v>
      </c>
      <c r="AN1366" t="s">
        <v>7138</v>
      </c>
      <c r="AO1366">
        <v>48800</v>
      </c>
      <c r="AU1366">
        <v>5.7</v>
      </c>
      <c r="AV1366" t="s">
        <v>7317</v>
      </c>
      <c r="AW1366" t="s">
        <v>7341</v>
      </c>
    </row>
    <row r="1367" spans="1:50">
      <c r="A1367" s="1">
        <f>HYPERLINK("https://lsnyc.legalserver.org/matter/dynamic-profile/view/1890003","19-1890003")</f>
        <v>0</v>
      </c>
      <c r="B1367" t="s">
        <v>63</v>
      </c>
      <c r="C1367" t="s">
        <v>104</v>
      </c>
      <c r="D1367" t="s">
        <v>299</v>
      </c>
      <c r="E1367" t="s">
        <v>396</v>
      </c>
      <c r="F1367" t="s">
        <v>1395</v>
      </c>
      <c r="G1367" t="s">
        <v>2254</v>
      </c>
      <c r="H1367" t="s">
        <v>3120</v>
      </c>
      <c r="I1367">
        <v>53</v>
      </c>
      <c r="J1367" t="s">
        <v>3604</v>
      </c>
      <c r="K1367">
        <v>10034</v>
      </c>
      <c r="L1367" t="s">
        <v>3610</v>
      </c>
      <c r="M1367" t="s">
        <v>3610</v>
      </c>
      <c r="O1367" t="s">
        <v>4209</v>
      </c>
      <c r="P1367" t="s">
        <v>4242</v>
      </c>
      <c r="Q1367" t="s">
        <v>4250</v>
      </c>
      <c r="R1367" t="s">
        <v>4258</v>
      </c>
      <c r="S1367" t="s">
        <v>3611</v>
      </c>
      <c r="U1367" t="s">
        <v>4268</v>
      </c>
      <c r="W1367" t="s">
        <v>299</v>
      </c>
      <c r="X1367">
        <v>930.27</v>
      </c>
      <c r="Y1367" t="s">
        <v>4351</v>
      </c>
      <c r="Z1367" t="s">
        <v>4357</v>
      </c>
      <c r="AA1367" t="s">
        <v>4373</v>
      </c>
      <c r="AB1367" t="s">
        <v>5460</v>
      </c>
      <c r="AD1367" t="s">
        <v>6811</v>
      </c>
      <c r="AE1367">
        <v>20</v>
      </c>
      <c r="AF1367" t="s">
        <v>7101</v>
      </c>
      <c r="AG1367" t="s">
        <v>3745</v>
      </c>
      <c r="AH1367">
        <v>22</v>
      </c>
      <c r="AI1367">
        <v>4</v>
      </c>
      <c r="AJ1367">
        <v>1</v>
      </c>
      <c r="AK1367">
        <v>198.59</v>
      </c>
      <c r="AN1367" t="s">
        <v>7139</v>
      </c>
      <c r="AO1367">
        <v>59916</v>
      </c>
      <c r="AU1367">
        <v>0.1</v>
      </c>
      <c r="AV1367" t="s">
        <v>438</v>
      </c>
      <c r="AW1367" t="s">
        <v>7342</v>
      </c>
      <c r="AX1367" t="s">
        <v>7377</v>
      </c>
    </row>
    <row r="1368" spans="1:50">
      <c r="A1368" s="1">
        <f>HYPERLINK("https://lsnyc.legalserver.org/matter/dynamic-profile/view/1847730","17-1847730")</f>
        <v>0</v>
      </c>
      <c r="B1368" t="s">
        <v>53</v>
      </c>
      <c r="C1368" t="s">
        <v>104</v>
      </c>
      <c r="D1368" t="s">
        <v>615</v>
      </c>
      <c r="E1368" t="s">
        <v>325</v>
      </c>
      <c r="F1368" t="s">
        <v>738</v>
      </c>
      <c r="G1368" t="s">
        <v>2174</v>
      </c>
      <c r="H1368" t="s">
        <v>2683</v>
      </c>
      <c r="I1368" t="s">
        <v>3395</v>
      </c>
      <c r="J1368" t="s">
        <v>3604</v>
      </c>
      <c r="K1368">
        <v>10034</v>
      </c>
      <c r="L1368" t="s">
        <v>3610</v>
      </c>
      <c r="M1368" t="s">
        <v>3609</v>
      </c>
      <c r="N1368" t="s">
        <v>4090</v>
      </c>
      <c r="O1368" t="s">
        <v>4209</v>
      </c>
      <c r="P1368" t="s">
        <v>4241</v>
      </c>
      <c r="Q1368" t="s">
        <v>4248</v>
      </c>
      <c r="R1368" t="s">
        <v>4258</v>
      </c>
      <c r="S1368" t="s">
        <v>3611</v>
      </c>
      <c r="U1368" t="s">
        <v>4268</v>
      </c>
      <c r="V1368" t="s">
        <v>4274</v>
      </c>
      <c r="W1368" t="s">
        <v>525</v>
      </c>
      <c r="X1368">
        <v>1448.89</v>
      </c>
      <c r="Y1368" t="s">
        <v>4351</v>
      </c>
      <c r="Z1368" t="s">
        <v>4357</v>
      </c>
      <c r="AA1368" t="s">
        <v>4374</v>
      </c>
      <c r="AB1368" t="s">
        <v>5317</v>
      </c>
      <c r="AD1368" t="s">
        <v>6676</v>
      </c>
      <c r="AE1368">
        <v>32</v>
      </c>
      <c r="AF1368" t="s">
        <v>7101</v>
      </c>
      <c r="AG1368" t="s">
        <v>3745</v>
      </c>
      <c r="AH1368">
        <v>16</v>
      </c>
      <c r="AI1368">
        <v>3</v>
      </c>
      <c r="AJ1368">
        <v>0</v>
      </c>
      <c r="AK1368">
        <v>198.67</v>
      </c>
      <c r="AN1368" t="s">
        <v>7138</v>
      </c>
      <c r="AO1368">
        <v>40568</v>
      </c>
      <c r="AQ1368" t="s">
        <v>7202</v>
      </c>
      <c r="AR1368" t="s">
        <v>7205</v>
      </c>
      <c r="AS1368" t="s">
        <v>7231</v>
      </c>
      <c r="AT1368" t="s">
        <v>7244</v>
      </c>
      <c r="AU1368">
        <v>60.4</v>
      </c>
      <c r="AV1368" t="s">
        <v>540</v>
      </c>
      <c r="AW1368" t="s">
        <v>7341</v>
      </c>
      <c r="AX1368" t="s">
        <v>7377</v>
      </c>
    </row>
    <row r="1369" spans="1:50">
      <c r="A1369" s="1">
        <f>HYPERLINK("https://lsnyc.legalserver.org/matter/dynamic-profile/view/1897727","19-1897727")</f>
        <v>0</v>
      </c>
      <c r="B1369" t="s">
        <v>63</v>
      </c>
      <c r="C1369" t="s">
        <v>105</v>
      </c>
      <c r="D1369" t="s">
        <v>146</v>
      </c>
      <c r="F1369" t="s">
        <v>884</v>
      </c>
      <c r="G1369" t="s">
        <v>1846</v>
      </c>
      <c r="H1369" t="s">
        <v>2996</v>
      </c>
      <c r="I1369" t="s">
        <v>3537</v>
      </c>
      <c r="J1369" t="s">
        <v>3604</v>
      </c>
      <c r="K1369">
        <v>10034</v>
      </c>
      <c r="L1369" t="s">
        <v>3610</v>
      </c>
      <c r="M1369" t="s">
        <v>3609</v>
      </c>
      <c r="O1369" t="s">
        <v>4211</v>
      </c>
      <c r="P1369" t="s">
        <v>4242</v>
      </c>
      <c r="R1369" t="s">
        <v>4258</v>
      </c>
      <c r="S1369" t="s">
        <v>3611</v>
      </c>
      <c r="U1369" t="s">
        <v>4268</v>
      </c>
      <c r="W1369" t="s">
        <v>625</v>
      </c>
      <c r="X1369">
        <v>908.41</v>
      </c>
      <c r="Y1369" t="s">
        <v>4351</v>
      </c>
      <c r="Z1369" t="s">
        <v>4358</v>
      </c>
      <c r="AB1369" t="s">
        <v>5461</v>
      </c>
      <c r="AD1369" t="s">
        <v>6812</v>
      </c>
      <c r="AE1369">
        <v>80</v>
      </c>
      <c r="AF1369" t="s">
        <v>7101</v>
      </c>
      <c r="AG1369" t="s">
        <v>3745</v>
      </c>
      <c r="AH1369">
        <v>22</v>
      </c>
      <c r="AI1369">
        <v>1</v>
      </c>
      <c r="AJ1369">
        <v>0</v>
      </c>
      <c r="AK1369">
        <v>199.01</v>
      </c>
      <c r="AN1369" t="s">
        <v>7139</v>
      </c>
      <c r="AO1369">
        <v>24856</v>
      </c>
      <c r="AU1369">
        <v>0.6</v>
      </c>
      <c r="AV1369" t="s">
        <v>129</v>
      </c>
      <c r="AW1369" t="s">
        <v>7358</v>
      </c>
      <c r="AX1369" t="s">
        <v>7377</v>
      </c>
    </row>
    <row r="1370" spans="1:50">
      <c r="A1370" s="1">
        <f>HYPERLINK("https://lsnyc.legalserver.org/matter/dynamic-profile/view/1888152","19-1888152")</f>
        <v>0</v>
      </c>
      <c r="B1370" t="s">
        <v>63</v>
      </c>
      <c r="C1370" t="s">
        <v>104</v>
      </c>
      <c r="D1370" t="s">
        <v>174</v>
      </c>
      <c r="E1370" t="s">
        <v>396</v>
      </c>
      <c r="F1370" t="s">
        <v>841</v>
      </c>
      <c r="G1370" t="s">
        <v>1750</v>
      </c>
      <c r="H1370" t="s">
        <v>2854</v>
      </c>
      <c r="I1370">
        <v>45</v>
      </c>
      <c r="J1370" t="s">
        <v>3604</v>
      </c>
      <c r="K1370">
        <v>10034</v>
      </c>
      <c r="L1370" t="s">
        <v>3610</v>
      </c>
      <c r="M1370" t="s">
        <v>3610</v>
      </c>
      <c r="P1370" t="s">
        <v>4242</v>
      </c>
      <c r="Q1370" t="s">
        <v>4250</v>
      </c>
      <c r="R1370" t="s">
        <v>4258</v>
      </c>
      <c r="S1370" t="s">
        <v>3611</v>
      </c>
      <c r="U1370" t="s">
        <v>4268</v>
      </c>
      <c r="W1370" t="s">
        <v>174</v>
      </c>
      <c r="X1370">
        <v>0</v>
      </c>
      <c r="Y1370" t="s">
        <v>4351</v>
      </c>
      <c r="Z1370" t="s">
        <v>4354</v>
      </c>
      <c r="AA1370" t="s">
        <v>4377</v>
      </c>
      <c r="AE1370">
        <v>0</v>
      </c>
      <c r="AF1370" t="s">
        <v>7101</v>
      </c>
      <c r="AG1370" t="s">
        <v>3745</v>
      </c>
      <c r="AH1370">
        <v>0</v>
      </c>
      <c r="AI1370">
        <v>4</v>
      </c>
      <c r="AJ1370">
        <v>0</v>
      </c>
      <c r="AK1370">
        <v>199.2</v>
      </c>
      <c r="AN1370" t="s">
        <v>7139</v>
      </c>
      <c r="AO1370">
        <v>50000</v>
      </c>
      <c r="AU1370">
        <v>1.4</v>
      </c>
      <c r="AV1370" t="s">
        <v>396</v>
      </c>
      <c r="AW1370" t="s">
        <v>7342</v>
      </c>
    </row>
    <row r="1371" spans="1:50">
      <c r="A1371" s="1">
        <f>HYPERLINK("https://lsnyc.legalserver.org/matter/dynamic-profile/view/1874407","18-1874407")</f>
        <v>0</v>
      </c>
      <c r="B1371" t="s">
        <v>73</v>
      </c>
      <c r="C1371" t="s">
        <v>104</v>
      </c>
      <c r="D1371" t="s">
        <v>393</v>
      </c>
      <c r="E1371" t="s">
        <v>248</v>
      </c>
      <c r="F1371" t="s">
        <v>1246</v>
      </c>
      <c r="G1371" t="s">
        <v>2255</v>
      </c>
      <c r="H1371" t="s">
        <v>3121</v>
      </c>
      <c r="I1371" t="s">
        <v>3372</v>
      </c>
      <c r="J1371" t="s">
        <v>3604</v>
      </c>
      <c r="K1371">
        <v>10040</v>
      </c>
      <c r="L1371" t="s">
        <v>3610</v>
      </c>
      <c r="M1371" t="s">
        <v>3610</v>
      </c>
      <c r="N1371" t="s">
        <v>4091</v>
      </c>
      <c r="O1371" t="s">
        <v>4210</v>
      </c>
      <c r="P1371" t="s">
        <v>4242</v>
      </c>
      <c r="Q1371" t="s">
        <v>4250</v>
      </c>
      <c r="R1371" t="s">
        <v>4258</v>
      </c>
      <c r="S1371" t="s">
        <v>3611</v>
      </c>
      <c r="U1371" t="s">
        <v>4268</v>
      </c>
      <c r="W1371" t="s">
        <v>393</v>
      </c>
      <c r="X1371">
        <v>1238.12</v>
      </c>
      <c r="Y1371" t="s">
        <v>4351</v>
      </c>
      <c r="Z1371" t="s">
        <v>4354</v>
      </c>
      <c r="AA1371" t="s">
        <v>4373</v>
      </c>
      <c r="AB1371" t="s">
        <v>4755</v>
      </c>
      <c r="AD1371" t="s">
        <v>6813</v>
      </c>
      <c r="AE1371">
        <v>25</v>
      </c>
      <c r="AF1371" t="s">
        <v>7101</v>
      </c>
      <c r="AG1371" t="s">
        <v>3745</v>
      </c>
      <c r="AH1371">
        <v>4</v>
      </c>
      <c r="AI1371">
        <v>2</v>
      </c>
      <c r="AJ1371">
        <v>0</v>
      </c>
      <c r="AK1371">
        <v>199.37</v>
      </c>
      <c r="AN1371" t="s">
        <v>7139</v>
      </c>
      <c r="AO1371">
        <v>32816</v>
      </c>
      <c r="AU1371">
        <v>1.2</v>
      </c>
      <c r="AV1371" t="s">
        <v>248</v>
      </c>
      <c r="AW1371" t="s">
        <v>7342</v>
      </c>
    </row>
    <row r="1372" spans="1:50">
      <c r="A1372" s="1">
        <f>HYPERLINK("https://lsnyc.legalserver.org/matter/dynamic-profile/view/1853025","17-1853025")</f>
        <v>0</v>
      </c>
      <c r="B1372" t="s">
        <v>79</v>
      </c>
      <c r="C1372" t="s">
        <v>104</v>
      </c>
      <c r="D1372" t="s">
        <v>507</v>
      </c>
      <c r="E1372" t="s">
        <v>335</v>
      </c>
      <c r="F1372" t="s">
        <v>877</v>
      </c>
      <c r="G1372" t="s">
        <v>2256</v>
      </c>
      <c r="H1372" t="s">
        <v>3122</v>
      </c>
      <c r="I1372" t="s">
        <v>3274</v>
      </c>
      <c r="J1372" t="s">
        <v>3604</v>
      </c>
      <c r="K1372">
        <v>10019</v>
      </c>
      <c r="L1372" t="s">
        <v>3609</v>
      </c>
      <c r="M1372" t="s">
        <v>3609</v>
      </c>
      <c r="P1372" t="s">
        <v>4245</v>
      </c>
      <c r="Q1372" t="s">
        <v>4249</v>
      </c>
      <c r="R1372" t="s">
        <v>4258</v>
      </c>
      <c r="S1372" t="s">
        <v>3610</v>
      </c>
      <c r="U1372" t="s">
        <v>4268</v>
      </c>
      <c r="W1372" t="s">
        <v>507</v>
      </c>
      <c r="X1372">
        <v>1256</v>
      </c>
      <c r="Y1372" t="s">
        <v>4351</v>
      </c>
      <c r="Z1372" t="s">
        <v>4364</v>
      </c>
      <c r="AA1372" t="s">
        <v>4373</v>
      </c>
      <c r="AB1372" t="s">
        <v>5462</v>
      </c>
      <c r="AD1372" t="s">
        <v>6814</v>
      </c>
      <c r="AE1372">
        <v>0</v>
      </c>
      <c r="AF1372" t="s">
        <v>7101</v>
      </c>
      <c r="AH1372">
        <v>40</v>
      </c>
      <c r="AI1372">
        <v>2</v>
      </c>
      <c r="AJ1372">
        <v>0</v>
      </c>
      <c r="AK1372">
        <v>199.51</v>
      </c>
      <c r="AO1372">
        <v>32400</v>
      </c>
      <c r="AU1372">
        <v>14.25</v>
      </c>
      <c r="AV1372" t="s">
        <v>335</v>
      </c>
      <c r="AW1372" t="s">
        <v>79</v>
      </c>
    </row>
    <row r="1373" spans="1:50">
      <c r="A1373" s="1">
        <f>HYPERLINK("https://lsnyc.legalserver.org/matter/dynamic-profile/view/1866981","18-1866981")</f>
        <v>0</v>
      </c>
      <c r="B1373" t="s">
        <v>55</v>
      </c>
      <c r="C1373" t="s">
        <v>104</v>
      </c>
      <c r="D1373" t="s">
        <v>616</v>
      </c>
      <c r="E1373" t="s">
        <v>129</v>
      </c>
      <c r="F1373" t="s">
        <v>767</v>
      </c>
      <c r="G1373" t="s">
        <v>2257</v>
      </c>
      <c r="H1373" t="s">
        <v>3123</v>
      </c>
      <c r="I1373" t="s">
        <v>3538</v>
      </c>
      <c r="J1373" t="s">
        <v>3604</v>
      </c>
      <c r="K1373">
        <v>10029</v>
      </c>
      <c r="L1373" t="s">
        <v>3610</v>
      </c>
      <c r="M1373" t="s">
        <v>3610</v>
      </c>
      <c r="N1373" t="s">
        <v>4092</v>
      </c>
      <c r="O1373" t="s">
        <v>4209</v>
      </c>
      <c r="P1373" t="s">
        <v>4245</v>
      </c>
      <c r="Q1373" t="s">
        <v>4249</v>
      </c>
      <c r="R1373" t="s">
        <v>4258</v>
      </c>
      <c r="S1373" t="s">
        <v>3611</v>
      </c>
      <c r="U1373" t="s">
        <v>4268</v>
      </c>
      <c r="V1373" t="s">
        <v>4274</v>
      </c>
      <c r="W1373" t="s">
        <v>233</v>
      </c>
      <c r="X1373">
        <v>2000</v>
      </c>
      <c r="Y1373" t="s">
        <v>4351</v>
      </c>
      <c r="Z1373" t="s">
        <v>4228</v>
      </c>
      <c r="AA1373" t="s">
        <v>4377</v>
      </c>
      <c r="AB1373" t="s">
        <v>5463</v>
      </c>
      <c r="AD1373" t="s">
        <v>6815</v>
      </c>
      <c r="AE1373">
        <v>18</v>
      </c>
      <c r="AF1373" t="s">
        <v>7101</v>
      </c>
      <c r="AG1373" t="s">
        <v>3745</v>
      </c>
      <c r="AH1373">
        <v>3</v>
      </c>
      <c r="AI1373">
        <v>1</v>
      </c>
      <c r="AJ1373">
        <v>2</v>
      </c>
      <c r="AK1373">
        <v>199.81</v>
      </c>
      <c r="AN1373" t="s">
        <v>7138</v>
      </c>
      <c r="AO1373">
        <v>41520</v>
      </c>
      <c r="AU1373">
        <v>3.5</v>
      </c>
      <c r="AV1373" t="s">
        <v>435</v>
      </c>
      <c r="AW1373" t="s">
        <v>7366</v>
      </c>
    </row>
    <row r="1374" spans="1:50">
      <c r="A1374" s="1">
        <f>HYPERLINK("https://lsnyc.legalserver.org/matter/dynamic-profile/view/1902417","19-1902417")</f>
        <v>0</v>
      </c>
      <c r="B1374" t="s">
        <v>88</v>
      </c>
      <c r="C1374" t="s">
        <v>105</v>
      </c>
      <c r="D1374" t="s">
        <v>330</v>
      </c>
      <c r="F1374" t="s">
        <v>1396</v>
      </c>
      <c r="G1374" t="s">
        <v>2258</v>
      </c>
      <c r="H1374" t="s">
        <v>2913</v>
      </c>
      <c r="I1374" t="s">
        <v>3344</v>
      </c>
      <c r="J1374" t="s">
        <v>3604</v>
      </c>
      <c r="K1374">
        <v>10029</v>
      </c>
      <c r="L1374" t="s">
        <v>3609</v>
      </c>
      <c r="M1374" t="s">
        <v>3609</v>
      </c>
      <c r="N1374" t="s">
        <v>4093</v>
      </c>
      <c r="O1374" t="s">
        <v>4210</v>
      </c>
      <c r="P1374" t="s">
        <v>4246</v>
      </c>
      <c r="R1374" t="s">
        <v>4258</v>
      </c>
      <c r="S1374" t="s">
        <v>3611</v>
      </c>
      <c r="U1374" t="s">
        <v>4271</v>
      </c>
      <c r="X1374">
        <v>1124</v>
      </c>
      <c r="Y1374" t="s">
        <v>4351</v>
      </c>
      <c r="AB1374" t="s">
        <v>5464</v>
      </c>
      <c r="AD1374" t="s">
        <v>6816</v>
      </c>
      <c r="AE1374">
        <v>0</v>
      </c>
      <c r="AF1374" t="s">
        <v>7106</v>
      </c>
      <c r="AG1374" t="s">
        <v>7116</v>
      </c>
      <c r="AH1374">
        <v>2</v>
      </c>
      <c r="AI1374">
        <v>1</v>
      </c>
      <c r="AJ1374">
        <v>0</v>
      </c>
      <c r="AK1374">
        <v>200.16</v>
      </c>
      <c r="AN1374" t="s">
        <v>7138</v>
      </c>
      <c r="AO1374">
        <v>25000</v>
      </c>
      <c r="AU1374">
        <v>1.7</v>
      </c>
      <c r="AV1374" t="s">
        <v>663</v>
      </c>
      <c r="AW1374" t="s">
        <v>7344</v>
      </c>
    </row>
    <row r="1375" spans="1:50">
      <c r="A1375" s="1">
        <f>HYPERLINK("https://lsnyc.legalserver.org/matter/dynamic-profile/view/1863783","18-1863783")</f>
        <v>0</v>
      </c>
      <c r="B1375" t="s">
        <v>53</v>
      </c>
      <c r="C1375" t="s">
        <v>105</v>
      </c>
      <c r="D1375" t="s">
        <v>160</v>
      </c>
      <c r="F1375" t="s">
        <v>1397</v>
      </c>
      <c r="G1375" t="s">
        <v>2259</v>
      </c>
      <c r="H1375" t="s">
        <v>2508</v>
      </c>
      <c r="I1375">
        <v>8030</v>
      </c>
      <c r="J1375" t="s">
        <v>3604</v>
      </c>
      <c r="K1375">
        <v>10029</v>
      </c>
      <c r="L1375" t="s">
        <v>3610</v>
      </c>
      <c r="M1375" t="s">
        <v>3610</v>
      </c>
      <c r="N1375" t="s">
        <v>3642</v>
      </c>
      <c r="O1375" t="s">
        <v>4213</v>
      </c>
      <c r="P1375" t="s">
        <v>4241</v>
      </c>
      <c r="R1375" t="s">
        <v>4258</v>
      </c>
      <c r="S1375" t="s">
        <v>3610</v>
      </c>
      <c r="U1375" t="s">
        <v>4268</v>
      </c>
      <c r="V1375" t="s">
        <v>4274</v>
      </c>
      <c r="W1375" t="s">
        <v>242</v>
      </c>
      <c r="X1375">
        <v>0</v>
      </c>
      <c r="Y1375" t="s">
        <v>4351</v>
      </c>
      <c r="Z1375" t="s">
        <v>4352</v>
      </c>
      <c r="AB1375" t="s">
        <v>5465</v>
      </c>
      <c r="AD1375" t="s">
        <v>6817</v>
      </c>
      <c r="AE1375">
        <v>108</v>
      </c>
      <c r="AF1375" t="s">
        <v>7106</v>
      </c>
      <c r="AG1375" t="s">
        <v>7116</v>
      </c>
      <c r="AH1375">
        <v>6</v>
      </c>
      <c r="AI1375">
        <v>2</v>
      </c>
      <c r="AJ1375">
        <v>1</v>
      </c>
      <c r="AK1375">
        <v>200.19</v>
      </c>
      <c r="AN1375" t="s">
        <v>7138</v>
      </c>
      <c r="AO1375">
        <v>41600</v>
      </c>
      <c r="AP1375" t="s">
        <v>7158</v>
      </c>
      <c r="AU1375">
        <v>0.6</v>
      </c>
      <c r="AV1375" t="s">
        <v>625</v>
      </c>
      <c r="AW1375" t="s">
        <v>7341</v>
      </c>
    </row>
    <row r="1376" spans="1:50">
      <c r="A1376" s="1">
        <f>HYPERLINK("https://lsnyc.legalserver.org/matter/dynamic-profile/view/1887009","19-1887009")</f>
        <v>0</v>
      </c>
      <c r="B1376" t="s">
        <v>53</v>
      </c>
      <c r="C1376" t="s">
        <v>104</v>
      </c>
      <c r="D1376" t="s">
        <v>163</v>
      </c>
      <c r="E1376" t="s">
        <v>396</v>
      </c>
      <c r="F1376" t="s">
        <v>1398</v>
      </c>
      <c r="G1376" t="s">
        <v>1688</v>
      </c>
      <c r="H1376" t="s">
        <v>3050</v>
      </c>
      <c r="I1376" t="s">
        <v>3285</v>
      </c>
      <c r="J1376" t="s">
        <v>3604</v>
      </c>
      <c r="K1376">
        <v>10029</v>
      </c>
      <c r="L1376" t="s">
        <v>3610</v>
      </c>
      <c r="M1376" t="s">
        <v>3610</v>
      </c>
      <c r="N1376" t="s">
        <v>4094</v>
      </c>
      <c r="O1376" t="s">
        <v>4209</v>
      </c>
      <c r="P1376" t="s">
        <v>4242</v>
      </c>
      <c r="Q1376" t="s">
        <v>4250</v>
      </c>
      <c r="R1376" t="s">
        <v>4258</v>
      </c>
      <c r="S1376" t="s">
        <v>3611</v>
      </c>
      <c r="U1376" t="s">
        <v>4268</v>
      </c>
      <c r="V1376" t="s">
        <v>4274</v>
      </c>
      <c r="W1376" t="s">
        <v>387</v>
      </c>
      <c r="X1376">
        <v>832.3200000000001</v>
      </c>
      <c r="Y1376" t="s">
        <v>4351</v>
      </c>
      <c r="Z1376" t="s">
        <v>4357</v>
      </c>
      <c r="AA1376" t="s">
        <v>4373</v>
      </c>
      <c r="AB1376" t="s">
        <v>5466</v>
      </c>
      <c r="AD1376" t="s">
        <v>6818</v>
      </c>
      <c r="AE1376">
        <v>10</v>
      </c>
      <c r="AF1376" t="s">
        <v>7101</v>
      </c>
      <c r="AG1376" t="s">
        <v>3745</v>
      </c>
      <c r="AH1376">
        <v>3</v>
      </c>
      <c r="AI1376">
        <v>1</v>
      </c>
      <c r="AJ1376">
        <v>1</v>
      </c>
      <c r="AK1376">
        <v>200.49</v>
      </c>
      <c r="AN1376" t="s">
        <v>7138</v>
      </c>
      <c r="AO1376">
        <v>33000</v>
      </c>
      <c r="AU1376">
        <v>2</v>
      </c>
      <c r="AV1376" t="s">
        <v>341</v>
      </c>
      <c r="AW1376" t="s">
        <v>7365</v>
      </c>
      <c r="AX1376" t="s">
        <v>7377</v>
      </c>
    </row>
    <row r="1377" spans="1:50">
      <c r="A1377" s="1">
        <f>HYPERLINK("https://lsnyc.legalserver.org/matter/dynamic-profile/view/1840475","17-1840475")</f>
        <v>0</v>
      </c>
      <c r="B1377" t="s">
        <v>63</v>
      </c>
      <c r="C1377" t="s">
        <v>105</v>
      </c>
      <c r="D1377" t="s">
        <v>290</v>
      </c>
      <c r="F1377" t="s">
        <v>1399</v>
      </c>
      <c r="G1377" t="s">
        <v>1776</v>
      </c>
      <c r="H1377" t="s">
        <v>2660</v>
      </c>
      <c r="I1377" t="s">
        <v>3295</v>
      </c>
      <c r="J1377" t="s">
        <v>3604</v>
      </c>
      <c r="K1377">
        <v>10034</v>
      </c>
      <c r="L1377" t="s">
        <v>3610</v>
      </c>
      <c r="M1377" t="s">
        <v>3609</v>
      </c>
      <c r="N1377" t="s">
        <v>3777</v>
      </c>
      <c r="O1377" t="s">
        <v>4210</v>
      </c>
      <c r="P1377" t="s">
        <v>4241</v>
      </c>
      <c r="R1377" t="s">
        <v>4258</v>
      </c>
      <c r="S1377" t="s">
        <v>3611</v>
      </c>
      <c r="U1377" t="s">
        <v>4268</v>
      </c>
      <c r="W1377" t="s">
        <v>133</v>
      </c>
      <c r="X1377">
        <v>1067</v>
      </c>
      <c r="Y1377" t="s">
        <v>4351</v>
      </c>
      <c r="Z1377" t="s">
        <v>4354</v>
      </c>
      <c r="AB1377" t="s">
        <v>5467</v>
      </c>
      <c r="AD1377" t="s">
        <v>6819</v>
      </c>
      <c r="AE1377">
        <v>49</v>
      </c>
      <c r="AF1377" t="s">
        <v>7101</v>
      </c>
      <c r="AG1377" t="s">
        <v>3745</v>
      </c>
      <c r="AH1377">
        <v>14</v>
      </c>
      <c r="AI1377">
        <v>3</v>
      </c>
      <c r="AJ1377">
        <v>0</v>
      </c>
      <c r="AK1377">
        <v>200.76</v>
      </c>
      <c r="AN1377" t="s">
        <v>7138</v>
      </c>
      <c r="AO1377">
        <v>40995</v>
      </c>
      <c r="AU1377">
        <v>193.05</v>
      </c>
      <c r="AV1377" t="s">
        <v>129</v>
      </c>
      <c r="AW1377" t="s">
        <v>7342</v>
      </c>
    </row>
    <row r="1378" spans="1:50">
      <c r="A1378" s="1">
        <f>HYPERLINK("https://lsnyc.legalserver.org/matter/dynamic-profile/view/1899126","19-1899126")</f>
        <v>0</v>
      </c>
      <c r="B1378" t="s">
        <v>56</v>
      </c>
      <c r="C1378" t="s">
        <v>105</v>
      </c>
      <c r="D1378" t="s">
        <v>613</v>
      </c>
      <c r="F1378" t="s">
        <v>1400</v>
      </c>
      <c r="G1378" t="s">
        <v>2260</v>
      </c>
      <c r="H1378" t="s">
        <v>3124</v>
      </c>
      <c r="I1378" t="s">
        <v>3539</v>
      </c>
      <c r="J1378" t="s">
        <v>3604</v>
      </c>
      <c r="K1378">
        <v>10128</v>
      </c>
      <c r="L1378" t="s">
        <v>3611</v>
      </c>
      <c r="M1378" t="s">
        <v>3609</v>
      </c>
      <c r="O1378" t="s">
        <v>4219</v>
      </c>
      <c r="P1378" t="s">
        <v>4242</v>
      </c>
      <c r="R1378" t="s">
        <v>4257</v>
      </c>
      <c r="S1378" t="s">
        <v>3611</v>
      </c>
      <c r="U1378" t="s">
        <v>4268</v>
      </c>
      <c r="W1378" t="s">
        <v>613</v>
      </c>
      <c r="X1378">
        <v>0</v>
      </c>
      <c r="Y1378" t="s">
        <v>4351</v>
      </c>
      <c r="Z1378" t="s">
        <v>4355</v>
      </c>
      <c r="AB1378" t="s">
        <v>5468</v>
      </c>
      <c r="AE1378">
        <v>0</v>
      </c>
      <c r="AF1378" t="s">
        <v>7101</v>
      </c>
      <c r="AG1378" t="s">
        <v>4228</v>
      </c>
      <c r="AH1378">
        <v>0</v>
      </c>
      <c r="AI1378">
        <v>1</v>
      </c>
      <c r="AJ1378">
        <v>1</v>
      </c>
      <c r="AK1378">
        <v>201.06</v>
      </c>
      <c r="AL1378" t="s">
        <v>369</v>
      </c>
      <c r="AM1378" t="s">
        <v>7133</v>
      </c>
      <c r="AN1378" t="s">
        <v>7138</v>
      </c>
      <c r="AO1378">
        <v>34000</v>
      </c>
      <c r="AU1378">
        <v>30.65</v>
      </c>
      <c r="AV1378" t="s">
        <v>678</v>
      </c>
      <c r="AW1378" t="s">
        <v>7342</v>
      </c>
      <c r="AX1378" t="s">
        <v>3745</v>
      </c>
    </row>
    <row r="1379" spans="1:50">
      <c r="A1379" s="1">
        <f>HYPERLINK("https://lsnyc.legalserver.org/matter/dynamic-profile/view/1897575","19-1897575")</f>
        <v>0</v>
      </c>
      <c r="B1379" t="s">
        <v>53</v>
      </c>
      <c r="C1379" t="s">
        <v>105</v>
      </c>
      <c r="D1379" t="s">
        <v>261</v>
      </c>
      <c r="F1379" t="s">
        <v>871</v>
      </c>
      <c r="G1379" t="s">
        <v>2027</v>
      </c>
      <c r="H1379" t="s">
        <v>2797</v>
      </c>
      <c r="I1379" t="s">
        <v>3368</v>
      </c>
      <c r="J1379" t="s">
        <v>3604</v>
      </c>
      <c r="K1379">
        <v>10035</v>
      </c>
      <c r="L1379" t="s">
        <v>3610</v>
      </c>
      <c r="M1379" t="s">
        <v>3610</v>
      </c>
      <c r="O1379" t="s">
        <v>4211</v>
      </c>
      <c r="P1379" t="s">
        <v>4245</v>
      </c>
      <c r="R1379" t="s">
        <v>4258</v>
      </c>
      <c r="S1379" t="s">
        <v>3610</v>
      </c>
      <c r="U1379" t="s">
        <v>4268</v>
      </c>
      <c r="V1379" t="s">
        <v>4274</v>
      </c>
      <c r="W1379" t="s">
        <v>319</v>
      </c>
      <c r="X1379">
        <v>985</v>
      </c>
      <c r="Y1379" t="s">
        <v>4351</v>
      </c>
      <c r="Z1379" t="s">
        <v>4352</v>
      </c>
      <c r="AB1379" t="s">
        <v>5469</v>
      </c>
      <c r="AD1379" t="s">
        <v>6820</v>
      </c>
      <c r="AE1379">
        <v>60</v>
      </c>
      <c r="AF1379" t="s">
        <v>7101</v>
      </c>
      <c r="AG1379" t="s">
        <v>3745</v>
      </c>
      <c r="AH1379">
        <v>10</v>
      </c>
      <c r="AI1379">
        <v>3</v>
      </c>
      <c r="AJ1379">
        <v>1</v>
      </c>
      <c r="AK1379">
        <v>201.94</v>
      </c>
      <c r="AN1379" t="s">
        <v>7138</v>
      </c>
      <c r="AO1379">
        <v>52000</v>
      </c>
      <c r="AU1379">
        <v>0</v>
      </c>
      <c r="AW1379" t="s">
        <v>7341</v>
      </c>
    </row>
    <row r="1380" spans="1:50">
      <c r="A1380" s="1">
        <f>HYPERLINK("https://lsnyc.legalserver.org/matter/dynamic-profile/view/1864458","18-1864458")</f>
        <v>0</v>
      </c>
      <c r="B1380" t="s">
        <v>53</v>
      </c>
      <c r="C1380" t="s">
        <v>105</v>
      </c>
      <c r="D1380" t="s">
        <v>157</v>
      </c>
      <c r="F1380" t="s">
        <v>1386</v>
      </c>
      <c r="G1380" t="s">
        <v>2261</v>
      </c>
      <c r="H1380" t="s">
        <v>2508</v>
      </c>
      <c r="I1380">
        <v>607</v>
      </c>
      <c r="J1380" t="s">
        <v>3604</v>
      </c>
      <c r="K1380">
        <v>10029</v>
      </c>
      <c r="L1380" t="s">
        <v>3610</v>
      </c>
      <c r="M1380" t="s">
        <v>3610</v>
      </c>
      <c r="N1380" t="s">
        <v>3642</v>
      </c>
      <c r="O1380" t="s">
        <v>4213</v>
      </c>
      <c r="P1380" t="s">
        <v>4241</v>
      </c>
      <c r="R1380" t="s">
        <v>4258</v>
      </c>
      <c r="S1380" t="s">
        <v>3610</v>
      </c>
      <c r="U1380" t="s">
        <v>4268</v>
      </c>
      <c r="V1380" t="s">
        <v>4274</v>
      </c>
      <c r="W1380" t="s">
        <v>157</v>
      </c>
      <c r="X1380">
        <v>0</v>
      </c>
      <c r="Y1380" t="s">
        <v>4351</v>
      </c>
      <c r="Z1380" t="s">
        <v>4352</v>
      </c>
      <c r="AB1380" t="s">
        <v>5470</v>
      </c>
      <c r="AE1380">
        <v>108</v>
      </c>
      <c r="AF1380" t="s">
        <v>7106</v>
      </c>
      <c r="AG1380" t="s">
        <v>7116</v>
      </c>
      <c r="AH1380">
        <v>15</v>
      </c>
      <c r="AI1380">
        <v>2</v>
      </c>
      <c r="AJ1380">
        <v>1</v>
      </c>
      <c r="AK1380">
        <v>202.12</v>
      </c>
      <c r="AN1380" t="s">
        <v>7138</v>
      </c>
      <c r="AO1380">
        <v>42000</v>
      </c>
      <c r="AU1380">
        <v>1.3</v>
      </c>
      <c r="AV1380" t="s">
        <v>7290</v>
      </c>
      <c r="AW1380" t="s">
        <v>7341</v>
      </c>
    </row>
    <row r="1381" spans="1:50">
      <c r="A1381" s="1">
        <f>HYPERLINK("https://lsnyc.legalserver.org/matter/dynamic-profile/view/1862548","18-1862548")</f>
        <v>0</v>
      </c>
      <c r="B1381" t="s">
        <v>51</v>
      </c>
      <c r="C1381" t="s">
        <v>104</v>
      </c>
      <c r="D1381" t="s">
        <v>617</v>
      </c>
      <c r="E1381" t="s">
        <v>385</v>
      </c>
      <c r="F1381" t="s">
        <v>727</v>
      </c>
      <c r="G1381" t="s">
        <v>2262</v>
      </c>
      <c r="H1381" t="s">
        <v>2591</v>
      </c>
      <c r="I1381" t="s">
        <v>3316</v>
      </c>
      <c r="J1381" t="s">
        <v>3604</v>
      </c>
      <c r="K1381">
        <v>10029</v>
      </c>
      <c r="L1381" t="s">
        <v>3610</v>
      </c>
      <c r="M1381" t="s">
        <v>3610</v>
      </c>
      <c r="O1381" t="s">
        <v>4211</v>
      </c>
      <c r="P1381" t="s">
        <v>4245</v>
      </c>
      <c r="Q1381" t="s">
        <v>4250</v>
      </c>
      <c r="R1381" t="s">
        <v>4258</v>
      </c>
      <c r="S1381" t="s">
        <v>3611</v>
      </c>
      <c r="U1381" t="s">
        <v>4268</v>
      </c>
      <c r="V1381" t="s">
        <v>4274</v>
      </c>
      <c r="W1381" t="s">
        <v>314</v>
      </c>
      <c r="X1381">
        <v>1353</v>
      </c>
      <c r="Y1381" t="s">
        <v>4351</v>
      </c>
      <c r="Z1381" t="s">
        <v>4228</v>
      </c>
      <c r="AA1381" t="s">
        <v>4373</v>
      </c>
      <c r="AB1381" t="s">
        <v>5471</v>
      </c>
      <c r="AD1381" t="s">
        <v>5987</v>
      </c>
      <c r="AE1381">
        <v>10</v>
      </c>
      <c r="AF1381" t="s">
        <v>7101</v>
      </c>
      <c r="AG1381" t="s">
        <v>3745</v>
      </c>
      <c r="AH1381">
        <v>27</v>
      </c>
      <c r="AI1381">
        <v>1</v>
      </c>
      <c r="AJ1381">
        <v>1</v>
      </c>
      <c r="AK1381">
        <v>202.19</v>
      </c>
      <c r="AL1381" t="s">
        <v>7130</v>
      </c>
      <c r="AN1381" t="s">
        <v>7138</v>
      </c>
      <c r="AO1381">
        <v>33280</v>
      </c>
      <c r="AU1381">
        <v>1.8</v>
      </c>
      <c r="AV1381" t="s">
        <v>314</v>
      </c>
      <c r="AW1381" t="s">
        <v>7360</v>
      </c>
    </row>
    <row r="1382" spans="1:50">
      <c r="A1382" s="1">
        <f>HYPERLINK("https://lsnyc.legalserver.org/matter/dynamic-profile/view/1875691","18-1875691")</f>
        <v>0</v>
      </c>
      <c r="B1382" t="s">
        <v>56</v>
      </c>
      <c r="C1382" t="s">
        <v>104</v>
      </c>
      <c r="D1382" t="s">
        <v>618</v>
      </c>
      <c r="E1382" t="s">
        <v>530</v>
      </c>
      <c r="F1382" t="s">
        <v>717</v>
      </c>
      <c r="G1382" t="s">
        <v>1770</v>
      </c>
      <c r="H1382" t="s">
        <v>3125</v>
      </c>
      <c r="I1382" t="s">
        <v>3540</v>
      </c>
      <c r="J1382" t="s">
        <v>3604</v>
      </c>
      <c r="K1382">
        <v>10040</v>
      </c>
      <c r="L1382" t="s">
        <v>3610</v>
      </c>
      <c r="M1382" t="s">
        <v>3610</v>
      </c>
      <c r="N1382" t="s">
        <v>4095</v>
      </c>
      <c r="O1382" t="s">
        <v>4209</v>
      </c>
      <c r="P1382" t="s">
        <v>4241</v>
      </c>
      <c r="Q1382" t="s">
        <v>4248</v>
      </c>
      <c r="R1382" t="s">
        <v>4258</v>
      </c>
      <c r="S1382" t="s">
        <v>3611</v>
      </c>
      <c r="U1382" t="s">
        <v>4268</v>
      </c>
      <c r="W1382" t="s">
        <v>618</v>
      </c>
      <c r="X1382">
        <v>874.96</v>
      </c>
      <c r="Y1382" t="s">
        <v>4351</v>
      </c>
      <c r="Z1382" t="s">
        <v>4354</v>
      </c>
      <c r="AA1382" t="s">
        <v>4374</v>
      </c>
      <c r="AB1382" t="s">
        <v>5472</v>
      </c>
      <c r="AD1382" t="s">
        <v>6821</v>
      </c>
      <c r="AE1382">
        <v>116</v>
      </c>
      <c r="AF1382" t="s">
        <v>7101</v>
      </c>
      <c r="AG1382" t="s">
        <v>7118</v>
      </c>
      <c r="AH1382">
        <v>47</v>
      </c>
      <c r="AI1382">
        <v>1</v>
      </c>
      <c r="AJ1382">
        <v>0</v>
      </c>
      <c r="AK1382">
        <v>202.64</v>
      </c>
      <c r="AL1382" t="s">
        <v>561</v>
      </c>
      <c r="AM1382" t="s">
        <v>7134</v>
      </c>
      <c r="AN1382" t="s">
        <v>7138</v>
      </c>
      <c r="AO1382">
        <v>24600</v>
      </c>
      <c r="AU1382">
        <v>33</v>
      </c>
      <c r="AV1382" t="s">
        <v>7132</v>
      </c>
      <c r="AW1382" t="s">
        <v>7342</v>
      </c>
      <c r="AX1382" t="s">
        <v>7377</v>
      </c>
    </row>
    <row r="1383" spans="1:50">
      <c r="A1383" s="1">
        <f>HYPERLINK("https://lsnyc.legalserver.org/matter/dynamic-profile/view/1858491","18-1858491")</f>
        <v>0</v>
      </c>
      <c r="B1383" t="s">
        <v>56</v>
      </c>
      <c r="C1383" t="s">
        <v>104</v>
      </c>
      <c r="D1383" t="s">
        <v>237</v>
      </c>
      <c r="E1383" t="s">
        <v>636</v>
      </c>
      <c r="F1383" t="s">
        <v>1401</v>
      </c>
      <c r="G1383" t="s">
        <v>2185</v>
      </c>
      <c r="H1383" t="s">
        <v>2860</v>
      </c>
      <c r="I1383" t="s">
        <v>3408</v>
      </c>
      <c r="J1383" t="s">
        <v>3604</v>
      </c>
      <c r="K1383">
        <v>10034</v>
      </c>
      <c r="L1383" t="s">
        <v>3610</v>
      </c>
      <c r="M1383" t="s">
        <v>3610</v>
      </c>
      <c r="O1383" t="s">
        <v>4211</v>
      </c>
      <c r="P1383" t="s">
        <v>4245</v>
      </c>
      <c r="Q1383" t="s">
        <v>4249</v>
      </c>
      <c r="R1383" t="s">
        <v>4258</v>
      </c>
      <c r="S1383" t="s">
        <v>3611</v>
      </c>
      <c r="U1383" t="s">
        <v>4268</v>
      </c>
      <c r="W1383" t="s">
        <v>400</v>
      </c>
      <c r="X1383">
        <v>1700</v>
      </c>
      <c r="Y1383" t="s">
        <v>4351</v>
      </c>
      <c r="Z1383" t="s">
        <v>4371</v>
      </c>
      <c r="AA1383" t="s">
        <v>4377</v>
      </c>
      <c r="AB1383" t="s">
        <v>5473</v>
      </c>
      <c r="AD1383" t="s">
        <v>6822</v>
      </c>
      <c r="AE1383">
        <v>48</v>
      </c>
      <c r="AF1383" t="s">
        <v>7101</v>
      </c>
      <c r="AG1383" t="s">
        <v>3745</v>
      </c>
      <c r="AH1383">
        <v>7</v>
      </c>
      <c r="AI1383">
        <v>2</v>
      </c>
      <c r="AJ1383">
        <v>0</v>
      </c>
      <c r="AK1383">
        <v>202.92</v>
      </c>
      <c r="AN1383" t="s">
        <v>7138</v>
      </c>
      <c r="AO1383">
        <v>33400</v>
      </c>
      <c r="AU1383">
        <v>3.4</v>
      </c>
      <c r="AV1383" t="s">
        <v>636</v>
      </c>
      <c r="AW1383" t="s">
        <v>7357</v>
      </c>
    </row>
    <row r="1384" spans="1:50">
      <c r="A1384" s="1">
        <f>HYPERLINK("https://lsnyc.legalserver.org/matter/dynamic-profile/view/1853438","17-1853438")</f>
        <v>0</v>
      </c>
      <c r="B1384" t="s">
        <v>55</v>
      </c>
      <c r="C1384" t="s">
        <v>104</v>
      </c>
      <c r="D1384" t="s">
        <v>386</v>
      </c>
      <c r="E1384" t="s">
        <v>303</v>
      </c>
      <c r="F1384" t="s">
        <v>1037</v>
      </c>
      <c r="G1384" t="s">
        <v>1922</v>
      </c>
      <c r="H1384" t="s">
        <v>2467</v>
      </c>
      <c r="I1384" t="s">
        <v>3415</v>
      </c>
      <c r="J1384" t="s">
        <v>3604</v>
      </c>
      <c r="K1384">
        <v>10035</v>
      </c>
      <c r="L1384" t="s">
        <v>3610</v>
      </c>
      <c r="M1384" t="s">
        <v>3610</v>
      </c>
      <c r="N1384" t="s">
        <v>4096</v>
      </c>
      <c r="O1384" t="s">
        <v>4210</v>
      </c>
      <c r="P1384" t="s">
        <v>4241</v>
      </c>
      <c r="Q1384" t="s">
        <v>4248</v>
      </c>
      <c r="R1384" t="s">
        <v>4258</v>
      </c>
      <c r="S1384" t="s">
        <v>3611</v>
      </c>
      <c r="U1384" t="s">
        <v>4268</v>
      </c>
      <c r="V1384" t="s">
        <v>4274</v>
      </c>
      <c r="W1384" t="s">
        <v>515</v>
      </c>
      <c r="X1384">
        <v>2150</v>
      </c>
      <c r="Y1384" t="s">
        <v>4351</v>
      </c>
      <c r="Z1384" t="s">
        <v>4365</v>
      </c>
      <c r="AA1384" t="s">
        <v>4374</v>
      </c>
      <c r="AB1384" t="s">
        <v>5474</v>
      </c>
      <c r="AD1384" t="s">
        <v>6823</v>
      </c>
      <c r="AE1384">
        <v>30</v>
      </c>
      <c r="AF1384" t="s">
        <v>7103</v>
      </c>
      <c r="AG1384" t="s">
        <v>3745</v>
      </c>
      <c r="AH1384">
        <v>2</v>
      </c>
      <c r="AI1384">
        <v>2</v>
      </c>
      <c r="AJ1384">
        <v>2</v>
      </c>
      <c r="AK1384">
        <v>203.25</v>
      </c>
      <c r="AL1384" t="s">
        <v>7130</v>
      </c>
      <c r="AN1384" t="s">
        <v>7138</v>
      </c>
      <c r="AO1384">
        <v>50000</v>
      </c>
      <c r="AU1384">
        <v>17.8</v>
      </c>
      <c r="AV1384" t="s">
        <v>435</v>
      </c>
      <c r="AW1384" t="s">
        <v>7346</v>
      </c>
    </row>
    <row r="1385" spans="1:50">
      <c r="A1385" s="1">
        <f>HYPERLINK("https://lsnyc.legalserver.org/matter/dynamic-profile/view/1835830","17-1835830")</f>
        <v>0</v>
      </c>
      <c r="B1385" t="s">
        <v>53</v>
      </c>
      <c r="C1385" t="s">
        <v>105</v>
      </c>
      <c r="D1385" t="s">
        <v>403</v>
      </c>
      <c r="F1385" t="s">
        <v>723</v>
      </c>
      <c r="G1385" t="s">
        <v>2019</v>
      </c>
      <c r="H1385" t="s">
        <v>3126</v>
      </c>
      <c r="I1385" t="s">
        <v>3338</v>
      </c>
      <c r="J1385" t="s">
        <v>3604</v>
      </c>
      <c r="K1385">
        <v>10034</v>
      </c>
      <c r="L1385" t="s">
        <v>3610</v>
      </c>
      <c r="M1385" t="s">
        <v>3609</v>
      </c>
      <c r="N1385" t="s">
        <v>3856</v>
      </c>
      <c r="O1385" t="s">
        <v>4220</v>
      </c>
      <c r="P1385" t="s">
        <v>4243</v>
      </c>
      <c r="R1385" t="s">
        <v>4258</v>
      </c>
      <c r="S1385" t="s">
        <v>3610</v>
      </c>
      <c r="U1385" t="s">
        <v>4268</v>
      </c>
      <c r="W1385" t="s">
        <v>133</v>
      </c>
      <c r="X1385">
        <v>1419.68</v>
      </c>
      <c r="Y1385" t="s">
        <v>4351</v>
      </c>
      <c r="Z1385" t="s">
        <v>4352</v>
      </c>
      <c r="AB1385" t="s">
        <v>4942</v>
      </c>
      <c r="AE1385">
        <v>43</v>
      </c>
      <c r="AF1385" t="s">
        <v>7101</v>
      </c>
      <c r="AG1385" t="s">
        <v>3745</v>
      </c>
      <c r="AH1385">
        <v>8</v>
      </c>
      <c r="AI1385">
        <v>3</v>
      </c>
      <c r="AJ1385">
        <v>1</v>
      </c>
      <c r="AK1385">
        <v>203.25</v>
      </c>
      <c r="AL1385" t="s">
        <v>7130</v>
      </c>
      <c r="AN1385" t="s">
        <v>7139</v>
      </c>
      <c r="AO1385">
        <v>50000</v>
      </c>
      <c r="AP1385" t="s">
        <v>7169</v>
      </c>
      <c r="AU1385">
        <v>0</v>
      </c>
      <c r="AW1385" t="s">
        <v>7341</v>
      </c>
    </row>
    <row r="1386" spans="1:50">
      <c r="A1386" s="1">
        <f>HYPERLINK("https://lsnyc.legalserver.org/matter/dynamic-profile/view/0783052","15-0783052")</f>
        <v>0</v>
      </c>
      <c r="B1386" t="s">
        <v>51</v>
      </c>
      <c r="C1386" t="s">
        <v>104</v>
      </c>
      <c r="D1386" t="s">
        <v>619</v>
      </c>
      <c r="E1386" t="s">
        <v>293</v>
      </c>
      <c r="F1386" t="s">
        <v>1402</v>
      </c>
      <c r="G1386" t="s">
        <v>2263</v>
      </c>
      <c r="H1386" t="s">
        <v>2929</v>
      </c>
      <c r="I1386" t="s">
        <v>3288</v>
      </c>
      <c r="J1386" t="s">
        <v>3604</v>
      </c>
      <c r="K1386">
        <v>10029</v>
      </c>
      <c r="L1386" t="s">
        <v>3611</v>
      </c>
      <c r="M1386" t="s">
        <v>3611</v>
      </c>
      <c r="N1386" t="s">
        <v>4097</v>
      </c>
      <c r="O1386" t="s">
        <v>4210</v>
      </c>
      <c r="P1386" t="s">
        <v>4241</v>
      </c>
      <c r="Q1386" t="s">
        <v>4255</v>
      </c>
      <c r="R1386" t="s">
        <v>4258</v>
      </c>
      <c r="S1386" t="s">
        <v>3611</v>
      </c>
      <c r="U1386" t="s">
        <v>4268</v>
      </c>
      <c r="V1386" t="s">
        <v>4274</v>
      </c>
      <c r="W1386" t="s">
        <v>619</v>
      </c>
      <c r="X1386">
        <v>630</v>
      </c>
      <c r="Y1386" t="s">
        <v>4351</v>
      </c>
      <c r="AA1386" t="s">
        <v>4379</v>
      </c>
      <c r="AB1386" t="s">
        <v>5475</v>
      </c>
      <c r="AD1386" t="s">
        <v>6824</v>
      </c>
      <c r="AE1386">
        <v>0</v>
      </c>
      <c r="AF1386" t="s">
        <v>7101</v>
      </c>
      <c r="AG1386" t="s">
        <v>3745</v>
      </c>
      <c r="AH1386">
        <v>30</v>
      </c>
      <c r="AI1386">
        <v>1</v>
      </c>
      <c r="AJ1386">
        <v>0</v>
      </c>
      <c r="AK1386">
        <v>203.91</v>
      </c>
      <c r="AN1386" t="s">
        <v>7138</v>
      </c>
      <c r="AO1386">
        <v>24000</v>
      </c>
      <c r="AP1386" t="s">
        <v>7190</v>
      </c>
      <c r="AU1386">
        <v>39.1</v>
      </c>
      <c r="AV1386" t="s">
        <v>526</v>
      </c>
      <c r="AW1386" t="s">
        <v>7341</v>
      </c>
    </row>
    <row r="1387" spans="1:50">
      <c r="A1387" s="1">
        <f>HYPERLINK("https://lsnyc.legalserver.org/matter/dynamic-profile/view/1879892","18-1879892")</f>
        <v>0</v>
      </c>
      <c r="B1387" t="s">
        <v>64</v>
      </c>
      <c r="C1387" t="s">
        <v>105</v>
      </c>
      <c r="D1387" t="s">
        <v>334</v>
      </c>
      <c r="F1387" t="s">
        <v>719</v>
      </c>
      <c r="G1387" t="s">
        <v>2009</v>
      </c>
      <c r="H1387" t="s">
        <v>2576</v>
      </c>
      <c r="I1387" t="s">
        <v>3318</v>
      </c>
      <c r="J1387" t="s">
        <v>3604</v>
      </c>
      <c r="K1387">
        <v>10040</v>
      </c>
      <c r="L1387" t="s">
        <v>3610</v>
      </c>
      <c r="M1387" t="s">
        <v>3610</v>
      </c>
      <c r="O1387" t="s">
        <v>4218</v>
      </c>
      <c r="P1387" t="s">
        <v>4241</v>
      </c>
      <c r="R1387" t="s">
        <v>4258</v>
      </c>
      <c r="S1387" t="s">
        <v>3610</v>
      </c>
      <c r="U1387" t="s">
        <v>4268</v>
      </c>
      <c r="W1387" t="s">
        <v>334</v>
      </c>
      <c r="X1387">
        <v>1269.44</v>
      </c>
      <c r="Y1387" t="s">
        <v>4351</v>
      </c>
      <c r="Z1387" t="s">
        <v>4357</v>
      </c>
      <c r="AB1387" t="s">
        <v>5476</v>
      </c>
      <c r="AD1387" t="s">
        <v>6825</v>
      </c>
      <c r="AE1387">
        <v>88</v>
      </c>
      <c r="AF1387" t="s">
        <v>7101</v>
      </c>
      <c r="AG1387" t="s">
        <v>3745</v>
      </c>
      <c r="AH1387">
        <v>24</v>
      </c>
      <c r="AI1387">
        <v>2</v>
      </c>
      <c r="AJ1387">
        <v>0</v>
      </c>
      <c r="AK1387">
        <v>205.35</v>
      </c>
      <c r="AN1387" t="s">
        <v>7139</v>
      </c>
      <c r="AO1387">
        <v>33800</v>
      </c>
      <c r="AU1387">
        <v>0</v>
      </c>
      <c r="AW1387" t="s">
        <v>7342</v>
      </c>
    </row>
    <row r="1388" spans="1:50">
      <c r="A1388" s="1">
        <f>HYPERLINK("https://lsnyc.legalserver.org/matter/dynamic-profile/view/1863969","18-1863969")</f>
        <v>0</v>
      </c>
      <c r="B1388" t="s">
        <v>53</v>
      </c>
      <c r="C1388" t="s">
        <v>105</v>
      </c>
      <c r="D1388" t="s">
        <v>347</v>
      </c>
      <c r="F1388" t="s">
        <v>818</v>
      </c>
      <c r="G1388" t="s">
        <v>2224</v>
      </c>
      <c r="H1388" t="s">
        <v>2508</v>
      </c>
      <c r="I1388">
        <v>315</v>
      </c>
      <c r="J1388" t="s">
        <v>3604</v>
      </c>
      <c r="K1388">
        <v>10029</v>
      </c>
      <c r="L1388" t="s">
        <v>3610</v>
      </c>
      <c r="M1388" t="s">
        <v>3610</v>
      </c>
      <c r="N1388" t="s">
        <v>3642</v>
      </c>
      <c r="O1388" t="s">
        <v>4213</v>
      </c>
      <c r="P1388" t="s">
        <v>4241</v>
      </c>
      <c r="R1388" t="s">
        <v>4258</v>
      </c>
      <c r="S1388" t="s">
        <v>3610</v>
      </c>
      <c r="U1388" t="s">
        <v>4268</v>
      </c>
      <c r="V1388" t="s">
        <v>4274</v>
      </c>
      <c r="W1388" t="s">
        <v>347</v>
      </c>
      <c r="X1388">
        <v>0</v>
      </c>
      <c r="Y1388" t="s">
        <v>4351</v>
      </c>
      <c r="Z1388" t="s">
        <v>4352</v>
      </c>
      <c r="AB1388" t="s">
        <v>5477</v>
      </c>
      <c r="AE1388">
        <v>108</v>
      </c>
      <c r="AF1388" t="s">
        <v>7106</v>
      </c>
      <c r="AG1388" t="s">
        <v>7116</v>
      </c>
      <c r="AH1388">
        <v>9</v>
      </c>
      <c r="AI1388">
        <v>2</v>
      </c>
      <c r="AJ1388">
        <v>0</v>
      </c>
      <c r="AK1388">
        <v>205.35</v>
      </c>
      <c r="AN1388" t="s">
        <v>7138</v>
      </c>
      <c r="AO1388">
        <v>33800</v>
      </c>
      <c r="AU1388">
        <v>0.5</v>
      </c>
      <c r="AV1388" t="s">
        <v>688</v>
      </c>
      <c r="AW1388" t="s">
        <v>7341</v>
      </c>
    </row>
    <row r="1389" spans="1:50">
      <c r="A1389" s="1">
        <f>HYPERLINK("https://lsnyc.legalserver.org/matter/dynamic-profile/view/1875906","18-1875906")</f>
        <v>0</v>
      </c>
      <c r="B1389" t="s">
        <v>80</v>
      </c>
      <c r="C1389" t="s">
        <v>104</v>
      </c>
      <c r="D1389" t="s">
        <v>343</v>
      </c>
      <c r="E1389" t="s">
        <v>335</v>
      </c>
      <c r="F1389" t="s">
        <v>1403</v>
      </c>
      <c r="G1389" t="s">
        <v>2264</v>
      </c>
      <c r="H1389" t="s">
        <v>3127</v>
      </c>
      <c r="I1389" t="s">
        <v>3334</v>
      </c>
      <c r="J1389" t="s">
        <v>3604</v>
      </c>
      <c r="K1389">
        <v>10039</v>
      </c>
      <c r="L1389" t="s">
        <v>3610</v>
      </c>
      <c r="M1389" t="s">
        <v>3610</v>
      </c>
      <c r="N1389" t="s">
        <v>4098</v>
      </c>
      <c r="O1389" t="s">
        <v>4209</v>
      </c>
      <c r="P1389" t="s">
        <v>4242</v>
      </c>
      <c r="Q1389" t="s">
        <v>4250</v>
      </c>
      <c r="R1389" t="s">
        <v>4258</v>
      </c>
      <c r="S1389" t="s">
        <v>3611</v>
      </c>
      <c r="U1389" t="s">
        <v>4268</v>
      </c>
      <c r="W1389" t="s">
        <v>4320</v>
      </c>
      <c r="X1389">
        <v>700</v>
      </c>
      <c r="Y1389" t="s">
        <v>4351</v>
      </c>
      <c r="Z1389" t="s">
        <v>4354</v>
      </c>
      <c r="AA1389" t="s">
        <v>4373</v>
      </c>
      <c r="AB1389" t="s">
        <v>5478</v>
      </c>
      <c r="AD1389" t="s">
        <v>6826</v>
      </c>
      <c r="AE1389">
        <v>0</v>
      </c>
      <c r="AF1389" t="s">
        <v>7101</v>
      </c>
      <c r="AG1389" t="s">
        <v>3745</v>
      </c>
      <c r="AH1389">
        <v>12</v>
      </c>
      <c r="AI1389">
        <v>1</v>
      </c>
      <c r="AJ1389">
        <v>0</v>
      </c>
      <c r="AK1389">
        <v>205.93</v>
      </c>
      <c r="AL1389" t="s">
        <v>675</v>
      </c>
      <c r="AM1389" t="s">
        <v>7134</v>
      </c>
      <c r="AN1389" t="s">
        <v>7138</v>
      </c>
      <c r="AO1389">
        <v>25000</v>
      </c>
      <c r="AU1389">
        <v>1</v>
      </c>
      <c r="AV1389" t="s">
        <v>343</v>
      </c>
      <c r="AW1389" t="s">
        <v>7344</v>
      </c>
    </row>
    <row r="1390" spans="1:50">
      <c r="A1390" s="1">
        <f>HYPERLINK("https://lsnyc.legalserver.org/matter/dynamic-profile/view/1865024","18-1865024")</f>
        <v>0</v>
      </c>
      <c r="B1390" t="s">
        <v>56</v>
      </c>
      <c r="C1390" t="s">
        <v>104</v>
      </c>
      <c r="D1390" t="s">
        <v>479</v>
      </c>
      <c r="E1390" t="s">
        <v>636</v>
      </c>
      <c r="F1390" t="s">
        <v>695</v>
      </c>
      <c r="G1390" t="s">
        <v>1574</v>
      </c>
      <c r="H1390" t="s">
        <v>3128</v>
      </c>
      <c r="I1390" t="s">
        <v>3517</v>
      </c>
      <c r="J1390" t="s">
        <v>3604</v>
      </c>
      <c r="K1390">
        <v>10027</v>
      </c>
      <c r="L1390" t="s">
        <v>3609</v>
      </c>
      <c r="M1390" t="s">
        <v>3609</v>
      </c>
      <c r="O1390" t="s">
        <v>4213</v>
      </c>
      <c r="P1390" t="s">
        <v>4242</v>
      </c>
      <c r="Q1390" t="s">
        <v>4250</v>
      </c>
      <c r="R1390" t="s">
        <v>4258</v>
      </c>
      <c r="S1390" t="s">
        <v>3611</v>
      </c>
      <c r="U1390" t="s">
        <v>4268</v>
      </c>
      <c r="X1390">
        <v>700</v>
      </c>
      <c r="Y1390" t="s">
        <v>4351</v>
      </c>
      <c r="Z1390" t="s">
        <v>4354</v>
      </c>
      <c r="AA1390" t="s">
        <v>4373</v>
      </c>
      <c r="AB1390" t="s">
        <v>5479</v>
      </c>
      <c r="AD1390" t="s">
        <v>6827</v>
      </c>
      <c r="AE1390">
        <v>132</v>
      </c>
      <c r="AF1390" t="s">
        <v>7106</v>
      </c>
      <c r="AG1390" t="s">
        <v>3745</v>
      </c>
      <c r="AH1390">
        <v>22</v>
      </c>
      <c r="AI1390">
        <v>1</v>
      </c>
      <c r="AJ1390">
        <v>0</v>
      </c>
      <c r="AK1390">
        <v>205.93</v>
      </c>
      <c r="AN1390" t="s">
        <v>7138</v>
      </c>
      <c r="AO1390">
        <v>25000</v>
      </c>
      <c r="AU1390">
        <v>1.2</v>
      </c>
      <c r="AV1390" t="s">
        <v>282</v>
      </c>
      <c r="AW1390" t="s">
        <v>7352</v>
      </c>
    </row>
    <row r="1391" spans="1:50">
      <c r="A1391" s="1">
        <f>HYPERLINK("https://lsnyc.legalserver.org/matter/dynamic-profile/view/1867902","18-1867902")</f>
        <v>0</v>
      </c>
      <c r="B1391" t="s">
        <v>95</v>
      </c>
      <c r="C1391" t="s">
        <v>104</v>
      </c>
      <c r="D1391" t="s">
        <v>411</v>
      </c>
      <c r="E1391" t="s">
        <v>664</v>
      </c>
      <c r="F1391" t="s">
        <v>1404</v>
      </c>
      <c r="G1391" t="s">
        <v>2265</v>
      </c>
      <c r="H1391" t="s">
        <v>3129</v>
      </c>
      <c r="I1391" t="s">
        <v>3334</v>
      </c>
      <c r="J1391" t="s">
        <v>3604</v>
      </c>
      <c r="K1391">
        <v>10009</v>
      </c>
      <c r="L1391" t="s">
        <v>3610</v>
      </c>
      <c r="M1391" t="s">
        <v>3610</v>
      </c>
      <c r="N1391" t="s">
        <v>4099</v>
      </c>
      <c r="O1391" t="s">
        <v>4209</v>
      </c>
      <c r="P1391" t="s">
        <v>4241</v>
      </c>
      <c r="Q1391" t="s">
        <v>4248</v>
      </c>
      <c r="R1391" t="s">
        <v>4258</v>
      </c>
      <c r="S1391" t="s">
        <v>3611</v>
      </c>
      <c r="U1391" t="s">
        <v>4268</v>
      </c>
      <c r="X1391">
        <v>481</v>
      </c>
      <c r="Y1391" t="s">
        <v>4351</v>
      </c>
      <c r="Z1391" t="s">
        <v>4371</v>
      </c>
      <c r="AA1391" t="s">
        <v>4374</v>
      </c>
      <c r="AB1391" t="s">
        <v>5480</v>
      </c>
      <c r="AE1391">
        <v>12</v>
      </c>
      <c r="AF1391" t="s">
        <v>7106</v>
      </c>
      <c r="AG1391" t="s">
        <v>3745</v>
      </c>
      <c r="AH1391">
        <v>8</v>
      </c>
      <c r="AI1391">
        <v>1</v>
      </c>
      <c r="AJ1391">
        <v>0</v>
      </c>
      <c r="AK1391">
        <v>205.93</v>
      </c>
      <c r="AN1391" t="s">
        <v>7138</v>
      </c>
      <c r="AO1391">
        <v>25000</v>
      </c>
      <c r="AU1391">
        <v>1.25</v>
      </c>
      <c r="AV1391" t="s">
        <v>553</v>
      </c>
      <c r="AW1391" t="s">
        <v>7344</v>
      </c>
    </row>
    <row r="1392" spans="1:50">
      <c r="A1392" s="1">
        <f>HYPERLINK("https://lsnyc.legalserver.org/matter/dynamic-profile/view/1861611","18-1861611")</f>
        <v>0</v>
      </c>
      <c r="B1392" t="s">
        <v>56</v>
      </c>
      <c r="C1392" t="s">
        <v>105</v>
      </c>
      <c r="D1392" t="s">
        <v>153</v>
      </c>
      <c r="F1392" t="s">
        <v>733</v>
      </c>
      <c r="G1392" t="s">
        <v>2266</v>
      </c>
      <c r="H1392" t="s">
        <v>2579</v>
      </c>
      <c r="I1392" t="s">
        <v>3541</v>
      </c>
      <c r="J1392" t="s">
        <v>3604</v>
      </c>
      <c r="K1392">
        <v>10034</v>
      </c>
      <c r="L1392" t="s">
        <v>3609</v>
      </c>
      <c r="M1392" t="s">
        <v>3609</v>
      </c>
      <c r="N1392" t="s">
        <v>4100</v>
      </c>
      <c r="O1392" t="s">
        <v>4209</v>
      </c>
      <c r="P1392" t="s">
        <v>4241</v>
      </c>
      <c r="R1392" t="s">
        <v>4258</v>
      </c>
      <c r="U1392" t="s">
        <v>4268</v>
      </c>
      <c r="X1392">
        <v>1200</v>
      </c>
      <c r="Y1392" t="s">
        <v>4351</v>
      </c>
      <c r="AB1392" t="s">
        <v>5481</v>
      </c>
      <c r="AD1392" t="s">
        <v>6828</v>
      </c>
      <c r="AE1392">
        <v>20</v>
      </c>
      <c r="AF1392" t="s">
        <v>7105</v>
      </c>
      <c r="AG1392" t="s">
        <v>3745</v>
      </c>
      <c r="AH1392">
        <v>6</v>
      </c>
      <c r="AI1392">
        <v>3</v>
      </c>
      <c r="AJ1392">
        <v>0</v>
      </c>
      <c r="AK1392">
        <v>206.45</v>
      </c>
      <c r="AN1392" t="s">
        <v>7139</v>
      </c>
      <c r="AO1392">
        <v>42900</v>
      </c>
      <c r="AU1392">
        <v>54.3</v>
      </c>
      <c r="AV1392" t="s">
        <v>467</v>
      </c>
      <c r="AW1392" t="s">
        <v>7343</v>
      </c>
    </row>
    <row r="1393" spans="1:49">
      <c r="A1393" s="1">
        <f>HYPERLINK("https://lsnyc.legalserver.org/matter/dynamic-profile/view/1865827","18-1865827")</f>
        <v>0</v>
      </c>
      <c r="B1393" t="s">
        <v>79</v>
      </c>
      <c r="C1393" t="s">
        <v>104</v>
      </c>
      <c r="D1393" t="s">
        <v>392</v>
      </c>
      <c r="E1393" t="s">
        <v>425</v>
      </c>
      <c r="F1393" t="s">
        <v>1405</v>
      </c>
      <c r="G1393" t="s">
        <v>2267</v>
      </c>
      <c r="H1393" t="s">
        <v>3130</v>
      </c>
      <c r="I1393" t="s">
        <v>3375</v>
      </c>
      <c r="J1393" t="s">
        <v>3604</v>
      </c>
      <c r="K1393">
        <v>10031</v>
      </c>
      <c r="L1393" t="s">
        <v>3610</v>
      </c>
      <c r="M1393" t="s">
        <v>3610</v>
      </c>
      <c r="O1393" t="s">
        <v>4209</v>
      </c>
      <c r="P1393" t="s">
        <v>4242</v>
      </c>
      <c r="Q1393" t="s">
        <v>4250</v>
      </c>
      <c r="R1393" t="s">
        <v>4258</v>
      </c>
      <c r="S1393" t="s">
        <v>3611</v>
      </c>
      <c r="U1393" t="s">
        <v>4268</v>
      </c>
      <c r="W1393" t="s">
        <v>392</v>
      </c>
      <c r="X1393">
        <v>1850.35</v>
      </c>
      <c r="Y1393" t="s">
        <v>4351</v>
      </c>
      <c r="AA1393" t="s">
        <v>4373</v>
      </c>
      <c r="AB1393" t="s">
        <v>4575</v>
      </c>
      <c r="AD1393" t="s">
        <v>6829</v>
      </c>
      <c r="AE1393">
        <v>0</v>
      </c>
      <c r="AG1393" t="s">
        <v>7116</v>
      </c>
      <c r="AH1393">
        <v>22</v>
      </c>
      <c r="AI1393">
        <v>2</v>
      </c>
      <c r="AJ1393">
        <v>0</v>
      </c>
      <c r="AK1393">
        <v>206.56</v>
      </c>
      <c r="AL1393" t="s">
        <v>7130</v>
      </c>
      <c r="AO1393">
        <v>34000</v>
      </c>
      <c r="AU1393">
        <v>1</v>
      </c>
      <c r="AV1393" t="s">
        <v>392</v>
      </c>
      <c r="AW1393" t="s">
        <v>7350</v>
      </c>
    </row>
    <row r="1394" spans="1:49">
      <c r="A1394" s="1">
        <f>HYPERLINK("https://lsnyc.legalserver.org/matter/dynamic-profile/view/1837185","17-1837185")</f>
        <v>0</v>
      </c>
      <c r="B1394" t="s">
        <v>51</v>
      </c>
      <c r="C1394" t="s">
        <v>104</v>
      </c>
      <c r="D1394" t="s">
        <v>584</v>
      </c>
      <c r="E1394" t="s">
        <v>385</v>
      </c>
      <c r="F1394" t="s">
        <v>949</v>
      </c>
      <c r="G1394" t="s">
        <v>2268</v>
      </c>
      <c r="H1394" t="s">
        <v>3131</v>
      </c>
      <c r="I1394" t="s">
        <v>3342</v>
      </c>
      <c r="J1394" t="s">
        <v>3604</v>
      </c>
      <c r="K1394">
        <v>10035</v>
      </c>
      <c r="L1394" t="s">
        <v>3610</v>
      </c>
      <c r="M1394" t="s">
        <v>3610</v>
      </c>
      <c r="N1394" t="s">
        <v>4101</v>
      </c>
      <c r="O1394" t="s">
        <v>4209</v>
      </c>
      <c r="P1394" t="s">
        <v>4241</v>
      </c>
      <c r="Q1394" t="s">
        <v>4248</v>
      </c>
      <c r="R1394" t="s">
        <v>4258</v>
      </c>
      <c r="S1394" t="s">
        <v>3611</v>
      </c>
      <c r="U1394" t="s">
        <v>4268</v>
      </c>
      <c r="V1394" t="s">
        <v>4277</v>
      </c>
      <c r="W1394" t="s">
        <v>4341</v>
      </c>
      <c r="X1394">
        <v>1733.16</v>
      </c>
      <c r="Y1394" t="s">
        <v>4351</v>
      </c>
      <c r="Z1394" t="s">
        <v>4354</v>
      </c>
      <c r="AA1394" t="s">
        <v>4375</v>
      </c>
      <c r="AB1394" t="s">
        <v>5482</v>
      </c>
      <c r="AD1394" t="s">
        <v>6830</v>
      </c>
      <c r="AE1394">
        <v>33</v>
      </c>
      <c r="AF1394" t="s">
        <v>7101</v>
      </c>
      <c r="AG1394" t="s">
        <v>3745</v>
      </c>
      <c r="AH1394">
        <v>3</v>
      </c>
      <c r="AI1394">
        <v>1</v>
      </c>
      <c r="AJ1394">
        <v>0</v>
      </c>
      <c r="AK1394">
        <v>207.3</v>
      </c>
      <c r="AL1394" t="s">
        <v>7130</v>
      </c>
      <c r="AN1394" t="s">
        <v>7138</v>
      </c>
      <c r="AO1394">
        <v>25000</v>
      </c>
      <c r="AU1394">
        <v>35.7</v>
      </c>
      <c r="AV1394" t="s">
        <v>465</v>
      </c>
      <c r="AW1394" t="s">
        <v>7341</v>
      </c>
    </row>
    <row r="1395" spans="1:49">
      <c r="A1395" s="1">
        <f>HYPERLINK("https://lsnyc.legalserver.org/matter/dynamic-profile/view/1856450","18-1856450")</f>
        <v>0</v>
      </c>
      <c r="B1395" t="s">
        <v>64</v>
      </c>
      <c r="C1395" t="s">
        <v>105</v>
      </c>
      <c r="D1395" t="s">
        <v>421</v>
      </c>
      <c r="F1395" t="s">
        <v>1406</v>
      </c>
      <c r="G1395" t="s">
        <v>1024</v>
      </c>
      <c r="H1395" t="s">
        <v>2642</v>
      </c>
      <c r="I1395" t="s">
        <v>3542</v>
      </c>
      <c r="J1395" t="s">
        <v>3604</v>
      </c>
      <c r="K1395">
        <v>10034</v>
      </c>
      <c r="L1395" t="s">
        <v>3610</v>
      </c>
      <c r="M1395" t="s">
        <v>3609</v>
      </c>
      <c r="O1395" t="s">
        <v>4213</v>
      </c>
      <c r="P1395" t="s">
        <v>4241</v>
      </c>
      <c r="R1395" t="s">
        <v>4258</v>
      </c>
      <c r="S1395" t="s">
        <v>3610</v>
      </c>
      <c r="U1395" t="s">
        <v>4268</v>
      </c>
      <c r="W1395" t="s">
        <v>421</v>
      </c>
      <c r="X1395">
        <v>987</v>
      </c>
      <c r="Y1395" t="s">
        <v>4351</v>
      </c>
      <c r="Z1395" t="s">
        <v>4352</v>
      </c>
      <c r="AB1395" t="s">
        <v>5483</v>
      </c>
      <c r="AD1395" t="s">
        <v>6831</v>
      </c>
      <c r="AE1395">
        <v>49</v>
      </c>
      <c r="AF1395" t="s">
        <v>7101</v>
      </c>
      <c r="AG1395" t="s">
        <v>3745</v>
      </c>
      <c r="AH1395">
        <v>35</v>
      </c>
      <c r="AI1395">
        <v>3</v>
      </c>
      <c r="AJ1395">
        <v>1</v>
      </c>
      <c r="AK1395">
        <v>207.32</v>
      </c>
      <c r="AN1395" t="s">
        <v>7138</v>
      </c>
      <c r="AO1395">
        <v>51000</v>
      </c>
      <c r="AU1395">
        <v>0.9</v>
      </c>
      <c r="AV1395" t="s">
        <v>335</v>
      </c>
      <c r="AW1395" t="s">
        <v>7342</v>
      </c>
    </row>
    <row r="1396" spans="1:49">
      <c r="A1396" s="1">
        <f>HYPERLINK("https://lsnyc.legalserver.org/matter/dynamic-profile/view/1872874","18-1872874")</f>
        <v>0</v>
      </c>
      <c r="B1396" t="s">
        <v>81</v>
      </c>
      <c r="C1396" t="s">
        <v>105</v>
      </c>
      <c r="D1396" t="s">
        <v>177</v>
      </c>
      <c r="F1396" t="s">
        <v>1407</v>
      </c>
      <c r="G1396" t="s">
        <v>2269</v>
      </c>
      <c r="H1396" t="s">
        <v>3132</v>
      </c>
      <c r="I1396" t="s">
        <v>3356</v>
      </c>
      <c r="J1396" t="s">
        <v>3604</v>
      </c>
      <c r="K1396">
        <v>10031</v>
      </c>
      <c r="L1396" t="s">
        <v>3610</v>
      </c>
      <c r="M1396" t="s">
        <v>3610</v>
      </c>
      <c r="N1396" t="s">
        <v>4102</v>
      </c>
      <c r="O1396" t="s">
        <v>4210</v>
      </c>
      <c r="P1396" t="s">
        <v>4241</v>
      </c>
      <c r="R1396" t="s">
        <v>4258</v>
      </c>
      <c r="S1396" t="s">
        <v>3611</v>
      </c>
      <c r="U1396" t="s">
        <v>4268</v>
      </c>
      <c r="V1396" t="s">
        <v>4274</v>
      </c>
      <c r="W1396" t="s">
        <v>177</v>
      </c>
      <c r="X1396">
        <v>186.57</v>
      </c>
      <c r="Y1396" t="s">
        <v>4351</v>
      </c>
      <c r="Z1396" t="s">
        <v>4354</v>
      </c>
      <c r="AB1396" t="s">
        <v>5484</v>
      </c>
      <c r="AD1396" t="s">
        <v>6832</v>
      </c>
      <c r="AE1396">
        <v>0</v>
      </c>
      <c r="AF1396" t="s">
        <v>7101</v>
      </c>
      <c r="AG1396" t="s">
        <v>3745</v>
      </c>
      <c r="AH1396">
        <v>48</v>
      </c>
      <c r="AI1396">
        <v>2</v>
      </c>
      <c r="AJ1396">
        <v>0</v>
      </c>
      <c r="AK1396">
        <v>207.87</v>
      </c>
      <c r="AN1396" t="s">
        <v>7138</v>
      </c>
      <c r="AO1396">
        <v>34216</v>
      </c>
      <c r="AU1396">
        <v>95.59999999999999</v>
      </c>
      <c r="AV1396" t="s">
        <v>529</v>
      </c>
      <c r="AW1396" t="s">
        <v>7344</v>
      </c>
    </row>
    <row r="1397" spans="1:49">
      <c r="A1397" s="1">
        <f>HYPERLINK("https://lsnyc.legalserver.org/matter/dynamic-profile/view/1836409","17-1836409")</f>
        <v>0</v>
      </c>
      <c r="B1397" t="s">
        <v>82</v>
      </c>
      <c r="C1397" t="s">
        <v>104</v>
      </c>
      <c r="D1397" t="s">
        <v>418</v>
      </c>
      <c r="E1397" t="s">
        <v>271</v>
      </c>
      <c r="F1397" t="s">
        <v>1116</v>
      </c>
      <c r="G1397" t="s">
        <v>1051</v>
      </c>
      <c r="H1397" t="s">
        <v>2534</v>
      </c>
      <c r="I1397" t="s">
        <v>3342</v>
      </c>
      <c r="J1397" t="s">
        <v>3604</v>
      </c>
      <c r="K1397">
        <v>10040</v>
      </c>
      <c r="L1397" t="s">
        <v>3610</v>
      </c>
      <c r="M1397" t="s">
        <v>3609</v>
      </c>
      <c r="O1397" t="s">
        <v>4213</v>
      </c>
      <c r="P1397" t="s">
        <v>4245</v>
      </c>
      <c r="Q1397" t="s">
        <v>4249</v>
      </c>
      <c r="R1397" t="s">
        <v>4258</v>
      </c>
      <c r="S1397" t="s">
        <v>3610</v>
      </c>
      <c r="U1397" t="s">
        <v>4268</v>
      </c>
      <c r="W1397" t="s">
        <v>4282</v>
      </c>
      <c r="X1397">
        <v>1046</v>
      </c>
      <c r="Y1397" t="s">
        <v>4351</v>
      </c>
      <c r="Z1397" t="s">
        <v>4352</v>
      </c>
      <c r="AA1397" t="s">
        <v>4373</v>
      </c>
      <c r="AB1397" t="s">
        <v>5485</v>
      </c>
      <c r="AD1397" t="s">
        <v>6833</v>
      </c>
      <c r="AE1397">
        <v>45</v>
      </c>
      <c r="AF1397" t="s">
        <v>7101</v>
      </c>
      <c r="AG1397" t="s">
        <v>3745</v>
      </c>
      <c r="AH1397">
        <v>23</v>
      </c>
      <c r="AI1397">
        <v>2</v>
      </c>
      <c r="AJ1397">
        <v>0</v>
      </c>
      <c r="AK1397">
        <v>208.13</v>
      </c>
      <c r="AL1397" t="s">
        <v>7130</v>
      </c>
      <c r="AN1397" t="s">
        <v>7139</v>
      </c>
      <c r="AO1397">
        <v>33800</v>
      </c>
      <c r="AU1397">
        <v>0.9</v>
      </c>
      <c r="AV1397" t="s">
        <v>271</v>
      </c>
      <c r="AW1397" t="s">
        <v>7341</v>
      </c>
    </row>
    <row r="1398" spans="1:49">
      <c r="A1398" s="1">
        <f>HYPERLINK("https://lsnyc.legalserver.org/matter/dynamic-profile/view/1861135","18-1861135")</f>
        <v>0</v>
      </c>
      <c r="B1398" t="s">
        <v>63</v>
      </c>
      <c r="C1398" t="s">
        <v>104</v>
      </c>
      <c r="D1398" t="s">
        <v>111</v>
      </c>
      <c r="E1398" t="s">
        <v>561</v>
      </c>
      <c r="F1398" t="s">
        <v>1116</v>
      </c>
      <c r="G1398" t="s">
        <v>1051</v>
      </c>
      <c r="H1398" t="s">
        <v>3133</v>
      </c>
      <c r="I1398" t="s">
        <v>3342</v>
      </c>
      <c r="J1398" t="s">
        <v>3604</v>
      </c>
      <c r="K1398">
        <v>10033</v>
      </c>
      <c r="L1398" t="s">
        <v>3610</v>
      </c>
      <c r="M1398" t="s">
        <v>3610</v>
      </c>
      <c r="O1398" t="s">
        <v>4211</v>
      </c>
      <c r="P1398" t="s">
        <v>4244</v>
      </c>
      <c r="Q1398" t="s">
        <v>4249</v>
      </c>
      <c r="R1398" t="s">
        <v>4258</v>
      </c>
      <c r="S1398" t="s">
        <v>3611</v>
      </c>
      <c r="U1398" t="s">
        <v>4268</v>
      </c>
      <c r="W1398" t="s">
        <v>111</v>
      </c>
      <c r="X1398">
        <v>1120.21</v>
      </c>
      <c r="Y1398" t="s">
        <v>4351</v>
      </c>
      <c r="AA1398" t="s">
        <v>4377</v>
      </c>
      <c r="AB1398" t="s">
        <v>5485</v>
      </c>
      <c r="AD1398" t="s">
        <v>6833</v>
      </c>
      <c r="AE1398">
        <v>40</v>
      </c>
      <c r="AF1398" t="s">
        <v>7104</v>
      </c>
      <c r="AG1398" t="s">
        <v>3745</v>
      </c>
      <c r="AH1398">
        <v>24</v>
      </c>
      <c r="AI1398">
        <v>2</v>
      </c>
      <c r="AJ1398">
        <v>0</v>
      </c>
      <c r="AK1398">
        <v>209.18</v>
      </c>
      <c r="AL1398" t="s">
        <v>7130</v>
      </c>
      <c r="AN1398" t="s">
        <v>7139</v>
      </c>
      <c r="AO1398">
        <v>34431</v>
      </c>
      <c r="AU1398">
        <v>7</v>
      </c>
      <c r="AV1398" t="s">
        <v>205</v>
      </c>
      <c r="AW1398" t="s">
        <v>7349</v>
      </c>
    </row>
    <row r="1399" spans="1:49">
      <c r="A1399" s="1">
        <f>HYPERLINK("https://lsnyc.legalserver.org/matter/dynamic-profile/view/1878956","18-1878956")</f>
        <v>0</v>
      </c>
      <c r="B1399" t="s">
        <v>64</v>
      </c>
      <c r="C1399" t="s">
        <v>105</v>
      </c>
      <c r="D1399" t="s">
        <v>282</v>
      </c>
      <c r="F1399" t="s">
        <v>901</v>
      </c>
      <c r="G1399" t="s">
        <v>1599</v>
      </c>
      <c r="H1399" t="s">
        <v>2576</v>
      </c>
      <c r="I1399" t="s">
        <v>3297</v>
      </c>
      <c r="J1399" t="s">
        <v>3604</v>
      </c>
      <c r="K1399">
        <v>10040</v>
      </c>
      <c r="L1399" t="s">
        <v>3610</v>
      </c>
      <c r="M1399" t="s">
        <v>3610</v>
      </c>
      <c r="O1399" t="s">
        <v>4218</v>
      </c>
      <c r="P1399" t="s">
        <v>4241</v>
      </c>
      <c r="R1399" t="s">
        <v>4258</v>
      </c>
      <c r="S1399" t="s">
        <v>3610</v>
      </c>
      <c r="U1399" t="s">
        <v>4268</v>
      </c>
      <c r="W1399" t="s">
        <v>282</v>
      </c>
      <c r="X1399">
        <v>913.34</v>
      </c>
      <c r="Y1399" t="s">
        <v>4351</v>
      </c>
      <c r="Z1399" t="s">
        <v>4352</v>
      </c>
      <c r="AB1399" t="s">
        <v>5486</v>
      </c>
      <c r="AD1399" t="s">
        <v>6834</v>
      </c>
      <c r="AE1399">
        <v>88</v>
      </c>
      <c r="AF1399" t="s">
        <v>7101</v>
      </c>
      <c r="AG1399" t="s">
        <v>3745</v>
      </c>
      <c r="AH1399">
        <v>29</v>
      </c>
      <c r="AI1399">
        <v>1</v>
      </c>
      <c r="AJ1399">
        <v>1</v>
      </c>
      <c r="AK1399">
        <v>210.58</v>
      </c>
      <c r="AN1399" t="s">
        <v>7139</v>
      </c>
      <c r="AO1399">
        <v>34661.76</v>
      </c>
      <c r="AU1399">
        <v>0</v>
      </c>
      <c r="AW1399" t="s">
        <v>7342</v>
      </c>
    </row>
    <row r="1400" spans="1:49">
      <c r="A1400" s="1">
        <f>HYPERLINK("https://lsnyc.legalserver.org/matter/dynamic-profile/view/1890434","19-1890434")</f>
        <v>0</v>
      </c>
      <c r="B1400" t="s">
        <v>62</v>
      </c>
      <c r="C1400" t="s">
        <v>104</v>
      </c>
      <c r="D1400" t="s">
        <v>272</v>
      </c>
      <c r="E1400" t="s">
        <v>148</v>
      </c>
      <c r="F1400" t="s">
        <v>924</v>
      </c>
      <c r="G1400" t="s">
        <v>2270</v>
      </c>
      <c r="H1400" t="s">
        <v>3134</v>
      </c>
      <c r="I1400">
        <v>26</v>
      </c>
      <c r="J1400" t="s">
        <v>3604</v>
      </c>
      <c r="K1400">
        <v>10033</v>
      </c>
      <c r="L1400" t="s">
        <v>3610</v>
      </c>
      <c r="M1400" t="s">
        <v>3610</v>
      </c>
      <c r="O1400" t="s">
        <v>4219</v>
      </c>
      <c r="P1400" t="s">
        <v>4242</v>
      </c>
      <c r="Q1400" t="s">
        <v>4250</v>
      </c>
      <c r="R1400" t="s">
        <v>4258</v>
      </c>
      <c r="S1400" t="s">
        <v>3611</v>
      </c>
      <c r="U1400" t="s">
        <v>4268</v>
      </c>
      <c r="W1400" t="s">
        <v>272</v>
      </c>
      <c r="X1400">
        <v>819</v>
      </c>
      <c r="Y1400" t="s">
        <v>4351</v>
      </c>
      <c r="Z1400" t="s">
        <v>4354</v>
      </c>
      <c r="AA1400" t="s">
        <v>4373</v>
      </c>
      <c r="AB1400" t="s">
        <v>5487</v>
      </c>
      <c r="AD1400" t="s">
        <v>6835</v>
      </c>
      <c r="AE1400">
        <v>42</v>
      </c>
      <c r="AF1400" t="s">
        <v>7101</v>
      </c>
      <c r="AG1400" t="s">
        <v>3745</v>
      </c>
      <c r="AH1400">
        <v>31</v>
      </c>
      <c r="AI1400">
        <v>3</v>
      </c>
      <c r="AJ1400">
        <v>0</v>
      </c>
      <c r="AK1400">
        <v>210.97</v>
      </c>
      <c r="AN1400" t="s">
        <v>7139</v>
      </c>
      <c r="AO1400">
        <v>45000</v>
      </c>
      <c r="AU1400">
        <v>2.9</v>
      </c>
      <c r="AV1400" t="s">
        <v>7289</v>
      </c>
      <c r="AW1400" t="s">
        <v>7342</v>
      </c>
    </row>
    <row r="1401" spans="1:49">
      <c r="A1401" s="1">
        <f>HYPERLINK("https://lsnyc.legalserver.org/matter/dynamic-profile/view/0824247","17-0824247")</f>
        <v>0</v>
      </c>
      <c r="B1401" t="s">
        <v>55</v>
      </c>
      <c r="C1401" t="s">
        <v>104</v>
      </c>
      <c r="D1401" t="s">
        <v>446</v>
      </c>
      <c r="E1401" t="s">
        <v>329</v>
      </c>
      <c r="F1401" t="s">
        <v>1408</v>
      </c>
      <c r="G1401" t="s">
        <v>1408</v>
      </c>
      <c r="H1401" t="s">
        <v>3135</v>
      </c>
      <c r="I1401">
        <v>8</v>
      </c>
      <c r="J1401" t="s">
        <v>3604</v>
      </c>
      <c r="K1401">
        <v>10029</v>
      </c>
      <c r="L1401" t="s">
        <v>3610</v>
      </c>
      <c r="M1401" t="s">
        <v>3610</v>
      </c>
      <c r="N1401" t="s">
        <v>4103</v>
      </c>
      <c r="O1401" t="s">
        <v>4210</v>
      </c>
      <c r="P1401" t="s">
        <v>4241</v>
      </c>
      <c r="Q1401" t="s">
        <v>4248</v>
      </c>
      <c r="R1401" t="s">
        <v>4258</v>
      </c>
      <c r="S1401" t="s">
        <v>3611</v>
      </c>
      <c r="U1401" t="s">
        <v>4268</v>
      </c>
      <c r="V1401" t="s">
        <v>4274</v>
      </c>
      <c r="W1401" t="s">
        <v>350</v>
      </c>
      <c r="X1401">
        <v>866</v>
      </c>
      <c r="Y1401" t="s">
        <v>4351</v>
      </c>
      <c r="Z1401" t="s">
        <v>4371</v>
      </c>
      <c r="AA1401" t="s">
        <v>4374</v>
      </c>
      <c r="AB1401" t="s">
        <v>5488</v>
      </c>
      <c r="AE1401">
        <v>8</v>
      </c>
      <c r="AF1401" t="s">
        <v>7101</v>
      </c>
      <c r="AG1401" t="s">
        <v>3745</v>
      </c>
      <c r="AH1401">
        <v>30</v>
      </c>
      <c r="AI1401">
        <v>2</v>
      </c>
      <c r="AJ1401">
        <v>3</v>
      </c>
      <c r="AK1401">
        <v>210.97</v>
      </c>
      <c r="AL1401" t="s">
        <v>7130</v>
      </c>
      <c r="AN1401" t="s">
        <v>7140</v>
      </c>
      <c r="AO1401">
        <v>60000</v>
      </c>
      <c r="AU1401">
        <v>124.9</v>
      </c>
      <c r="AV1401" t="s">
        <v>122</v>
      </c>
      <c r="AW1401" t="s">
        <v>7361</v>
      </c>
    </row>
    <row r="1402" spans="1:49">
      <c r="A1402" s="1">
        <f>HYPERLINK("https://lsnyc.legalserver.org/matter/dynamic-profile/view/0826254","17-0826254")</f>
        <v>0</v>
      </c>
      <c r="B1402" t="s">
        <v>64</v>
      </c>
      <c r="C1402" t="s">
        <v>105</v>
      </c>
      <c r="D1402" t="s">
        <v>394</v>
      </c>
      <c r="F1402" t="s">
        <v>719</v>
      </c>
      <c r="G1402" t="s">
        <v>2009</v>
      </c>
      <c r="H1402" t="s">
        <v>2576</v>
      </c>
      <c r="I1402" t="s">
        <v>3318</v>
      </c>
      <c r="J1402" t="s">
        <v>3604</v>
      </c>
      <c r="K1402">
        <v>10040</v>
      </c>
      <c r="L1402" t="s">
        <v>3610</v>
      </c>
      <c r="M1402" t="s">
        <v>3609</v>
      </c>
      <c r="N1402" t="s">
        <v>3780</v>
      </c>
      <c r="O1402" t="s">
        <v>4213</v>
      </c>
      <c r="P1402" t="s">
        <v>4241</v>
      </c>
      <c r="R1402" t="s">
        <v>4258</v>
      </c>
      <c r="S1402" t="s">
        <v>3610</v>
      </c>
      <c r="U1402" t="s">
        <v>4268</v>
      </c>
      <c r="W1402" t="s">
        <v>332</v>
      </c>
      <c r="X1402">
        <v>1269.44</v>
      </c>
      <c r="Y1402" t="s">
        <v>4351</v>
      </c>
      <c r="Z1402" t="s">
        <v>4352</v>
      </c>
      <c r="AB1402" t="s">
        <v>5476</v>
      </c>
      <c r="AD1402" t="s">
        <v>6825</v>
      </c>
      <c r="AE1402">
        <v>83</v>
      </c>
      <c r="AF1402" t="s">
        <v>7101</v>
      </c>
      <c r="AG1402" t="s">
        <v>3745</v>
      </c>
      <c r="AH1402">
        <v>24</v>
      </c>
      <c r="AI1402">
        <v>2</v>
      </c>
      <c r="AJ1402">
        <v>0</v>
      </c>
      <c r="AK1402">
        <v>210.99</v>
      </c>
      <c r="AL1402" t="s">
        <v>7130</v>
      </c>
      <c r="AN1402" t="s">
        <v>7139</v>
      </c>
      <c r="AO1402">
        <v>33800</v>
      </c>
      <c r="AU1402">
        <v>0</v>
      </c>
      <c r="AV1402" t="s">
        <v>191</v>
      </c>
      <c r="AW1402" t="s">
        <v>7341</v>
      </c>
    </row>
    <row r="1403" spans="1:49">
      <c r="A1403" s="1">
        <f>HYPERLINK("https://lsnyc.legalserver.org/matter/dynamic-profile/view/0824826","17-0824826")</f>
        <v>0</v>
      </c>
      <c r="B1403" t="s">
        <v>64</v>
      </c>
      <c r="C1403" t="s">
        <v>104</v>
      </c>
      <c r="D1403" t="s">
        <v>620</v>
      </c>
      <c r="E1403" t="s">
        <v>378</v>
      </c>
      <c r="F1403" t="s">
        <v>1409</v>
      </c>
      <c r="G1403" t="s">
        <v>1594</v>
      </c>
      <c r="H1403" t="s">
        <v>2718</v>
      </c>
      <c r="I1403" t="s">
        <v>3543</v>
      </c>
      <c r="J1403" t="s">
        <v>3604</v>
      </c>
      <c r="K1403">
        <v>10034</v>
      </c>
      <c r="L1403" t="s">
        <v>3609</v>
      </c>
      <c r="M1403" t="s">
        <v>3609</v>
      </c>
      <c r="N1403" t="s">
        <v>4104</v>
      </c>
      <c r="O1403" t="s">
        <v>4213</v>
      </c>
      <c r="P1403" t="s">
        <v>4241</v>
      </c>
      <c r="Q1403" t="s">
        <v>4248</v>
      </c>
      <c r="R1403" t="s">
        <v>4258</v>
      </c>
      <c r="S1403" t="s">
        <v>3610</v>
      </c>
      <c r="U1403" t="s">
        <v>4268</v>
      </c>
      <c r="W1403" t="s">
        <v>560</v>
      </c>
      <c r="X1403">
        <v>10467</v>
      </c>
      <c r="Y1403" t="s">
        <v>4351</v>
      </c>
      <c r="Z1403" t="s">
        <v>4352</v>
      </c>
      <c r="AA1403" t="s">
        <v>4379</v>
      </c>
      <c r="AB1403" t="s">
        <v>5489</v>
      </c>
      <c r="AD1403" t="s">
        <v>6836</v>
      </c>
      <c r="AE1403">
        <v>65</v>
      </c>
      <c r="AF1403" t="s">
        <v>7101</v>
      </c>
      <c r="AG1403" t="s">
        <v>3745</v>
      </c>
      <c r="AH1403">
        <v>0</v>
      </c>
      <c r="AI1403">
        <v>3</v>
      </c>
      <c r="AJ1403">
        <v>0</v>
      </c>
      <c r="AK1403">
        <v>211.1</v>
      </c>
      <c r="AN1403" t="s">
        <v>7139</v>
      </c>
      <c r="AO1403">
        <v>42556.8</v>
      </c>
      <c r="AU1403">
        <v>0.25</v>
      </c>
      <c r="AV1403" t="s">
        <v>280</v>
      </c>
      <c r="AW1403" t="s">
        <v>7341</v>
      </c>
    </row>
    <row r="1404" spans="1:49">
      <c r="A1404" s="1">
        <f>HYPERLINK("https://lsnyc.legalserver.org/matter/dynamic-profile/view/0829559","17-0829559")</f>
        <v>0</v>
      </c>
      <c r="B1404" t="s">
        <v>53</v>
      </c>
      <c r="C1404" t="s">
        <v>105</v>
      </c>
      <c r="D1404" t="s">
        <v>469</v>
      </c>
      <c r="F1404" t="s">
        <v>738</v>
      </c>
      <c r="G1404" t="s">
        <v>2271</v>
      </c>
      <c r="H1404" t="s">
        <v>2588</v>
      </c>
      <c r="I1404">
        <v>38</v>
      </c>
      <c r="J1404" t="s">
        <v>3604</v>
      </c>
      <c r="K1404">
        <v>10034</v>
      </c>
      <c r="L1404" t="s">
        <v>3610</v>
      </c>
      <c r="M1404" t="s">
        <v>3609</v>
      </c>
      <c r="O1404" t="s">
        <v>4217</v>
      </c>
      <c r="P1404" t="s">
        <v>4245</v>
      </c>
      <c r="R1404" t="s">
        <v>4258</v>
      </c>
      <c r="S1404" t="s">
        <v>3611</v>
      </c>
      <c r="U1404" t="s">
        <v>4268</v>
      </c>
      <c r="W1404" t="s">
        <v>339</v>
      </c>
      <c r="X1404">
        <v>1082.09</v>
      </c>
      <c r="Y1404" t="s">
        <v>4351</v>
      </c>
      <c r="Z1404" t="s">
        <v>4359</v>
      </c>
      <c r="AB1404" t="s">
        <v>5490</v>
      </c>
      <c r="AD1404" t="s">
        <v>6837</v>
      </c>
      <c r="AE1404">
        <v>52</v>
      </c>
      <c r="AF1404" t="s">
        <v>7101</v>
      </c>
      <c r="AG1404" t="s">
        <v>3745</v>
      </c>
      <c r="AH1404">
        <v>22</v>
      </c>
      <c r="AI1404">
        <v>2</v>
      </c>
      <c r="AJ1404">
        <v>0</v>
      </c>
      <c r="AK1404">
        <v>211.39</v>
      </c>
      <c r="AL1404" t="s">
        <v>7130</v>
      </c>
      <c r="AN1404" t="s">
        <v>7138</v>
      </c>
      <c r="AO1404">
        <v>33864</v>
      </c>
      <c r="AU1404">
        <v>1.4</v>
      </c>
      <c r="AV1404" t="s">
        <v>402</v>
      </c>
      <c r="AW1404" t="s">
        <v>53</v>
      </c>
    </row>
    <row r="1405" spans="1:49">
      <c r="A1405" s="1">
        <f>HYPERLINK("https://lsnyc.legalserver.org/matter/dynamic-profile/view/0825462","17-0825462")</f>
        <v>0</v>
      </c>
      <c r="B1405" t="s">
        <v>66</v>
      </c>
      <c r="C1405" t="s">
        <v>104</v>
      </c>
      <c r="D1405" t="s">
        <v>513</v>
      </c>
      <c r="E1405" t="s">
        <v>119</v>
      </c>
      <c r="F1405" t="s">
        <v>1410</v>
      </c>
      <c r="G1405" t="s">
        <v>1441</v>
      </c>
      <c r="H1405" t="s">
        <v>3136</v>
      </c>
      <c r="I1405" t="s">
        <v>3544</v>
      </c>
      <c r="J1405" t="s">
        <v>3604</v>
      </c>
      <c r="K1405">
        <v>10009</v>
      </c>
      <c r="L1405" t="s">
        <v>3611</v>
      </c>
      <c r="M1405" t="s">
        <v>3609</v>
      </c>
      <c r="N1405" t="s">
        <v>4105</v>
      </c>
      <c r="O1405" t="s">
        <v>4209</v>
      </c>
      <c r="P1405" t="s">
        <v>4241</v>
      </c>
      <c r="Q1405" t="s">
        <v>4248</v>
      </c>
      <c r="R1405" t="s">
        <v>4258</v>
      </c>
      <c r="S1405" t="s">
        <v>3611</v>
      </c>
      <c r="T1405" t="s">
        <v>4259</v>
      </c>
      <c r="U1405" t="s">
        <v>4271</v>
      </c>
      <c r="X1405">
        <v>1128</v>
      </c>
      <c r="Y1405" t="s">
        <v>4351</v>
      </c>
      <c r="Z1405" t="s">
        <v>4352</v>
      </c>
      <c r="AA1405" t="s">
        <v>4388</v>
      </c>
      <c r="AB1405" t="s">
        <v>5491</v>
      </c>
      <c r="AE1405">
        <v>0</v>
      </c>
      <c r="AF1405" t="s">
        <v>7109</v>
      </c>
      <c r="AG1405" t="s">
        <v>3745</v>
      </c>
      <c r="AH1405">
        <v>0</v>
      </c>
      <c r="AI1405">
        <v>3</v>
      </c>
      <c r="AJ1405">
        <v>0</v>
      </c>
      <c r="AK1405">
        <v>211.94</v>
      </c>
      <c r="AN1405" t="s">
        <v>7139</v>
      </c>
      <c r="AO1405">
        <v>42728</v>
      </c>
      <c r="AU1405">
        <v>15.38</v>
      </c>
      <c r="AV1405" t="s">
        <v>234</v>
      </c>
      <c r="AW1405" t="s">
        <v>7368</v>
      </c>
    </row>
    <row r="1406" spans="1:49">
      <c r="A1406" s="1">
        <f>HYPERLINK("https://lsnyc.legalserver.org/matter/dynamic-profile/view/1879017","18-1879017")</f>
        <v>0</v>
      </c>
      <c r="B1406" t="s">
        <v>56</v>
      </c>
      <c r="C1406" t="s">
        <v>104</v>
      </c>
      <c r="D1406" t="s">
        <v>302</v>
      </c>
      <c r="E1406" t="s">
        <v>665</v>
      </c>
      <c r="F1406" t="s">
        <v>836</v>
      </c>
      <c r="G1406" t="s">
        <v>2272</v>
      </c>
      <c r="H1406" t="s">
        <v>2990</v>
      </c>
      <c r="I1406" t="s">
        <v>3306</v>
      </c>
      <c r="J1406" t="s">
        <v>3604</v>
      </c>
      <c r="K1406">
        <v>10032</v>
      </c>
      <c r="L1406" t="s">
        <v>3610</v>
      </c>
      <c r="M1406" t="s">
        <v>3610</v>
      </c>
      <c r="O1406" t="s">
        <v>4209</v>
      </c>
      <c r="P1406" t="s">
        <v>4245</v>
      </c>
      <c r="Q1406" t="s">
        <v>4249</v>
      </c>
      <c r="R1406" t="s">
        <v>4258</v>
      </c>
      <c r="U1406" t="s">
        <v>4268</v>
      </c>
      <c r="W1406" t="s">
        <v>302</v>
      </c>
      <c r="X1406">
        <v>2850</v>
      </c>
      <c r="Y1406" t="s">
        <v>4351</v>
      </c>
      <c r="AA1406" t="s">
        <v>4377</v>
      </c>
      <c r="AB1406" t="s">
        <v>5492</v>
      </c>
      <c r="AD1406" t="s">
        <v>6838</v>
      </c>
      <c r="AE1406">
        <v>0</v>
      </c>
      <c r="AH1406">
        <v>3</v>
      </c>
      <c r="AI1406">
        <v>2</v>
      </c>
      <c r="AJ1406">
        <v>1</v>
      </c>
      <c r="AK1406">
        <v>212.7</v>
      </c>
      <c r="AN1406" t="s">
        <v>7138</v>
      </c>
      <c r="AO1406">
        <v>44200</v>
      </c>
      <c r="AU1406">
        <v>1.7</v>
      </c>
      <c r="AV1406" t="s">
        <v>203</v>
      </c>
      <c r="AW1406" t="s">
        <v>7340</v>
      </c>
    </row>
    <row r="1407" spans="1:49">
      <c r="A1407" s="1">
        <f>HYPERLINK("https://lsnyc.legalserver.org/matter/dynamic-profile/view/1887229","19-1887229")</f>
        <v>0</v>
      </c>
      <c r="B1407" t="s">
        <v>69</v>
      </c>
      <c r="C1407" t="s">
        <v>104</v>
      </c>
      <c r="D1407" t="s">
        <v>270</v>
      </c>
      <c r="E1407" t="s">
        <v>159</v>
      </c>
      <c r="F1407" t="s">
        <v>1411</v>
      </c>
      <c r="G1407" t="s">
        <v>2273</v>
      </c>
      <c r="H1407" t="s">
        <v>3137</v>
      </c>
      <c r="I1407">
        <v>6</v>
      </c>
      <c r="J1407" t="s">
        <v>3604</v>
      </c>
      <c r="K1407">
        <v>10009</v>
      </c>
      <c r="L1407" t="s">
        <v>3610</v>
      </c>
      <c r="M1407" t="s">
        <v>3610</v>
      </c>
      <c r="N1407" t="s">
        <v>4106</v>
      </c>
      <c r="O1407" t="s">
        <v>4209</v>
      </c>
      <c r="P1407" t="s">
        <v>4241</v>
      </c>
      <c r="Q1407" t="s">
        <v>4255</v>
      </c>
      <c r="R1407" t="s">
        <v>4257</v>
      </c>
      <c r="S1407" t="s">
        <v>3611</v>
      </c>
      <c r="U1407" t="s">
        <v>4268</v>
      </c>
      <c r="V1407" t="s">
        <v>4276</v>
      </c>
      <c r="W1407" t="s">
        <v>270</v>
      </c>
      <c r="X1407">
        <v>687</v>
      </c>
      <c r="Y1407" t="s">
        <v>4351</v>
      </c>
      <c r="Z1407" t="s">
        <v>4355</v>
      </c>
      <c r="AA1407" t="s">
        <v>4398</v>
      </c>
      <c r="AB1407" t="s">
        <v>5493</v>
      </c>
      <c r="AD1407" t="s">
        <v>6839</v>
      </c>
      <c r="AE1407">
        <v>16</v>
      </c>
      <c r="AF1407" t="s">
        <v>7107</v>
      </c>
      <c r="AG1407" t="s">
        <v>3745</v>
      </c>
      <c r="AH1407">
        <v>25</v>
      </c>
      <c r="AI1407">
        <v>5</v>
      </c>
      <c r="AJ1407">
        <v>1</v>
      </c>
      <c r="AK1407">
        <v>213.4</v>
      </c>
      <c r="AL1407" t="s">
        <v>369</v>
      </c>
      <c r="AM1407" t="s">
        <v>7133</v>
      </c>
      <c r="AN1407" t="s">
        <v>7138</v>
      </c>
      <c r="AO1407">
        <v>72000</v>
      </c>
      <c r="AQ1407" t="s">
        <v>7204</v>
      </c>
      <c r="AR1407" t="s">
        <v>7205</v>
      </c>
      <c r="AS1407" t="s">
        <v>7231</v>
      </c>
      <c r="AT1407" t="s">
        <v>7275</v>
      </c>
      <c r="AU1407">
        <v>31.4</v>
      </c>
      <c r="AV1407" t="s">
        <v>387</v>
      </c>
      <c r="AW1407" t="s">
        <v>7341</v>
      </c>
    </row>
    <row r="1408" spans="1:49">
      <c r="A1408" s="1">
        <f>HYPERLINK("https://lsnyc.legalserver.org/matter/dynamic-profile/view/1887242","19-1887242")</f>
        <v>0</v>
      </c>
      <c r="B1408" t="s">
        <v>69</v>
      </c>
      <c r="C1408" t="s">
        <v>104</v>
      </c>
      <c r="D1408" t="s">
        <v>270</v>
      </c>
      <c r="E1408" t="s">
        <v>159</v>
      </c>
      <c r="F1408" t="s">
        <v>1411</v>
      </c>
      <c r="G1408" t="s">
        <v>2273</v>
      </c>
      <c r="H1408" t="s">
        <v>3137</v>
      </c>
      <c r="I1408">
        <v>6</v>
      </c>
      <c r="J1408" t="s">
        <v>3604</v>
      </c>
      <c r="K1408">
        <v>10009</v>
      </c>
      <c r="L1408" t="s">
        <v>3610</v>
      </c>
      <c r="M1408" t="s">
        <v>3610</v>
      </c>
      <c r="O1408" t="s">
        <v>4212</v>
      </c>
      <c r="P1408" t="s">
        <v>4244</v>
      </c>
      <c r="Q1408" t="s">
        <v>4252</v>
      </c>
      <c r="R1408" t="s">
        <v>4258</v>
      </c>
      <c r="S1408" t="s">
        <v>3611</v>
      </c>
      <c r="U1408" t="s">
        <v>4270</v>
      </c>
      <c r="V1408" t="s">
        <v>4276</v>
      </c>
      <c r="W1408" t="s">
        <v>270</v>
      </c>
      <c r="X1408">
        <v>687</v>
      </c>
      <c r="Y1408" t="s">
        <v>4351</v>
      </c>
      <c r="Z1408" t="s">
        <v>4355</v>
      </c>
      <c r="AA1408" t="s">
        <v>4392</v>
      </c>
      <c r="AB1408" t="s">
        <v>5493</v>
      </c>
      <c r="AD1408" t="s">
        <v>6839</v>
      </c>
      <c r="AE1408">
        <v>25</v>
      </c>
      <c r="AF1408" t="s">
        <v>7107</v>
      </c>
      <c r="AG1408" t="s">
        <v>3745</v>
      </c>
      <c r="AH1408">
        <v>16</v>
      </c>
      <c r="AI1408">
        <v>5</v>
      </c>
      <c r="AJ1408">
        <v>1</v>
      </c>
      <c r="AK1408">
        <v>213.4</v>
      </c>
      <c r="AL1408" t="s">
        <v>369</v>
      </c>
      <c r="AM1408" t="s">
        <v>7133</v>
      </c>
      <c r="AN1408" t="s">
        <v>7138</v>
      </c>
      <c r="AO1408">
        <v>72000</v>
      </c>
      <c r="AU1408">
        <v>0.1</v>
      </c>
      <c r="AV1408" t="s">
        <v>159</v>
      </c>
      <c r="AW1408" t="s">
        <v>7341</v>
      </c>
    </row>
    <row r="1409" spans="1:50">
      <c r="A1409" s="1">
        <f>HYPERLINK("https://lsnyc.legalserver.org/matter/dynamic-profile/view/1872350","18-1872350")</f>
        <v>0</v>
      </c>
      <c r="B1409" t="s">
        <v>62</v>
      </c>
      <c r="C1409" t="s">
        <v>104</v>
      </c>
      <c r="D1409" t="s">
        <v>310</v>
      </c>
      <c r="E1409" t="s">
        <v>440</v>
      </c>
      <c r="F1409" t="s">
        <v>988</v>
      </c>
      <c r="G1409" t="s">
        <v>2274</v>
      </c>
      <c r="H1409" t="s">
        <v>2544</v>
      </c>
      <c r="I1409" t="s">
        <v>3286</v>
      </c>
      <c r="J1409" t="s">
        <v>3604</v>
      </c>
      <c r="K1409">
        <v>10034</v>
      </c>
      <c r="L1409" t="s">
        <v>3610</v>
      </c>
      <c r="M1409" t="s">
        <v>3610</v>
      </c>
      <c r="O1409" t="s">
        <v>4209</v>
      </c>
      <c r="P1409" t="s">
        <v>4242</v>
      </c>
      <c r="Q1409" t="s">
        <v>4250</v>
      </c>
      <c r="R1409" t="s">
        <v>4258</v>
      </c>
      <c r="S1409" t="s">
        <v>3611</v>
      </c>
      <c r="U1409" t="s">
        <v>4268</v>
      </c>
      <c r="W1409" t="s">
        <v>310</v>
      </c>
      <c r="X1409">
        <v>2193.96</v>
      </c>
      <c r="Y1409" t="s">
        <v>4351</v>
      </c>
      <c r="Z1409" t="s">
        <v>4354</v>
      </c>
      <c r="AA1409" t="s">
        <v>4373</v>
      </c>
      <c r="AB1409" t="s">
        <v>5494</v>
      </c>
      <c r="AD1409" t="s">
        <v>6840</v>
      </c>
      <c r="AE1409">
        <v>69</v>
      </c>
      <c r="AF1409" t="s">
        <v>7101</v>
      </c>
      <c r="AG1409" t="s">
        <v>3745</v>
      </c>
      <c r="AH1409">
        <v>30</v>
      </c>
      <c r="AI1409">
        <v>1</v>
      </c>
      <c r="AJ1409">
        <v>0</v>
      </c>
      <c r="AK1409">
        <v>214.17</v>
      </c>
      <c r="AL1409" t="s">
        <v>561</v>
      </c>
      <c r="AM1409" t="s">
        <v>7134</v>
      </c>
      <c r="AN1409" t="s">
        <v>7138</v>
      </c>
      <c r="AO1409">
        <v>26000</v>
      </c>
      <c r="AU1409">
        <v>1.4</v>
      </c>
      <c r="AV1409" t="s">
        <v>216</v>
      </c>
      <c r="AW1409" t="s">
        <v>7342</v>
      </c>
    </row>
    <row r="1410" spans="1:50">
      <c r="A1410" s="1">
        <f>HYPERLINK("https://lsnyc.legalserver.org/matter/dynamic-profile/view/1881586","18-1881586")</f>
        <v>0</v>
      </c>
      <c r="B1410" t="s">
        <v>75</v>
      </c>
      <c r="C1410" t="s">
        <v>105</v>
      </c>
      <c r="D1410" t="s">
        <v>169</v>
      </c>
      <c r="F1410" t="s">
        <v>1412</v>
      </c>
      <c r="G1410" t="s">
        <v>1838</v>
      </c>
      <c r="H1410" t="s">
        <v>3138</v>
      </c>
      <c r="I1410">
        <v>54</v>
      </c>
      <c r="J1410" t="s">
        <v>3604</v>
      </c>
      <c r="K1410">
        <v>10031</v>
      </c>
      <c r="L1410" t="s">
        <v>3610</v>
      </c>
      <c r="M1410" t="s">
        <v>3610</v>
      </c>
      <c r="N1410" t="s">
        <v>4107</v>
      </c>
      <c r="O1410" t="s">
        <v>4209</v>
      </c>
      <c r="P1410" t="s">
        <v>4242</v>
      </c>
      <c r="R1410" t="s">
        <v>4258</v>
      </c>
      <c r="S1410" t="s">
        <v>3611</v>
      </c>
      <c r="U1410" t="s">
        <v>4268</v>
      </c>
      <c r="V1410" t="s">
        <v>4274</v>
      </c>
      <c r="W1410" t="s">
        <v>276</v>
      </c>
      <c r="X1410">
        <v>787.74</v>
      </c>
      <c r="Y1410" t="s">
        <v>4351</v>
      </c>
      <c r="Z1410" t="s">
        <v>4357</v>
      </c>
      <c r="AB1410" t="s">
        <v>5495</v>
      </c>
      <c r="AD1410" t="s">
        <v>6841</v>
      </c>
      <c r="AE1410">
        <v>0</v>
      </c>
      <c r="AF1410" t="s">
        <v>7101</v>
      </c>
      <c r="AG1410" t="s">
        <v>3745</v>
      </c>
      <c r="AH1410">
        <v>33</v>
      </c>
      <c r="AI1410">
        <v>1</v>
      </c>
      <c r="AJ1410">
        <v>0</v>
      </c>
      <c r="AK1410">
        <v>214.17</v>
      </c>
      <c r="AN1410" t="s">
        <v>7139</v>
      </c>
      <c r="AO1410">
        <v>26000</v>
      </c>
      <c r="AU1410">
        <v>0.6</v>
      </c>
      <c r="AV1410" t="s">
        <v>262</v>
      </c>
      <c r="AW1410" t="s">
        <v>7344</v>
      </c>
    </row>
    <row r="1411" spans="1:50">
      <c r="A1411" s="1">
        <f>HYPERLINK("https://lsnyc.legalserver.org/matter/dynamic-profile/view/1873521","18-1873521")</f>
        <v>0</v>
      </c>
      <c r="B1411" t="s">
        <v>54</v>
      </c>
      <c r="C1411" t="s">
        <v>104</v>
      </c>
      <c r="D1411" t="s">
        <v>490</v>
      </c>
      <c r="E1411" t="s">
        <v>168</v>
      </c>
      <c r="F1411" t="s">
        <v>1413</v>
      </c>
      <c r="G1411" t="s">
        <v>1643</v>
      </c>
      <c r="H1411" t="s">
        <v>2694</v>
      </c>
      <c r="I1411" t="s">
        <v>3463</v>
      </c>
      <c r="J1411" t="s">
        <v>3604</v>
      </c>
      <c r="K1411">
        <v>10030</v>
      </c>
      <c r="L1411" t="s">
        <v>3610</v>
      </c>
      <c r="M1411" t="s">
        <v>3610</v>
      </c>
      <c r="N1411" t="s">
        <v>4108</v>
      </c>
      <c r="O1411" t="s">
        <v>4209</v>
      </c>
      <c r="P1411" t="s">
        <v>4242</v>
      </c>
      <c r="Q1411" t="s">
        <v>4250</v>
      </c>
      <c r="R1411" t="s">
        <v>4258</v>
      </c>
      <c r="S1411" t="s">
        <v>3611</v>
      </c>
      <c r="U1411" t="s">
        <v>4268</v>
      </c>
      <c r="W1411" t="s">
        <v>490</v>
      </c>
      <c r="X1411">
        <v>939</v>
      </c>
      <c r="Y1411" t="s">
        <v>4351</v>
      </c>
      <c r="Z1411" t="s">
        <v>4354</v>
      </c>
      <c r="AA1411" t="s">
        <v>4373</v>
      </c>
      <c r="AB1411" t="s">
        <v>5496</v>
      </c>
      <c r="AD1411" t="s">
        <v>6842</v>
      </c>
      <c r="AE1411">
        <v>0</v>
      </c>
      <c r="AF1411" t="s">
        <v>7105</v>
      </c>
      <c r="AG1411" t="s">
        <v>3745</v>
      </c>
      <c r="AH1411">
        <v>2</v>
      </c>
      <c r="AI1411">
        <v>1</v>
      </c>
      <c r="AJ1411">
        <v>0</v>
      </c>
      <c r="AK1411">
        <v>214.17</v>
      </c>
      <c r="AL1411" t="s">
        <v>561</v>
      </c>
      <c r="AM1411" t="s">
        <v>7134</v>
      </c>
      <c r="AN1411" t="s">
        <v>7138</v>
      </c>
      <c r="AO1411">
        <v>26000</v>
      </c>
      <c r="AU1411">
        <v>0.1</v>
      </c>
      <c r="AV1411" t="s">
        <v>168</v>
      </c>
      <c r="AW1411" t="s">
        <v>7344</v>
      </c>
    </row>
    <row r="1412" spans="1:50">
      <c r="A1412" s="1">
        <f>HYPERLINK("https://lsnyc.legalserver.org/matter/dynamic-profile/view/1891912","19-1891912")</f>
        <v>0</v>
      </c>
      <c r="B1412" t="s">
        <v>68</v>
      </c>
      <c r="C1412" t="s">
        <v>104</v>
      </c>
      <c r="D1412" t="s">
        <v>148</v>
      </c>
      <c r="E1412" t="s">
        <v>660</v>
      </c>
      <c r="F1412" t="s">
        <v>1233</v>
      </c>
      <c r="G1412" t="s">
        <v>1746</v>
      </c>
      <c r="H1412" t="s">
        <v>3139</v>
      </c>
      <c r="I1412" t="s">
        <v>3360</v>
      </c>
      <c r="J1412" t="s">
        <v>3604</v>
      </c>
      <c r="K1412">
        <v>10035</v>
      </c>
      <c r="L1412" t="s">
        <v>3610</v>
      </c>
      <c r="M1412" t="s">
        <v>3610</v>
      </c>
      <c r="O1412" t="s">
        <v>4211</v>
      </c>
      <c r="P1412" t="s">
        <v>4242</v>
      </c>
      <c r="Q1412" t="s">
        <v>4250</v>
      </c>
      <c r="R1412" t="s">
        <v>4258</v>
      </c>
      <c r="S1412" t="s">
        <v>3611</v>
      </c>
      <c r="U1412" t="s">
        <v>4268</v>
      </c>
      <c r="V1412" t="s">
        <v>4274</v>
      </c>
      <c r="W1412" t="s">
        <v>611</v>
      </c>
      <c r="X1412">
        <v>1706</v>
      </c>
      <c r="Y1412" t="s">
        <v>4351</v>
      </c>
      <c r="Z1412" t="s">
        <v>4358</v>
      </c>
      <c r="AA1412" t="s">
        <v>4373</v>
      </c>
      <c r="AB1412" t="s">
        <v>5497</v>
      </c>
      <c r="AD1412" t="s">
        <v>6843</v>
      </c>
      <c r="AE1412">
        <v>160</v>
      </c>
      <c r="AF1412" t="s">
        <v>7101</v>
      </c>
      <c r="AG1412" t="s">
        <v>3745</v>
      </c>
      <c r="AH1412">
        <v>1</v>
      </c>
      <c r="AI1412">
        <v>1</v>
      </c>
      <c r="AJ1412">
        <v>1</v>
      </c>
      <c r="AK1412">
        <v>214.72</v>
      </c>
      <c r="AN1412" t="s">
        <v>7138</v>
      </c>
      <c r="AO1412">
        <v>36309</v>
      </c>
      <c r="AU1412">
        <v>2.5</v>
      </c>
      <c r="AV1412" t="s">
        <v>611</v>
      </c>
      <c r="AW1412" t="s">
        <v>7343</v>
      </c>
    </row>
    <row r="1413" spans="1:50">
      <c r="A1413" s="1">
        <f>HYPERLINK("https://lsnyc.legalserver.org/matter/dynamic-profile/view/1891226","19-1891226")</f>
        <v>0</v>
      </c>
      <c r="B1413" t="s">
        <v>63</v>
      </c>
      <c r="C1413" t="s">
        <v>104</v>
      </c>
      <c r="D1413" t="s">
        <v>567</v>
      </c>
      <c r="E1413" t="s">
        <v>396</v>
      </c>
      <c r="F1413" t="s">
        <v>1414</v>
      </c>
      <c r="G1413" t="s">
        <v>1036</v>
      </c>
      <c r="H1413" t="s">
        <v>3140</v>
      </c>
      <c r="I1413" t="s">
        <v>3365</v>
      </c>
      <c r="J1413" t="s">
        <v>3604</v>
      </c>
      <c r="K1413">
        <v>10034</v>
      </c>
      <c r="L1413" t="s">
        <v>3610</v>
      </c>
      <c r="M1413" t="s">
        <v>3610</v>
      </c>
      <c r="P1413" t="s">
        <v>4242</v>
      </c>
      <c r="Q1413" t="s">
        <v>4250</v>
      </c>
      <c r="R1413" t="s">
        <v>4258</v>
      </c>
      <c r="S1413" t="s">
        <v>3611</v>
      </c>
      <c r="U1413" t="s">
        <v>4268</v>
      </c>
      <c r="W1413" t="s">
        <v>567</v>
      </c>
      <c r="X1413">
        <v>2397</v>
      </c>
      <c r="Y1413" t="s">
        <v>4351</v>
      </c>
      <c r="Z1413" t="s">
        <v>4354</v>
      </c>
      <c r="AA1413" t="s">
        <v>4373</v>
      </c>
      <c r="AB1413" t="s">
        <v>5498</v>
      </c>
      <c r="AD1413" t="s">
        <v>6844</v>
      </c>
      <c r="AE1413">
        <v>0</v>
      </c>
      <c r="AF1413" t="s">
        <v>7101</v>
      </c>
      <c r="AG1413" t="s">
        <v>3745</v>
      </c>
      <c r="AH1413">
        <v>3</v>
      </c>
      <c r="AI1413">
        <v>3</v>
      </c>
      <c r="AJ1413">
        <v>2</v>
      </c>
      <c r="AK1413">
        <v>215.45</v>
      </c>
      <c r="AN1413" t="s">
        <v>7138</v>
      </c>
      <c r="AO1413">
        <v>65000</v>
      </c>
      <c r="AU1413">
        <v>0.1</v>
      </c>
      <c r="AV1413" t="s">
        <v>7289</v>
      </c>
      <c r="AW1413" t="s">
        <v>7342</v>
      </c>
      <c r="AX1413" t="s">
        <v>7377</v>
      </c>
    </row>
    <row r="1414" spans="1:50">
      <c r="A1414" s="1">
        <f>HYPERLINK("https://lsnyc.legalserver.org/matter/dynamic-profile/view/1841867","17-1841867")</f>
        <v>0</v>
      </c>
      <c r="B1414" t="s">
        <v>53</v>
      </c>
      <c r="C1414" t="s">
        <v>104</v>
      </c>
      <c r="D1414" t="s">
        <v>210</v>
      </c>
      <c r="E1414" t="s">
        <v>109</v>
      </c>
      <c r="F1414" t="s">
        <v>1170</v>
      </c>
      <c r="G1414" t="s">
        <v>2275</v>
      </c>
      <c r="H1414" t="s">
        <v>2462</v>
      </c>
      <c r="I1414" t="s">
        <v>3430</v>
      </c>
      <c r="J1414" t="s">
        <v>3604</v>
      </c>
      <c r="K1414">
        <v>10040</v>
      </c>
      <c r="L1414" t="s">
        <v>3610</v>
      </c>
      <c r="M1414" t="s">
        <v>3611</v>
      </c>
      <c r="N1414" t="s">
        <v>3669</v>
      </c>
      <c r="O1414" t="s">
        <v>4213</v>
      </c>
      <c r="P1414" t="s">
        <v>4242</v>
      </c>
      <c r="Q1414" t="s">
        <v>4250</v>
      </c>
      <c r="R1414" t="s">
        <v>4258</v>
      </c>
      <c r="S1414" t="s">
        <v>3610</v>
      </c>
      <c r="U1414" t="s">
        <v>4268</v>
      </c>
      <c r="W1414" t="s">
        <v>133</v>
      </c>
      <c r="X1414">
        <v>1122.6</v>
      </c>
      <c r="Y1414" t="s">
        <v>4351</v>
      </c>
      <c r="Z1414" t="s">
        <v>4354</v>
      </c>
      <c r="AA1414" t="s">
        <v>4373</v>
      </c>
      <c r="AB1414" t="s">
        <v>5499</v>
      </c>
      <c r="AD1414" t="s">
        <v>6845</v>
      </c>
      <c r="AE1414">
        <v>31</v>
      </c>
      <c r="AF1414" t="s">
        <v>7101</v>
      </c>
      <c r="AG1414" t="s">
        <v>3745</v>
      </c>
      <c r="AH1414">
        <v>1</v>
      </c>
      <c r="AI1414">
        <v>1</v>
      </c>
      <c r="AJ1414">
        <v>0</v>
      </c>
      <c r="AK1414">
        <v>215.59</v>
      </c>
      <c r="AN1414" t="s">
        <v>7138</v>
      </c>
      <c r="AO1414">
        <v>26000</v>
      </c>
      <c r="AU1414">
        <v>0.9</v>
      </c>
      <c r="AV1414" t="s">
        <v>109</v>
      </c>
      <c r="AW1414" t="s">
        <v>7342</v>
      </c>
    </row>
    <row r="1415" spans="1:50">
      <c r="A1415" s="1">
        <f>HYPERLINK("https://lsnyc.legalserver.org/matter/dynamic-profile/view/1903247","19-1903247")</f>
        <v>0</v>
      </c>
      <c r="B1415" t="s">
        <v>53</v>
      </c>
      <c r="C1415" t="s">
        <v>105</v>
      </c>
      <c r="D1415" t="s">
        <v>396</v>
      </c>
      <c r="F1415" t="s">
        <v>747</v>
      </c>
      <c r="G1415" t="s">
        <v>2226</v>
      </c>
      <c r="H1415" t="s">
        <v>2729</v>
      </c>
      <c r="I1415">
        <v>34</v>
      </c>
      <c r="J1415" t="s">
        <v>3604</v>
      </c>
      <c r="K1415">
        <v>10039</v>
      </c>
      <c r="L1415" t="s">
        <v>3610</v>
      </c>
      <c r="M1415" t="s">
        <v>3609</v>
      </c>
      <c r="N1415" t="s">
        <v>4109</v>
      </c>
      <c r="O1415" t="s">
        <v>4225</v>
      </c>
      <c r="P1415" t="s">
        <v>4241</v>
      </c>
      <c r="R1415" t="s">
        <v>4258</v>
      </c>
      <c r="S1415" t="s">
        <v>3610</v>
      </c>
      <c r="U1415" t="s">
        <v>4268</v>
      </c>
      <c r="V1415" t="s">
        <v>4274</v>
      </c>
      <c r="W1415" t="s">
        <v>396</v>
      </c>
      <c r="X1415">
        <v>1600</v>
      </c>
      <c r="Y1415" t="s">
        <v>4351</v>
      </c>
      <c r="Z1415" t="s">
        <v>4357</v>
      </c>
      <c r="AB1415" t="s">
        <v>5407</v>
      </c>
      <c r="AD1415" t="s">
        <v>6761</v>
      </c>
      <c r="AE1415">
        <v>34</v>
      </c>
      <c r="AF1415" t="s">
        <v>7103</v>
      </c>
      <c r="AG1415" t="s">
        <v>3745</v>
      </c>
      <c r="AH1415">
        <v>4</v>
      </c>
      <c r="AI1415">
        <v>1</v>
      </c>
      <c r="AJ1415">
        <v>0</v>
      </c>
      <c r="AK1415">
        <v>215.69</v>
      </c>
      <c r="AN1415" t="s">
        <v>7138</v>
      </c>
      <c r="AO1415">
        <v>26940</v>
      </c>
      <c r="AU1415">
        <v>2.5</v>
      </c>
      <c r="AV1415" t="s">
        <v>689</v>
      </c>
      <c r="AW1415" t="s">
        <v>7341</v>
      </c>
      <c r="AX1415" t="s">
        <v>7377</v>
      </c>
    </row>
    <row r="1416" spans="1:50">
      <c r="A1416" s="1">
        <f>HYPERLINK("https://lsnyc.legalserver.org/matter/dynamic-profile/view/0832172","17-0832172")</f>
        <v>0</v>
      </c>
      <c r="B1416" t="s">
        <v>63</v>
      </c>
      <c r="C1416" t="s">
        <v>104</v>
      </c>
      <c r="D1416" t="s">
        <v>621</v>
      </c>
      <c r="E1416" t="s">
        <v>561</v>
      </c>
      <c r="F1416" t="s">
        <v>1186</v>
      </c>
      <c r="G1416" t="s">
        <v>2276</v>
      </c>
      <c r="H1416" t="s">
        <v>2647</v>
      </c>
      <c r="I1416">
        <v>62</v>
      </c>
      <c r="J1416" t="s">
        <v>3604</v>
      </c>
      <c r="K1416">
        <v>10033</v>
      </c>
      <c r="L1416" t="s">
        <v>3610</v>
      </c>
      <c r="M1416" t="s">
        <v>3609</v>
      </c>
      <c r="N1416" t="s">
        <v>3736</v>
      </c>
      <c r="O1416" t="s">
        <v>4225</v>
      </c>
      <c r="P1416" t="s">
        <v>4241</v>
      </c>
      <c r="Q1416" t="s">
        <v>4248</v>
      </c>
      <c r="R1416" t="s">
        <v>4258</v>
      </c>
      <c r="S1416" t="s">
        <v>3610</v>
      </c>
      <c r="U1416" t="s">
        <v>4268</v>
      </c>
      <c r="W1416" t="s">
        <v>621</v>
      </c>
      <c r="X1416">
        <v>1235.07</v>
      </c>
      <c r="Y1416" t="s">
        <v>4351</v>
      </c>
      <c r="Z1416" t="s">
        <v>4352</v>
      </c>
      <c r="AA1416" t="s">
        <v>4378</v>
      </c>
      <c r="AB1416" t="s">
        <v>5500</v>
      </c>
      <c r="AD1416" t="s">
        <v>6846</v>
      </c>
      <c r="AE1416">
        <v>0</v>
      </c>
      <c r="AF1416" t="s">
        <v>7101</v>
      </c>
      <c r="AG1416" t="s">
        <v>3745</v>
      </c>
      <c r="AH1416">
        <v>36</v>
      </c>
      <c r="AI1416">
        <v>2</v>
      </c>
      <c r="AJ1416">
        <v>0</v>
      </c>
      <c r="AK1416">
        <v>215.95</v>
      </c>
      <c r="AL1416" t="s">
        <v>7130</v>
      </c>
      <c r="AN1416" t="s">
        <v>7138</v>
      </c>
      <c r="AO1416">
        <v>35070.6</v>
      </c>
      <c r="AU1416">
        <v>37.7</v>
      </c>
      <c r="AV1416" t="s">
        <v>435</v>
      </c>
      <c r="AW1416" t="s">
        <v>7341</v>
      </c>
    </row>
    <row r="1417" spans="1:50">
      <c r="A1417" s="1">
        <f>HYPERLINK("https://lsnyc.legalserver.org/matter/dynamic-profile/view/1840401","17-1840401")</f>
        <v>0</v>
      </c>
      <c r="B1417" t="s">
        <v>63</v>
      </c>
      <c r="C1417" t="s">
        <v>104</v>
      </c>
      <c r="D1417" t="s">
        <v>297</v>
      </c>
      <c r="E1417" t="s">
        <v>435</v>
      </c>
      <c r="F1417" t="s">
        <v>1186</v>
      </c>
      <c r="G1417" t="s">
        <v>2276</v>
      </c>
      <c r="H1417" t="s">
        <v>2647</v>
      </c>
      <c r="I1417">
        <v>62</v>
      </c>
      <c r="J1417" t="s">
        <v>3604</v>
      </c>
      <c r="K1417">
        <v>10033</v>
      </c>
      <c r="L1417" t="s">
        <v>3610</v>
      </c>
      <c r="M1417" t="s">
        <v>3609</v>
      </c>
      <c r="O1417" t="s">
        <v>4220</v>
      </c>
      <c r="P1417" t="s">
        <v>4241</v>
      </c>
      <c r="Q1417" t="s">
        <v>4252</v>
      </c>
      <c r="R1417" t="s">
        <v>4258</v>
      </c>
      <c r="S1417" t="s">
        <v>3611</v>
      </c>
      <c r="U1417" t="s">
        <v>4268</v>
      </c>
      <c r="W1417" t="s">
        <v>297</v>
      </c>
      <c r="X1417">
        <v>1235.07</v>
      </c>
      <c r="Y1417" t="s">
        <v>4351</v>
      </c>
      <c r="Z1417" t="s">
        <v>4354</v>
      </c>
      <c r="AA1417" t="s">
        <v>4379</v>
      </c>
      <c r="AB1417" t="s">
        <v>5500</v>
      </c>
      <c r="AD1417" t="s">
        <v>6846</v>
      </c>
      <c r="AE1417">
        <v>33</v>
      </c>
      <c r="AF1417" t="s">
        <v>7101</v>
      </c>
      <c r="AG1417" t="s">
        <v>3745</v>
      </c>
      <c r="AH1417">
        <v>36</v>
      </c>
      <c r="AI1417">
        <v>2</v>
      </c>
      <c r="AJ1417">
        <v>0</v>
      </c>
      <c r="AK1417">
        <v>215.95</v>
      </c>
      <c r="AL1417" t="s">
        <v>7124</v>
      </c>
      <c r="AN1417" t="s">
        <v>7139</v>
      </c>
      <c r="AO1417">
        <v>35070.6</v>
      </c>
      <c r="AU1417">
        <v>5.7</v>
      </c>
      <c r="AV1417" t="s">
        <v>464</v>
      </c>
      <c r="AW1417" t="s">
        <v>7342</v>
      </c>
    </row>
    <row r="1418" spans="1:50">
      <c r="A1418" s="1">
        <f>HYPERLINK("https://lsnyc.legalserver.org/matter/dynamic-profile/view/1892656","19-1892656")</f>
        <v>0</v>
      </c>
      <c r="B1418" t="s">
        <v>64</v>
      </c>
      <c r="C1418" t="s">
        <v>104</v>
      </c>
      <c r="D1418" t="s">
        <v>190</v>
      </c>
      <c r="E1418" t="s">
        <v>253</v>
      </c>
      <c r="F1418" t="s">
        <v>975</v>
      </c>
      <c r="G1418" t="s">
        <v>2277</v>
      </c>
      <c r="H1418" t="s">
        <v>3141</v>
      </c>
      <c r="I1418" t="s">
        <v>3458</v>
      </c>
      <c r="J1418" t="s">
        <v>3604</v>
      </c>
      <c r="K1418">
        <v>10033</v>
      </c>
      <c r="L1418" t="s">
        <v>3610</v>
      </c>
      <c r="M1418" t="s">
        <v>3610</v>
      </c>
      <c r="P1418" t="s">
        <v>4245</v>
      </c>
      <c r="Q1418" t="s">
        <v>4249</v>
      </c>
      <c r="R1418" t="s">
        <v>4258</v>
      </c>
      <c r="S1418" t="s">
        <v>3611</v>
      </c>
      <c r="U1418" t="s">
        <v>4268</v>
      </c>
      <c r="W1418" t="s">
        <v>190</v>
      </c>
      <c r="X1418">
        <v>1428</v>
      </c>
      <c r="Y1418" t="s">
        <v>4351</v>
      </c>
      <c r="Z1418" t="s">
        <v>4354</v>
      </c>
      <c r="AA1418" t="s">
        <v>4384</v>
      </c>
      <c r="AB1418" t="s">
        <v>5501</v>
      </c>
      <c r="AD1418" t="s">
        <v>6847</v>
      </c>
      <c r="AE1418">
        <v>54</v>
      </c>
      <c r="AF1418" t="s">
        <v>7101</v>
      </c>
      <c r="AG1418" t="s">
        <v>3745</v>
      </c>
      <c r="AH1418">
        <v>20</v>
      </c>
      <c r="AI1418">
        <v>1</v>
      </c>
      <c r="AJ1418">
        <v>0</v>
      </c>
      <c r="AK1418">
        <v>216.17</v>
      </c>
      <c r="AN1418" t="s">
        <v>7138</v>
      </c>
      <c r="AO1418">
        <v>27000</v>
      </c>
      <c r="AU1418">
        <v>8.9</v>
      </c>
      <c r="AV1418" t="s">
        <v>390</v>
      </c>
      <c r="AW1418" t="s">
        <v>7342</v>
      </c>
    </row>
    <row r="1419" spans="1:50">
      <c r="A1419" s="1">
        <f>HYPERLINK("https://lsnyc.legalserver.org/matter/dynamic-profile/view/1853675","17-1853675")</f>
        <v>0</v>
      </c>
      <c r="B1419" t="s">
        <v>55</v>
      </c>
      <c r="C1419" t="s">
        <v>104</v>
      </c>
      <c r="D1419" t="s">
        <v>374</v>
      </c>
      <c r="E1419" t="s">
        <v>303</v>
      </c>
      <c r="F1419" t="s">
        <v>1415</v>
      </c>
      <c r="G1419" t="s">
        <v>1707</v>
      </c>
      <c r="H1419" t="s">
        <v>2596</v>
      </c>
      <c r="I1419" t="s">
        <v>3545</v>
      </c>
      <c r="J1419" t="s">
        <v>3604</v>
      </c>
      <c r="K1419">
        <v>10037</v>
      </c>
      <c r="L1419" t="s">
        <v>3610</v>
      </c>
      <c r="M1419" t="s">
        <v>3610</v>
      </c>
      <c r="O1419" t="s">
        <v>4211</v>
      </c>
      <c r="P1419" t="s">
        <v>4244</v>
      </c>
      <c r="Q1419" t="s">
        <v>4254</v>
      </c>
      <c r="R1419" t="s">
        <v>4258</v>
      </c>
      <c r="S1419" t="s">
        <v>3611</v>
      </c>
      <c r="T1419" t="s">
        <v>4259</v>
      </c>
      <c r="U1419" t="s">
        <v>4268</v>
      </c>
      <c r="V1419" t="s">
        <v>4274</v>
      </c>
      <c r="W1419" t="s">
        <v>379</v>
      </c>
      <c r="X1419">
        <v>1400</v>
      </c>
      <c r="Y1419" t="s">
        <v>4351</v>
      </c>
      <c r="Z1419" t="s">
        <v>4354</v>
      </c>
      <c r="AA1419" t="s">
        <v>4377</v>
      </c>
      <c r="AB1419" t="s">
        <v>5502</v>
      </c>
      <c r="AD1419" t="s">
        <v>6848</v>
      </c>
      <c r="AE1419">
        <v>108</v>
      </c>
      <c r="AF1419" t="s">
        <v>7101</v>
      </c>
      <c r="AG1419" t="s">
        <v>7116</v>
      </c>
      <c r="AH1419">
        <v>34</v>
      </c>
      <c r="AI1419">
        <v>1</v>
      </c>
      <c r="AJ1419">
        <v>0</v>
      </c>
      <c r="AK1419">
        <v>216.42</v>
      </c>
      <c r="AL1419" t="s">
        <v>509</v>
      </c>
      <c r="AN1419" t="s">
        <v>7138</v>
      </c>
      <c r="AO1419">
        <v>26100</v>
      </c>
      <c r="AU1419">
        <v>12.4</v>
      </c>
      <c r="AV1419" t="s">
        <v>372</v>
      </c>
      <c r="AW1419" t="s">
        <v>7341</v>
      </c>
    </row>
    <row r="1420" spans="1:50">
      <c r="A1420" s="1">
        <f>HYPERLINK("https://lsnyc.legalserver.org/matter/dynamic-profile/view/1865297","18-1865297")</f>
        <v>0</v>
      </c>
      <c r="B1420" t="s">
        <v>66</v>
      </c>
      <c r="C1420" t="s">
        <v>105</v>
      </c>
      <c r="D1420" t="s">
        <v>622</v>
      </c>
      <c r="F1420" t="s">
        <v>1416</v>
      </c>
      <c r="G1420" t="s">
        <v>1587</v>
      </c>
      <c r="H1420" t="s">
        <v>3014</v>
      </c>
      <c r="I1420" t="s">
        <v>3546</v>
      </c>
      <c r="J1420" t="s">
        <v>3604</v>
      </c>
      <c r="K1420">
        <v>10033</v>
      </c>
      <c r="L1420" t="s">
        <v>3610</v>
      </c>
      <c r="M1420" t="s">
        <v>3609</v>
      </c>
      <c r="O1420" t="s">
        <v>4209</v>
      </c>
      <c r="P1420" t="s">
        <v>4244</v>
      </c>
      <c r="R1420" t="s">
        <v>4258</v>
      </c>
      <c r="S1420" t="s">
        <v>3611</v>
      </c>
      <c r="U1420" t="s">
        <v>4268</v>
      </c>
      <c r="V1420" t="s">
        <v>4274</v>
      </c>
      <c r="W1420" t="s">
        <v>622</v>
      </c>
      <c r="X1420">
        <v>2070</v>
      </c>
      <c r="Y1420" t="s">
        <v>4351</v>
      </c>
      <c r="Z1420" t="s">
        <v>4356</v>
      </c>
      <c r="AB1420" t="s">
        <v>5503</v>
      </c>
      <c r="AD1420" t="s">
        <v>6849</v>
      </c>
      <c r="AE1420">
        <v>0</v>
      </c>
      <c r="AG1420" t="s">
        <v>3745</v>
      </c>
      <c r="AH1420">
        <v>7</v>
      </c>
      <c r="AI1420">
        <v>4</v>
      </c>
      <c r="AJ1420">
        <v>1</v>
      </c>
      <c r="AK1420">
        <v>217.4</v>
      </c>
      <c r="AN1420" t="s">
        <v>7139</v>
      </c>
      <c r="AO1420">
        <v>126040</v>
      </c>
      <c r="AU1420">
        <v>37.4</v>
      </c>
      <c r="AV1420" t="s">
        <v>7293</v>
      </c>
      <c r="AW1420" t="s">
        <v>7344</v>
      </c>
    </row>
    <row r="1421" spans="1:50">
      <c r="A1421" s="1">
        <f>HYPERLINK("https://lsnyc.legalserver.org/matter/dynamic-profile/view/1871560","18-1871560")</f>
        <v>0</v>
      </c>
      <c r="B1421" t="s">
        <v>61</v>
      </c>
      <c r="C1421" t="s">
        <v>105</v>
      </c>
      <c r="D1421" t="s">
        <v>119</v>
      </c>
      <c r="F1421" t="s">
        <v>1016</v>
      </c>
      <c r="G1421" t="s">
        <v>2278</v>
      </c>
      <c r="H1421" t="s">
        <v>2472</v>
      </c>
      <c r="I1421" t="s">
        <v>3314</v>
      </c>
      <c r="J1421" t="s">
        <v>3604</v>
      </c>
      <c r="K1421">
        <v>10034</v>
      </c>
      <c r="L1421" t="s">
        <v>3610</v>
      </c>
      <c r="M1421" t="s">
        <v>3610</v>
      </c>
      <c r="N1421" t="s">
        <v>3619</v>
      </c>
      <c r="O1421" t="s">
        <v>4213</v>
      </c>
      <c r="P1421" t="s">
        <v>4241</v>
      </c>
      <c r="R1421" t="s">
        <v>4258</v>
      </c>
      <c r="S1421" t="s">
        <v>3610</v>
      </c>
      <c r="U1421" t="s">
        <v>4268</v>
      </c>
      <c r="W1421" t="s">
        <v>119</v>
      </c>
      <c r="X1421">
        <v>1926</v>
      </c>
      <c r="Y1421" t="s">
        <v>4351</v>
      </c>
      <c r="Z1421" t="s">
        <v>4354</v>
      </c>
      <c r="AB1421" t="s">
        <v>5504</v>
      </c>
      <c r="AD1421" t="s">
        <v>6850</v>
      </c>
      <c r="AE1421">
        <v>67</v>
      </c>
      <c r="AF1421" t="s">
        <v>7101</v>
      </c>
      <c r="AG1421" t="s">
        <v>3745</v>
      </c>
      <c r="AH1421">
        <v>10</v>
      </c>
      <c r="AI1421">
        <v>2</v>
      </c>
      <c r="AJ1421">
        <v>0</v>
      </c>
      <c r="AK1421">
        <v>217.65</v>
      </c>
      <c r="AN1421" t="s">
        <v>7138</v>
      </c>
      <c r="AO1421">
        <v>35824.6</v>
      </c>
      <c r="AU1421">
        <v>0.4</v>
      </c>
      <c r="AV1421" t="s">
        <v>4293</v>
      </c>
      <c r="AW1421" t="s">
        <v>7342</v>
      </c>
      <c r="AX1421" t="s">
        <v>7377</v>
      </c>
    </row>
    <row r="1422" spans="1:50">
      <c r="A1422" s="1">
        <f>HYPERLINK("https://lsnyc.legalserver.org/matter/dynamic-profile/view/1835587","17-1835587")</f>
        <v>0</v>
      </c>
      <c r="B1422" t="s">
        <v>61</v>
      </c>
      <c r="C1422" t="s">
        <v>104</v>
      </c>
      <c r="D1422" t="s">
        <v>121</v>
      </c>
      <c r="E1422" t="s">
        <v>662</v>
      </c>
      <c r="F1422" t="s">
        <v>747</v>
      </c>
      <c r="G1422" t="s">
        <v>2279</v>
      </c>
      <c r="H1422" t="s">
        <v>3142</v>
      </c>
      <c r="I1422" t="s">
        <v>3315</v>
      </c>
      <c r="J1422" t="s">
        <v>3604</v>
      </c>
      <c r="K1422">
        <v>10034</v>
      </c>
      <c r="L1422" t="s">
        <v>3610</v>
      </c>
      <c r="M1422" t="s">
        <v>3609</v>
      </c>
      <c r="O1422" t="s">
        <v>4211</v>
      </c>
      <c r="P1422" t="s">
        <v>4244</v>
      </c>
      <c r="Q1422" t="s">
        <v>4251</v>
      </c>
      <c r="R1422" t="s">
        <v>4258</v>
      </c>
      <c r="S1422" t="s">
        <v>3611</v>
      </c>
      <c r="U1422" t="s">
        <v>4268</v>
      </c>
      <c r="W1422" t="s">
        <v>121</v>
      </c>
      <c r="X1422">
        <v>1200</v>
      </c>
      <c r="Y1422" t="s">
        <v>4351</v>
      </c>
      <c r="Z1422" t="s">
        <v>4354</v>
      </c>
      <c r="AA1422" t="s">
        <v>4377</v>
      </c>
      <c r="AB1422" t="s">
        <v>5505</v>
      </c>
      <c r="AD1422" t="s">
        <v>6851</v>
      </c>
      <c r="AE1422">
        <v>40</v>
      </c>
      <c r="AF1422" t="s">
        <v>7101</v>
      </c>
      <c r="AG1422" t="s">
        <v>3745</v>
      </c>
      <c r="AH1422">
        <v>40</v>
      </c>
      <c r="AI1422">
        <v>1</v>
      </c>
      <c r="AJ1422">
        <v>0</v>
      </c>
      <c r="AK1422">
        <v>218.91</v>
      </c>
      <c r="AL1422" t="s">
        <v>7130</v>
      </c>
      <c r="AN1422" t="s">
        <v>7138</v>
      </c>
      <c r="AO1422">
        <v>26400</v>
      </c>
      <c r="AU1422">
        <v>11.5</v>
      </c>
      <c r="AV1422" t="s">
        <v>180</v>
      </c>
      <c r="AW1422" t="s">
        <v>7341</v>
      </c>
    </row>
    <row r="1423" spans="1:50">
      <c r="A1423" s="1">
        <f>HYPERLINK("https://lsnyc.legalserver.org/matter/dynamic-profile/view/1845669","17-1845669")</f>
        <v>0</v>
      </c>
      <c r="B1423" t="s">
        <v>61</v>
      </c>
      <c r="C1423" t="s">
        <v>105</v>
      </c>
      <c r="D1423" t="s">
        <v>367</v>
      </c>
      <c r="F1423" t="s">
        <v>1417</v>
      </c>
      <c r="G1423" t="s">
        <v>2280</v>
      </c>
      <c r="H1423" t="s">
        <v>2537</v>
      </c>
      <c r="I1423">
        <v>52</v>
      </c>
      <c r="J1423" t="s">
        <v>3604</v>
      </c>
      <c r="K1423">
        <v>10034</v>
      </c>
      <c r="L1423" t="s">
        <v>3610</v>
      </c>
      <c r="M1423" t="s">
        <v>3609</v>
      </c>
      <c r="N1423" t="s">
        <v>4110</v>
      </c>
      <c r="O1423" t="s">
        <v>4209</v>
      </c>
      <c r="P1423" t="s">
        <v>4245</v>
      </c>
      <c r="R1423" t="s">
        <v>4258</v>
      </c>
      <c r="S1423" t="s">
        <v>3611</v>
      </c>
      <c r="U1423" t="s">
        <v>4268</v>
      </c>
      <c r="W1423" t="s">
        <v>284</v>
      </c>
      <c r="X1423">
        <v>1050</v>
      </c>
      <c r="Y1423" t="s">
        <v>4351</v>
      </c>
      <c r="Z1423" t="s">
        <v>4354</v>
      </c>
      <c r="AB1423" t="s">
        <v>4635</v>
      </c>
      <c r="AD1423" t="s">
        <v>6852</v>
      </c>
      <c r="AE1423">
        <v>1000</v>
      </c>
      <c r="AF1423" t="s">
        <v>7101</v>
      </c>
      <c r="AG1423" t="s">
        <v>3745</v>
      </c>
      <c r="AH1423">
        <v>4</v>
      </c>
      <c r="AI1423">
        <v>1</v>
      </c>
      <c r="AJ1423">
        <v>0</v>
      </c>
      <c r="AK1423">
        <v>218.91</v>
      </c>
      <c r="AL1423" t="s">
        <v>7130</v>
      </c>
      <c r="AN1423" t="s">
        <v>7138</v>
      </c>
      <c r="AO1423">
        <v>26400</v>
      </c>
      <c r="AU1423">
        <v>13.8</v>
      </c>
      <c r="AV1423" t="s">
        <v>212</v>
      </c>
      <c r="AW1423" t="s">
        <v>7346</v>
      </c>
    </row>
    <row r="1424" spans="1:50">
      <c r="A1424" s="1">
        <f>HYPERLINK("https://lsnyc.legalserver.org/matter/dynamic-profile/view/1848275","17-1848275")</f>
        <v>0</v>
      </c>
      <c r="B1424" t="s">
        <v>61</v>
      </c>
      <c r="C1424" t="s">
        <v>104</v>
      </c>
      <c r="D1424" t="s">
        <v>623</v>
      </c>
      <c r="E1424" t="s">
        <v>662</v>
      </c>
      <c r="F1424" t="s">
        <v>747</v>
      </c>
      <c r="G1424" t="s">
        <v>2279</v>
      </c>
      <c r="H1424" t="s">
        <v>3142</v>
      </c>
      <c r="I1424" t="s">
        <v>3315</v>
      </c>
      <c r="J1424" t="s">
        <v>3604</v>
      </c>
      <c r="K1424">
        <v>10034</v>
      </c>
      <c r="L1424" t="s">
        <v>3610</v>
      </c>
      <c r="M1424" t="s">
        <v>3610</v>
      </c>
      <c r="N1424" t="s">
        <v>4111</v>
      </c>
      <c r="O1424" t="s">
        <v>4209</v>
      </c>
      <c r="P1424" t="s">
        <v>4241</v>
      </c>
      <c r="Q1424" t="s">
        <v>4248</v>
      </c>
      <c r="R1424" t="s">
        <v>4258</v>
      </c>
      <c r="S1424" t="s">
        <v>3611</v>
      </c>
      <c r="U1424" t="s">
        <v>4268</v>
      </c>
      <c r="W1424" t="s">
        <v>379</v>
      </c>
      <c r="X1424">
        <v>1200</v>
      </c>
      <c r="Y1424" t="s">
        <v>4351</v>
      </c>
      <c r="Z1424" t="s">
        <v>4354</v>
      </c>
      <c r="AA1424" t="s">
        <v>4374</v>
      </c>
      <c r="AB1424" t="s">
        <v>5505</v>
      </c>
      <c r="AD1424" t="s">
        <v>6851</v>
      </c>
      <c r="AE1424">
        <v>40</v>
      </c>
      <c r="AF1424" t="s">
        <v>7101</v>
      </c>
      <c r="AG1424" t="s">
        <v>3745</v>
      </c>
      <c r="AH1424">
        <v>40</v>
      </c>
      <c r="AI1424">
        <v>1</v>
      </c>
      <c r="AJ1424">
        <v>0</v>
      </c>
      <c r="AK1424">
        <v>218.91</v>
      </c>
      <c r="AL1424" t="s">
        <v>7130</v>
      </c>
      <c r="AN1424" t="s">
        <v>7138</v>
      </c>
      <c r="AO1424">
        <v>26400</v>
      </c>
      <c r="AU1424">
        <v>21.8</v>
      </c>
      <c r="AV1424" t="s">
        <v>636</v>
      </c>
      <c r="AW1424" t="s">
        <v>7342</v>
      </c>
    </row>
    <row r="1425" spans="1:50">
      <c r="A1425" s="1">
        <f>HYPERLINK("https://lsnyc.legalserver.org/matter/dynamic-profile/view/1865186","18-1865186")</f>
        <v>0</v>
      </c>
      <c r="B1425" t="s">
        <v>53</v>
      </c>
      <c r="C1425" t="s">
        <v>105</v>
      </c>
      <c r="D1425" t="s">
        <v>117</v>
      </c>
      <c r="F1425" t="s">
        <v>1173</v>
      </c>
      <c r="G1425" t="s">
        <v>1132</v>
      </c>
      <c r="H1425" t="s">
        <v>3143</v>
      </c>
      <c r="I1425" t="s">
        <v>3464</v>
      </c>
      <c r="J1425" t="s">
        <v>3604</v>
      </c>
      <c r="K1425">
        <v>10002</v>
      </c>
      <c r="L1425" t="s">
        <v>3610</v>
      </c>
      <c r="M1425" t="s">
        <v>3609</v>
      </c>
      <c r="O1425" t="s">
        <v>4211</v>
      </c>
      <c r="P1425" t="s">
        <v>4245</v>
      </c>
      <c r="R1425" t="s">
        <v>4257</v>
      </c>
      <c r="S1425" t="s">
        <v>3611</v>
      </c>
      <c r="U1425" t="s">
        <v>4268</v>
      </c>
      <c r="W1425" t="s">
        <v>552</v>
      </c>
      <c r="X1425">
        <v>1254</v>
      </c>
      <c r="Y1425" t="s">
        <v>4351</v>
      </c>
      <c r="Z1425" t="s">
        <v>4355</v>
      </c>
      <c r="AB1425" t="s">
        <v>5506</v>
      </c>
      <c r="AD1425" t="s">
        <v>6853</v>
      </c>
      <c r="AE1425">
        <v>200</v>
      </c>
      <c r="AF1425" t="s">
        <v>7107</v>
      </c>
      <c r="AG1425" t="s">
        <v>3745</v>
      </c>
      <c r="AH1425">
        <v>10</v>
      </c>
      <c r="AI1425">
        <v>2</v>
      </c>
      <c r="AJ1425">
        <v>1</v>
      </c>
      <c r="AK1425">
        <v>219.44</v>
      </c>
      <c r="AL1425" t="s">
        <v>369</v>
      </c>
      <c r="AN1425" t="s">
        <v>7138</v>
      </c>
      <c r="AO1425">
        <v>45600</v>
      </c>
      <c r="AU1425">
        <v>20.35</v>
      </c>
      <c r="AV1425" t="s">
        <v>444</v>
      </c>
      <c r="AW1425" t="s">
        <v>7349</v>
      </c>
    </row>
    <row r="1426" spans="1:50">
      <c r="A1426" s="1">
        <f>HYPERLINK("https://lsnyc.legalserver.org/matter/dynamic-profile/view/1864443","18-1864443")</f>
        <v>0</v>
      </c>
      <c r="B1426" t="s">
        <v>69</v>
      </c>
      <c r="C1426" t="s">
        <v>104</v>
      </c>
      <c r="D1426" t="s">
        <v>157</v>
      </c>
      <c r="E1426" t="s">
        <v>637</v>
      </c>
      <c r="F1426" t="s">
        <v>1418</v>
      </c>
      <c r="G1426" t="s">
        <v>1784</v>
      </c>
      <c r="H1426" t="s">
        <v>3144</v>
      </c>
      <c r="I1426">
        <v>606</v>
      </c>
      <c r="J1426" t="s">
        <v>3604</v>
      </c>
      <c r="K1426">
        <v>10029</v>
      </c>
      <c r="L1426" t="s">
        <v>3610</v>
      </c>
      <c r="M1426" t="s">
        <v>3610</v>
      </c>
      <c r="N1426" t="s">
        <v>3642</v>
      </c>
      <c r="O1426" t="s">
        <v>4213</v>
      </c>
      <c r="P1426" t="s">
        <v>4241</v>
      </c>
      <c r="Q1426" t="s">
        <v>4248</v>
      </c>
      <c r="R1426" t="s">
        <v>4258</v>
      </c>
      <c r="S1426" t="s">
        <v>3610</v>
      </c>
      <c r="U1426" t="s">
        <v>4268</v>
      </c>
      <c r="V1426" t="s">
        <v>4274</v>
      </c>
      <c r="W1426" t="s">
        <v>157</v>
      </c>
      <c r="X1426">
        <v>0</v>
      </c>
      <c r="Y1426" t="s">
        <v>4351</v>
      </c>
      <c r="Z1426" t="s">
        <v>4352</v>
      </c>
      <c r="AA1426" t="s">
        <v>4379</v>
      </c>
      <c r="AB1426" t="s">
        <v>5507</v>
      </c>
      <c r="AD1426" t="s">
        <v>6854</v>
      </c>
      <c r="AE1426">
        <v>108</v>
      </c>
      <c r="AF1426" t="s">
        <v>7106</v>
      </c>
      <c r="AG1426" t="s">
        <v>7116</v>
      </c>
      <c r="AH1426">
        <v>23</v>
      </c>
      <c r="AI1426">
        <v>1</v>
      </c>
      <c r="AJ1426">
        <v>0</v>
      </c>
      <c r="AK1426">
        <v>222.73</v>
      </c>
      <c r="AN1426" t="s">
        <v>7139</v>
      </c>
      <c r="AO1426">
        <v>27040</v>
      </c>
      <c r="AR1426" t="s">
        <v>7227</v>
      </c>
      <c r="AS1426" t="s">
        <v>7231</v>
      </c>
      <c r="AT1426" t="s">
        <v>7275</v>
      </c>
      <c r="AU1426">
        <v>3.5</v>
      </c>
      <c r="AV1426" t="s">
        <v>319</v>
      </c>
      <c r="AW1426" t="s">
        <v>7341</v>
      </c>
      <c r="AX1426" t="s">
        <v>7377</v>
      </c>
    </row>
    <row r="1427" spans="1:50">
      <c r="A1427" s="1">
        <f>HYPERLINK("https://lsnyc.legalserver.org/matter/dynamic-profile/view/1880111","18-1880111")</f>
        <v>0</v>
      </c>
      <c r="B1427" t="s">
        <v>69</v>
      </c>
      <c r="C1427" t="s">
        <v>104</v>
      </c>
      <c r="D1427" t="s">
        <v>269</v>
      </c>
      <c r="E1427" t="s">
        <v>637</v>
      </c>
      <c r="F1427" t="s">
        <v>1418</v>
      </c>
      <c r="G1427" t="s">
        <v>1784</v>
      </c>
      <c r="H1427" t="s">
        <v>3144</v>
      </c>
      <c r="I1427">
        <v>606</v>
      </c>
      <c r="J1427" t="s">
        <v>3604</v>
      </c>
      <c r="K1427">
        <v>10029</v>
      </c>
      <c r="L1427" t="s">
        <v>3610</v>
      </c>
      <c r="M1427" t="s">
        <v>3610</v>
      </c>
      <c r="N1427" t="s">
        <v>4112</v>
      </c>
      <c r="O1427" t="s">
        <v>4209</v>
      </c>
      <c r="P1427" t="s">
        <v>4241</v>
      </c>
      <c r="Q1427" t="s">
        <v>4248</v>
      </c>
      <c r="R1427" t="s">
        <v>4258</v>
      </c>
      <c r="S1427" t="s">
        <v>3611</v>
      </c>
      <c r="U1427" t="s">
        <v>4268</v>
      </c>
      <c r="V1427" t="s">
        <v>4275</v>
      </c>
      <c r="W1427" t="s">
        <v>110</v>
      </c>
      <c r="X1427">
        <v>554</v>
      </c>
      <c r="Y1427" t="s">
        <v>4351</v>
      </c>
      <c r="Z1427" t="s">
        <v>4356</v>
      </c>
      <c r="AA1427" t="s">
        <v>4374</v>
      </c>
      <c r="AB1427" t="s">
        <v>5507</v>
      </c>
      <c r="AD1427" t="s">
        <v>6854</v>
      </c>
      <c r="AE1427">
        <v>108</v>
      </c>
      <c r="AF1427" t="s">
        <v>7106</v>
      </c>
      <c r="AG1427" t="s">
        <v>7116</v>
      </c>
      <c r="AH1427">
        <v>23</v>
      </c>
      <c r="AI1427">
        <v>1</v>
      </c>
      <c r="AJ1427">
        <v>0</v>
      </c>
      <c r="AK1427">
        <v>222.73</v>
      </c>
      <c r="AL1427" t="s">
        <v>675</v>
      </c>
      <c r="AM1427" t="s">
        <v>7134</v>
      </c>
      <c r="AN1427" t="s">
        <v>7139</v>
      </c>
      <c r="AO1427">
        <v>27040</v>
      </c>
      <c r="AR1427" t="s">
        <v>7211</v>
      </c>
      <c r="AS1427" t="s">
        <v>7231</v>
      </c>
      <c r="AT1427" t="s">
        <v>7275</v>
      </c>
      <c r="AU1427">
        <v>8.25</v>
      </c>
      <c r="AV1427" t="s">
        <v>159</v>
      </c>
      <c r="AW1427" t="s">
        <v>7341</v>
      </c>
      <c r="AX1427" t="s">
        <v>7377</v>
      </c>
    </row>
    <row r="1428" spans="1:50">
      <c r="A1428" s="1">
        <f>HYPERLINK("https://lsnyc.legalserver.org/matter/dynamic-profile/view/1864117","18-1864117")</f>
        <v>0</v>
      </c>
      <c r="B1428" t="s">
        <v>56</v>
      </c>
      <c r="C1428" t="s">
        <v>105</v>
      </c>
      <c r="D1428" t="s">
        <v>161</v>
      </c>
      <c r="F1428" t="s">
        <v>1146</v>
      </c>
      <c r="G1428" t="s">
        <v>1649</v>
      </c>
      <c r="H1428" t="s">
        <v>3078</v>
      </c>
      <c r="I1428" t="s">
        <v>3343</v>
      </c>
      <c r="J1428" t="s">
        <v>3604</v>
      </c>
      <c r="K1428">
        <v>10040</v>
      </c>
      <c r="L1428" t="s">
        <v>3610</v>
      </c>
      <c r="M1428" t="s">
        <v>3609</v>
      </c>
      <c r="N1428" t="s">
        <v>3656</v>
      </c>
      <c r="O1428" t="s">
        <v>4213</v>
      </c>
      <c r="P1428" t="s">
        <v>4241</v>
      </c>
      <c r="R1428" t="s">
        <v>4258</v>
      </c>
      <c r="S1428" t="s">
        <v>3610</v>
      </c>
      <c r="U1428" t="s">
        <v>4268</v>
      </c>
      <c r="W1428" t="s">
        <v>161</v>
      </c>
      <c r="X1428">
        <v>1370.61</v>
      </c>
      <c r="Y1428" t="s">
        <v>4351</v>
      </c>
      <c r="Z1428" t="s">
        <v>4357</v>
      </c>
      <c r="AB1428" t="s">
        <v>5358</v>
      </c>
      <c r="AD1428" t="s">
        <v>6713</v>
      </c>
      <c r="AE1428">
        <v>44</v>
      </c>
      <c r="AF1428" t="s">
        <v>7101</v>
      </c>
      <c r="AG1428" t="s">
        <v>3745</v>
      </c>
      <c r="AH1428">
        <v>11</v>
      </c>
      <c r="AI1428">
        <v>2</v>
      </c>
      <c r="AJ1428">
        <v>2</v>
      </c>
      <c r="AK1428">
        <v>223.11</v>
      </c>
      <c r="AL1428" t="s">
        <v>246</v>
      </c>
      <c r="AN1428" t="s">
        <v>7138</v>
      </c>
      <c r="AO1428">
        <v>71000</v>
      </c>
      <c r="AU1428">
        <v>6.01</v>
      </c>
      <c r="AV1428" t="s">
        <v>612</v>
      </c>
      <c r="AW1428" t="s">
        <v>7342</v>
      </c>
    </row>
    <row r="1429" spans="1:50">
      <c r="A1429" s="1">
        <f>HYPERLINK("https://lsnyc.legalserver.org/matter/dynamic-profile/view/1849826","17-1849826")</f>
        <v>0</v>
      </c>
      <c r="B1429" t="s">
        <v>79</v>
      </c>
      <c r="C1429" t="s">
        <v>104</v>
      </c>
      <c r="D1429" t="s">
        <v>281</v>
      </c>
      <c r="E1429" t="s">
        <v>209</v>
      </c>
      <c r="F1429" t="s">
        <v>1419</v>
      </c>
      <c r="G1429" t="s">
        <v>2281</v>
      </c>
      <c r="H1429" t="s">
        <v>3145</v>
      </c>
      <c r="I1429">
        <v>3</v>
      </c>
      <c r="J1429" t="s">
        <v>3604</v>
      </c>
      <c r="K1429">
        <v>10026</v>
      </c>
      <c r="L1429" t="s">
        <v>3610</v>
      </c>
      <c r="M1429" t="s">
        <v>3609</v>
      </c>
      <c r="N1429" t="s">
        <v>4113</v>
      </c>
      <c r="O1429" t="s">
        <v>4210</v>
      </c>
      <c r="P1429" t="s">
        <v>4242</v>
      </c>
      <c r="Q1429" t="s">
        <v>4250</v>
      </c>
      <c r="R1429" t="s">
        <v>4258</v>
      </c>
      <c r="T1429" t="s">
        <v>4259</v>
      </c>
      <c r="U1429" t="s">
        <v>4268</v>
      </c>
      <c r="W1429" t="s">
        <v>428</v>
      </c>
      <c r="X1429">
        <v>656</v>
      </c>
      <c r="Y1429" t="s">
        <v>4351</v>
      </c>
      <c r="Z1429" t="s">
        <v>4354</v>
      </c>
      <c r="AA1429" t="s">
        <v>4373</v>
      </c>
      <c r="AB1429" t="s">
        <v>5508</v>
      </c>
      <c r="AD1429" t="s">
        <v>6855</v>
      </c>
      <c r="AE1429">
        <v>35</v>
      </c>
      <c r="AH1429">
        <v>41</v>
      </c>
      <c r="AI1429">
        <v>3</v>
      </c>
      <c r="AJ1429">
        <v>1</v>
      </c>
      <c r="AK1429">
        <v>223.58</v>
      </c>
      <c r="AL1429" t="s">
        <v>7130</v>
      </c>
      <c r="AN1429" t="s">
        <v>7138</v>
      </c>
      <c r="AO1429">
        <v>55000</v>
      </c>
      <c r="AU1429">
        <v>12.2</v>
      </c>
      <c r="AV1429" t="s">
        <v>485</v>
      </c>
      <c r="AW1429" t="s">
        <v>7340</v>
      </c>
    </row>
    <row r="1430" spans="1:50">
      <c r="A1430" s="1">
        <f>HYPERLINK("https://lsnyc.legalserver.org/matter/dynamic-profile/view/1841459","17-1841459")</f>
        <v>0</v>
      </c>
      <c r="B1430" t="s">
        <v>53</v>
      </c>
      <c r="C1430" t="s">
        <v>104</v>
      </c>
      <c r="D1430" t="s">
        <v>380</v>
      </c>
      <c r="E1430" t="s">
        <v>271</v>
      </c>
      <c r="F1430" t="s">
        <v>704</v>
      </c>
      <c r="G1430" t="s">
        <v>1913</v>
      </c>
      <c r="H1430" t="s">
        <v>2462</v>
      </c>
      <c r="I1430" t="s">
        <v>3356</v>
      </c>
      <c r="J1430" t="s">
        <v>3604</v>
      </c>
      <c r="K1430">
        <v>10040</v>
      </c>
      <c r="L1430" t="s">
        <v>3610</v>
      </c>
      <c r="M1430" t="s">
        <v>3610</v>
      </c>
      <c r="N1430" t="s">
        <v>3669</v>
      </c>
      <c r="O1430" t="s">
        <v>4213</v>
      </c>
      <c r="P1430" t="s">
        <v>4241</v>
      </c>
      <c r="Q1430" t="s">
        <v>4248</v>
      </c>
      <c r="R1430" t="s">
        <v>4258</v>
      </c>
      <c r="S1430" t="s">
        <v>3610</v>
      </c>
      <c r="U1430" t="s">
        <v>4268</v>
      </c>
      <c r="V1430" t="s">
        <v>4274</v>
      </c>
      <c r="W1430" t="s">
        <v>133</v>
      </c>
      <c r="X1430">
        <v>866.99</v>
      </c>
      <c r="Y1430" t="s">
        <v>4351</v>
      </c>
      <c r="Z1430" t="s">
        <v>4354</v>
      </c>
      <c r="AA1430" t="s">
        <v>4379</v>
      </c>
      <c r="AB1430" t="s">
        <v>5415</v>
      </c>
      <c r="AD1430" t="s">
        <v>6856</v>
      </c>
      <c r="AE1430">
        <v>31</v>
      </c>
      <c r="AF1430" t="s">
        <v>7101</v>
      </c>
      <c r="AG1430" t="s">
        <v>3745</v>
      </c>
      <c r="AH1430">
        <v>35</v>
      </c>
      <c r="AI1430">
        <v>2</v>
      </c>
      <c r="AJ1430">
        <v>0</v>
      </c>
      <c r="AK1430">
        <v>224.14</v>
      </c>
      <c r="AN1430" t="s">
        <v>7139</v>
      </c>
      <c r="AO1430">
        <v>36400</v>
      </c>
      <c r="AQ1430" t="s">
        <v>7197</v>
      </c>
      <c r="AR1430" t="s">
        <v>7208</v>
      </c>
      <c r="AS1430" t="s">
        <v>7231</v>
      </c>
      <c r="AT1430" t="s">
        <v>7241</v>
      </c>
      <c r="AU1430">
        <v>4.95</v>
      </c>
      <c r="AV1430" t="s">
        <v>574</v>
      </c>
      <c r="AW1430" t="s">
        <v>7342</v>
      </c>
    </row>
    <row r="1431" spans="1:50">
      <c r="A1431" s="1">
        <f>HYPERLINK("https://lsnyc.legalserver.org/matter/dynamic-profile/view/1885761","18-1885761")</f>
        <v>0</v>
      </c>
      <c r="B1431" t="s">
        <v>64</v>
      </c>
      <c r="C1431" t="s">
        <v>104</v>
      </c>
      <c r="D1431" t="s">
        <v>201</v>
      </c>
      <c r="E1431" t="s">
        <v>662</v>
      </c>
      <c r="F1431" t="s">
        <v>1420</v>
      </c>
      <c r="G1431" t="s">
        <v>2282</v>
      </c>
      <c r="H1431" t="s">
        <v>3146</v>
      </c>
      <c r="I1431" t="s">
        <v>3274</v>
      </c>
      <c r="J1431" t="s">
        <v>3604</v>
      </c>
      <c r="K1431">
        <v>10040</v>
      </c>
      <c r="L1431" t="s">
        <v>3610</v>
      </c>
      <c r="M1431" t="s">
        <v>3610</v>
      </c>
      <c r="P1431" t="s">
        <v>4242</v>
      </c>
      <c r="Q1431" t="s">
        <v>4250</v>
      </c>
      <c r="R1431" t="s">
        <v>4258</v>
      </c>
      <c r="S1431" t="s">
        <v>3611</v>
      </c>
      <c r="U1431" t="s">
        <v>4268</v>
      </c>
      <c r="W1431" t="s">
        <v>201</v>
      </c>
      <c r="X1431">
        <v>1200.06</v>
      </c>
      <c r="Y1431" t="s">
        <v>4351</v>
      </c>
      <c r="Z1431" t="s">
        <v>4354</v>
      </c>
      <c r="AA1431" t="s">
        <v>4373</v>
      </c>
      <c r="AB1431" t="s">
        <v>5509</v>
      </c>
      <c r="AE1431">
        <v>0</v>
      </c>
      <c r="AF1431" t="s">
        <v>7101</v>
      </c>
      <c r="AG1431" t="s">
        <v>3745</v>
      </c>
      <c r="AH1431">
        <v>20</v>
      </c>
      <c r="AI1431">
        <v>1</v>
      </c>
      <c r="AJ1431">
        <v>1</v>
      </c>
      <c r="AK1431">
        <v>224.14</v>
      </c>
      <c r="AN1431" t="s">
        <v>7142</v>
      </c>
      <c r="AO1431">
        <v>36894</v>
      </c>
      <c r="AU1431">
        <v>1.5</v>
      </c>
      <c r="AV1431" t="s">
        <v>201</v>
      </c>
      <c r="AW1431" t="s">
        <v>7342</v>
      </c>
    </row>
    <row r="1432" spans="1:50">
      <c r="A1432" s="1">
        <f>HYPERLINK("https://lsnyc.legalserver.org/matter/dynamic-profile/view/1840234","17-1840234")</f>
        <v>0</v>
      </c>
      <c r="B1432" t="s">
        <v>56</v>
      </c>
      <c r="C1432" t="s">
        <v>104</v>
      </c>
      <c r="D1432" t="s">
        <v>258</v>
      </c>
      <c r="E1432" t="s">
        <v>227</v>
      </c>
      <c r="F1432" t="s">
        <v>1212</v>
      </c>
      <c r="G1432" t="s">
        <v>1730</v>
      </c>
      <c r="H1432" t="s">
        <v>2534</v>
      </c>
      <c r="I1432" t="s">
        <v>3343</v>
      </c>
      <c r="J1432" t="s">
        <v>3604</v>
      </c>
      <c r="K1432">
        <v>10040</v>
      </c>
      <c r="L1432" t="s">
        <v>3610</v>
      </c>
      <c r="M1432" t="s">
        <v>3609</v>
      </c>
      <c r="O1432" t="s">
        <v>4213</v>
      </c>
      <c r="P1432" t="s">
        <v>4246</v>
      </c>
      <c r="Q1432" t="s">
        <v>4250</v>
      </c>
      <c r="R1432" t="s">
        <v>4258</v>
      </c>
      <c r="S1432" t="s">
        <v>3610</v>
      </c>
      <c r="U1432" t="s">
        <v>4268</v>
      </c>
      <c r="W1432" t="s">
        <v>355</v>
      </c>
      <c r="X1432">
        <v>1494.26</v>
      </c>
      <c r="Y1432" t="s">
        <v>4351</v>
      </c>
      <c r="Z1432" t="s">
        <v>4352</v>
      </c>
      <c r="AA1432" t="s">
        <v>4373</v>
      </c>
      <c r="AB1432" t="s">
        <v>5182</v>
      </c>
      <c r="AE1432">
        <v>44</v>
      </c>
      <c r="AF1432" t="s">
        <v>7101</v>
      </c>
      <c r="AG1432" t="s">
        <v>3745</v>
      </c>
      <c r="AH1432">
        <v>29</v>
      </c>
      <c r="AI1432">
        <v>3</v>
      </c>
      <c r="AJ1432">
        <v>0</v>
      </c>
      <c r="AK1432">
        <v>224.26</v>
      </c>
      <c r="AL1432" t="s">
        <v>7130</v>
      </c>
      <c r="AN1432" t="s">
        <v>7139</v>
      </c>
      <c r="AO1432">
        <v>45794</v>
      </c>
      <c r="AU1432">
        <v>2</v>
      </c>
      <c r="AV1432" t="s">
        <v>378</v>
      </c>
      <c r="AW1432" t="s">
        <v>7342</v>
      </c>
    </row>
    <row r="1433" spans="1:50">
      <c r="A1433" s="1">
        <f>HYPERLINK("https://lsnyc.legalserver.org/matter/dynamic-profile/view/1897635","19-1897635")</f>
        <v>0</v>
      </c>
      <c r="B1433" t="s">
        <v>53</v>
      </c>
      <c r="C1433" t="s">
        <v>105</v>
      </c>
      <c r="D1433" t="s">
        <v>261</v>
      </c>
      <c r="F1433" t="s">
        <v>981</v>
      </c>
      <c r="G1433" t="s">
        <v>2283</v>
      </c>
      <c r="H1433" t="s">
        <v>2797</v>
      </c>
      <c r="I1433" t="s">
        <v>3284</v>
      </c>
      <c r="J1433" t="s">
        <v>3604</v>
      </c>
      <c r="K1433">
        <v>10035</v>
      </c>
      <c r="L1433" t="s">
        <v>3610</v>
      </c>
      <c r="M1433" t="s">
        <v>3610</v>
      </c>
      <c r="O1433" t="s">
        <v>4211</v>
      </c>
      <c r="P1433" t="s">
        <v>4245</v>
      </c>
      <c r="R1433" t="s">
        <v>4258</v>
      </c>
      <c r="S1433" t="s">
        <v>3610</v>
      </c>
      <c r="U1433" t="s">
        <v>4268</v>
      </c>
      <c r="V1433" t="s">
        <v>4274</v>
      </c>
      <c r="W1433" t="s">
        <v>319</v>
      </c>
      <c r="X1433">
        <v>900</v>
      </c>
      <c r="Y1433" t="s">
        <v>4351</v>
      </c>
      <c r="Z1433" t="s">
        <v>4352</v>
      </c>
      <c r="AB1433" t="s">
        <v>5510</v>
      </c>
      <c r="AE1433">
        <v>60</v>
      </c>
      <c r="AF1433" t="s">
        <v>7101</v>
      </c>
      <c r="AG1433" t="s">
        <v>3745</v>
      </c>
      <c r="AH1433">
        <v>15</v>
      </c>
      <c r="AI1433">
        <v>1</v>
      </c>
      <c r="AJ1433">
        <v>1</v>
      </c>
      <c r="AK1433">
        <v>224.72</v>
      </c>
      <c r="AN1433" t="s">
        <v>7138</v>
      </c>
      <c r="AO1433">
        <v>38000</v>
      </c>
      <c r="AP1433" t="s">
        <v>7165</v>
      </c>
      <c r="AU1433">
        <v>0</v>
      </c>
      <c r="AW1433" t="s">
        <v>7341</v>
      </c>
      <c r="AX1433" t="s">
        <v>7377</v>
      </c>
    </row>
    <row r="1434" spans="1:50">
      <c r="A1434" s="1">
        <f>HYPERLINK("https://lsnyc.legalserver.org/matter/dynamic-profile/view/1897707","19-1897707")</f>
        <v>0</v>
      </c>
      <c r="B1434" t="s">
        <v>52</v>
      </c>
      <c r="C1434" t="s">
        <v>105</v>
      </c>
      <c r="D1434" t="s">
        <v>146</v>
      </c>
      <c r="F1434" t="s">
        <v>1296</v>
      </c>
      <c r="G1434" t="s">
        <v>1675</v>
      </c>
      <c r="H1434" t="s">
        <v>3147</v>
      </c>
      <c r="I1434">
        <v>54</v>
      </c>
      <c r="J1434" t="s">
        <v>3604</v>
      </c>
      <c r="K1434">
        <v>10034</v>
      </c>
      <c r="L1434" t="s">
        <v>3610</v>
      </c>
      <c r="M1434" t="s">
        <v>3610</v>
      </c>
      <c r="O1434" t="s">
        <v>4219</v>
      </c>
      <c r="P1434" t="s">
        <v>4245</v>
      </c>
      <c r="R1434" t="s">
        <v>4258</v>
      </c>
      <c r="S1434" t="s">
        <v>3611</v>
      </c>
      <c r="U1434" t="s">
        <v>4268</v>
      </c>
      <c r="W1434" t="s">
        <v>146</v>
      </c>
      <c r="X1434">
        <v>1785</v>
      </c>
      <c r="Y1434" t="s">
        <v>4351</v>
      </c>
      <c r="Z1434" t="s">
        <v>4354</v>
      </c>
      <c r="AB1434" t="s">
        <v>5511</v>
      </c>
      <c r="AD1434" t="s">
        <v>6857</v>
      </c>
      <c r="AE1434">
        <v>42</v>
      </c>
      <c r="AF1434" t="s">
        <v>7101</v>
      </c>
      <c r="AG1434" t="s">
        <v>4228</v>
      </c>
      <c r="AH1434">
        <v>3</v>
      </c>
      <c r="AI1434">
        <v>2</v>
      </c>
      <c r="AJ1434">
        <v>0</v>
      </c>
      <c r="AK1434">
        <v>224.72</v>
      </c>
      <c r="AN1434" t="s">
        <v>7138</v>
      </c>
      <c r="AO1434">
        <v>38000</v>
      </c>
      <c r="AU1434">
        <v>1.8</v>
      </c>
      <c r="AV1434" t="s">
        <v>502</v>
      </c>
      <c r="AW1434" t="s">
        <v>7342</v>
      </c>
    </row>
    <row r="1435" spans="1:50">
      <c r="A1435" s="1">
        <f>HYPERLINK("https://lsnyc.legalserver.org/matter/dynamic-profile/view/1898102","19-1898102")</f>
        <v>0</v>
      </c>
      <c r="B1435" t="s">
        <v>62</v>
      </c>
      <c r="C1435" t="s">
        <v>105</v>
      </c>
      <c r="D1435" t="s">
        <v>129</v>
      </c>
      <c r="F1435" t="s">
        <v>1421</v>
      </c>
      <c r="G1435" t="s">
        <v>1775</v>
      </c>
      <c r="H1435" t="s">
        <v>3148</v>
      </c>
      <c r="I1435" t="s">
        <v>3365</v>
      </c>
      <c r="J1435" t="s">
        <v>3604</v>
      </c>
      <c r="K1435">
        <v>10033</v>
      </c>
      <c r="L1435" t="s">
        <v>3610</v>
      </c>
      <c r="M1435" t="s">
        <v>3610</v>
      </c>
      <c r="N1435" t="s">
        <v>4114</v>
      </c>
      <c r="O1435" t="s">
        <v>4210</v>
      </c>
      <c r="P1435" t="s">
        <v>4245</v>
      </c>
      <c r="R1435" t="s">
        <v>4258</v>
      </c>
      <c r="S1435" t="s">
        <v>3611</v>
      </c>
      <c r="U1435" t="s">
        <v>4268</v>
      </c>
      <c r="W1435" t="s">
        <v>129</v>
      </c>
      <c r="X1435">
        <v>960</v>
      </c>
      <c r="Y1435" t="s">
        <v>4351</v>
      </c>
      <c r="Z1435" t="s">
        <v>4354</v>
      </c>
      <c r="AB1435" t="s">
        <v>5512</v>
      </c>
      <c r="AD1435" t="s">
        <v>6858</v>
      </c>
      <c r="AE1435">
        <v>20</v>
      </c>
      <c r="AF1435" t="s">
        <v>7101</v>
      </c>
      <c r="AG1435" t="s">
        <v>3745</v>
      </c>
      <c r="AH1435">
        <v>25</v>
      </c>
      <c r="AI1435">
        <v>2</v>
      </c>
      <c r="AJ1435">
        <v>1</v>
      </c>
      <c r="AK1435">
        <v>225.04</v>
      </c>
      <c r="AN1435" t="s">
        <v>7138</v>
      </c>
      <c r="AO1435">
        <v>48000</v>
      </c>
      <c r="AU1435">
        <v>3.7</v>
      </c>
      <c r="AV1435" t="s">
        <v>285</v>
      </c>
      <c r="AW1435" t="s">
        <v>7342</v>
      </c>
      <c r="AX1435" t="s">
        <v>7377</v>
      </c>
    </row>
    <row r="1436" spans="1:50">
      <c r="A1436" s="1">
        <f>HYPERLINK("https://lsnyc.legalserver.org/matter/dynamic-profile/view/1859412","18-1859412")</f>
        <v>0</v>
      </c>
      <c r="B1436" t="s">
        <v>64</v>
      </c>
      <c r="C1436" t="s">
        <v>104</v>
      </c>
      <c r="D1436" t="s">
        <v>237</v>
      </c>
      <c r="E1436" t="s">
        <v>662</v>
      </c>
      <c r="F1436" t="s">
        <v>943</v>
      </c>
      <c r="G1436" t="s">
        <v>2284</v>
      </c>
      <c r="H1436" t="s">
        <v>2807</v>
      </c>
      <c r="I1436" t="s">
        <v>3315</v>
      </c>
      <c r="J1436" t="s">
        <v>3604</v>
      </c>
      <c r="K1436">
        <v>10034</v>
      </c>
      <c r="L1436" t="s">
        <v>3610</v>
      </c>
      <c r="M1436" t="s">
        <v>3609</v>
      </c>
      <c r="O1436" t="s">
        <v>4219</v>
      </c>
      <c r="P1436" t="s">
        <v>4242</v>
      </c>
      <c r="Q1436" t="s">
        <v>4250</v>
      </c>
      <c r="R1436" t="s">
        <v>4258</v>
      </c>
      <c r="S1436" t="s">
        <v>3611</v>
      </c>
      <c r="U1436" t="s">
        <v>4268</v>
      </c>
      <c r="W1436" t="s">
        <v>237</v>
      </c>
      <c r="X1436">
        <v>1690</v>
      </c>
      <c r="Y1436" t="s">
        <v>4351</v>
      </c>
      <c r="Z1436" t="s">
        <v>4354</v>
      </c>
      <c r="AA1436" t="s">
        <v>4373</v>
      </c>
      <c r="AB1436" t="s">
        <v>4672</v>
      </c>
      <c r="AD1436" t="s">
        <v>6859</v>
      </c>
      <c r="AE1436">
        <v>22</v>
      </c>
      <c r="AF1436" t="s">
        <v>7101</v>
      </c>
      <c r="AG1436" t="s">
        <v>3745</v>
      </c>
      <c r="AH1436">
        <v>5</v>
      </c>
      <c r="AI1436">
        <v>3</v>
      </c>
      <c r="AJ1436">
        <v>2</v>
      </c>
      <c r="AK1436">
        <v>225.85</v>
      </c>
      <c r="AL1436" t="s">
        <v>7130</v>
      </c>
      <c r="AN1436" t="s">
        <v>7138</v>
      </c>
      <c r="AO1436">
        <v>65000</v>
      </c>
      <c r="AU1436">
        <v>2.8</v>
      </c>
      <c r="AV1436" t="s">
        <v>127</v>
      </c>
      <c r="AW1436" t="s">
        <v>7342</v>
      </c>
    </row>
    <row r="1437" spans="1:50">
      <c r="A1437" s="1">
        <f>HYPERLINK("https://lsnyc.legalserver.org/matter/dynamic-profile/view/1898991","19-1898991")</f>
        <v>0</v>
      </c>
      <c r="B1437" t="s">
        <v>56</v>
      </c>
      <c r="C1437" t="s">
        <v>105</v>
      </c>
      <c r="D1437" t="s">
        <v>606</v>
      </c>
      <c r="F1437" t="s">
        <v>933</v>
      </c>
      <c r="G1437" t="s">
        <v>2285</v>
      </c>
      <c r="H1437" t="s">
        <v>2534</v>
      </c>
      <c r="I1437" t="s">
        <v>3395</v>
      </c>
      <c r="J1437" t="s">
        <v>3604</v>
      </c>
      <c r="K1437">
        <v>10040</v>
      </c>
      <c r="L1437" t="s">
        <v>3610</v>
      </c>
      <c r="M1437" t="s">
        <v>3609</v>
      </c>
      <c r="O1437" t="s">
        <v>4209</v>
      </c>
      <c r="P1437" t="s">
        <v>4241</v>
      </c>
      <c r="R1437" t="s">
        <v>4258</v>
      </c>
      <c r="S1437" t="s">
        <v>3610</v>
      </c>
      <c r="U1437" t="s">
        <v>4268</v>
      </c>
      <c r="W1437" t="s">
        <v>606</v>
      </c>
      <c r="X1437">
        <v>1231.45</v>
      </c>
      <c r="Y1437" t="s">
        <v>4351</v>
      </c>
      <c r="Z1437" t="s">
        <v>4357</v>
      </c>
      <c r="AB1437" t="s">
        <v>5513</v>
      </c>
      <c r="AD1437" t="s">
        <v>6860</v>
      </c>
      <c r="AE1437">
        <v>44</v>
      </c>
      <c r="AF1437" t="s">
        <v>7101</v>
      </c>
      <c r="AG1437" t="s">
        <v>3745</v>
      </c>
      <c r="AH1437">
        <v>13</v>
      </c>
      <c r="AI1437">
        <v>2</v>
      </c>
      <c r="AJ1437">
        <v>0</v>
      </c>
      <c r="AK1437">
        <v>226.64</v>
      </c>
      <c r="AN1437" t="s">
        <v>7139</v>
      </c>
      <c r="AO1437">
        <v>38324</v>
      </c>
      <c r="AU1437">
        <v>15.2</v>
      </c>
      <c r="AV1437" t="s">
        <v>676</v>
      </c>
      <c r="AW1437" t="s">
        <v>7342</v>
      </c>
      <c r="AX1437" t="s">
        <v>7377</v>
      </c>
    </row>
    <row r="1438" spans="1:50">
      <c r="A1438" s="1">
        <f>HYPERLINK("https://lsnyc.legalserver.org/matter/dynamic-profile/view/0806867","16-0806867")</f>
        <v>0</v>
      </c>
      <c r="B1438" t="s">
        <v>63</v>
      </c>
      <c r="C1438" t="s">
        <v>105</v>
      </c>
      <c r="D1438" t="s">
        <v>289</v>
      </c>
      <c r="F1438" t="s">
        <v>1421</v>
      </c>
      <c r="G1438" t="s">
        <v>2286</v>
      </c>
      <c r="H1438" t="s">
        <v>2637</v>
      </c>
      <c r="I1438" t="s">
        <v>3342</v>
      </c>
      <c r="J1438" t="s">
        <v>3604</v>
      </c>
      <c r="K1438">
        <v>10034</v>
      </c>
      <c r="L1438" t="s">
        <v>3611</v>
      </c>
      <c r="M1438" t="s">
        <v>3609</v>
      </c>
      <c r="N1438" t="s">
        <v>4115</v>
      </c>
      <c r="O1438" t="s">
        <v>4213</v>
      </c>
      <c r="P1438" t="s">
        <v>4241</v>
      </c>
      <c r="R1438" t="s">
        <v>4258</v>
      </c>
      <c r="S1438" t="s">
        <v>3610</v>
      </c>
      <c r="U1438" t="s">
        <v>4268</v>
      </c>
      <c r="W1438" t="s">
        <v>4307</v>
      </c>
      <c r="X1438">
        <v>921.61</v>
      </c>
      <c r="Y1438" t="s">
        <v>4351</v>
      </c>
      <c r="Z1438" t="s">
        <v>4364</v>
      </c>
      <c r="AB1438" t="s">
        <v>5514</v>
      </c>
      <c r="AD1438" t="s">
        <v>6861</v>
      </c>
      <c r="AE1438">
        <v>44</v>
      </c>
      <c r="AF1438" t="s">
        <v>7101</v>
      </c>
      <c r="AG1438" t="s">
        <v>3745</v>
      </c>
      <c r="AH1438">
        <v>19</v>
      </c>
      <c r="AI1438">
        <v>2</v>
      </c>
      <c r="AJ1438">
        <v>1</v>
      </c>
      <c r="AK1438">
        <v>226.88</v>
      </c>
      <c r="AN1438" t="s">
        <v>7138</v>
      </c>
      <c r="AO1438">
        <v>45738</v>
      </c>
      <c r="AU1438">
        <v>50.44</v>
      </c>
      <c r="AV1438" t="s">
        <v>567</v>
      </c>
      <c r="AW1438" t="s">
        <v>7341</v>
      </c>
    </row>
    <row r="1439" spans="1:50">
      <c r="A1439" s="1">
        <f>HYPERLINK("https://lsnyc.legalserver.org/matter/dynamic-profile/view/1847386","17-1847386")</f>
        <v>0</v>
      </c>
      <c r="B1439" t="s">
        <v>67</v>
      </c>
      <c r="C1439" t="s">
        <v>104</v>
      </c>
      <c r="D1439" t="s">
        <v>132</v>
      </c>
      <c r="E1439" t="s">
        <v>209</v>
      </c>
      <c r="F1439" t="s">
        <v>1295</v>
      </c>
      <c r="G1439" t="s">
        <v>2149</v>
      </c>
      <c r="H1439" t="s">
        <v>3023</v>
      </c>
      <c r="I1439" t="s">
        <v>3322</v>
      </c>
      <c r="J1439" t="s">
        <v>3604</v>
      </c>
      <c r="K1439">
        <v>10035</v>
      </c>
      <c r="L1439" t="s">
        <v>3610</v>
      </c>
      <c r="M1439" t="s">
        <v>3610</v>
      </c>
      <c r="N1439" t="s">
        <v>4116</v>
      </c>
      <c r="O1439" t="s">
        <v>4209</v>
      </c>
      <c r="P1439" t="s">
        <v>4241</v>
      </c>
      <c r="Q1439" t="s">
        <v>4248</v>
      </c>
      <c r="R1439" t="s">
        <v>4258</v>
      </c>
      <c r="S1439" t="s">
        <v>3611</v>
      </c>
      <c r="U1439" t="s">
        <v>4268</v>
      </c>
      <c r="V1439" t="s">
        <v>4274</v>
      </c>
      <c r="W1439" t="s">
        <v>4342</v>
      </c>
      <c r="X1439">
        <v>2875</v>
      </c>
      <c r="Y1439" t="s">
        <v>4351</v>
      </c>
      <c r="Z1439" t="s">
        <v>4357</v>
      </c>
      <c r="AA1439" t="s">
        <v>4374</v>
      </c>
      <c r="AB1439" t="s">
        <v>5273</v>
      </c>
      <c r="AD1439" t="s">
        <v>6630</v>
      </c>
      <c r="AE1439">
        <v>134</v>
      </c>
      <c r="AF1439" t="s">
        <v>7106</v>
      </c>
      <c r="AG1439" t="s">
        <v>7116</v>
      </c>
      <c r="AH1439">
        <v>21</v>
      </c>
      <c r="AI1439">
        <v>1</v>
      </c>
      <c r="AJ1439">
        <v>0</v>
      </c>
      <c r="AK1439">
        <v>226.97</v>
      </c>
      <c r="AL1439" t="s">
        <v>508</v>
      </c>
      <c r="AN1439" t="s">
        <v>7138</v>
      </c>
      <c r="AO1439">
        <v>27372</v>
      </c>
      <c r="AU1439">
        <v>66.40000000000001</v>
      </c>
      <c r="AV1439" t="s">
        <v>224</v>
      </c>
      <c r="AW1439" t="s">
        <v>7356</v>
      </c>
    </row>
    <row r="1440" spans="1:50">
      <c r="A1440" s="1">
        <f>HYPERLINK("https://lsnyc.legalserver.org/matter/dynamic-profile/view/1870908","18-1870908")</f>
        <v>0</v>
      </c>
      <c r="B1440" t="s">
        <v>64</v>
      </c>
      <c r="C1440" t="s">
        <v>104</v>
      </c>
      <c r="D1440" t="s">
        <v>247</v>
      </c>
      <c r="E1440" t="s">
        <v>119</v>
      </c>
      <c r="F1440" t="s">
        <v>1422</v>
      </c>
      <c r="G1440" t="s">
        <v>2076</v>
      </c>
      <c r="H1440" t="s">
        <v>3149</v>
      </c>
      <c r="I1440">
        <v>53</v>
      </c>
      <c r="J1440" t="s">
        <v>3604</v>
      </c>
      <c r="K1440">
        <v>10034</v>
      </c>
      <c r="L1440" t="s">
        <v>3610</v>
      </c>
      <c r="M1440" t="s">
        <v>3609</v>
      </c>
      <c r="O1440" t="s">
        <v>4219</v>
      </c>
      <c r="P1440" t="s">
        <v>4242</v>
      </c>
      <c r="Q1440" t="s">
        <v>4250</v>
      </c>
      <c r="R1440" t="s">
        <v>4258</v>
      </c>
      <c r="S1440" t="s">
        <v>3611</v>
      </c>
      <c r="U1440" t="s">
        <v>4268</v>
      </c>
      <c r="W1440" t="s">
        <v>247</v>
      </c>
      <c r="X1440">
        <v>745</v>
      </c>
      <c r="Y1440" t="s">
        <v>4351</v>
      </c>
      <c r="Z1440" t="s">
        <v>4354</v>
      </c>
      <c r="AA1440" t="s">
        <v>4373</v>
      </c>
      <c r="AB1440" t="s">
        <v>5515</v>
      </c>
      <c r="AD1440" t="s">
        <v>6862</v>
      </c>
      <c r="AE1440">
        <v>25</v>
      </c>
      <c r="AF1440" t="s">
        <v>7101</v>
      </c>
      <c r="AG1440" t="s">
        <v>3745</v>
      </c>
      <c r="AH1440">
        <v>40</v>
      </c>
      <c r="AI1440">
        <v>3</v>
      </c>
      <c r="AJ1440">
        <v>1</v>
      </c>
      <c r="AK1440">
        <v>227.09</v>
      </c>
      <c r="AN1440" t="s">
        <v>7139</v>
      </c>
      <c r="AO1440">
        <v>57000</v>
      </c>
      <c r="AU1440">
        <v>3</v>
      </c>
      <c r="AV1440" t="s">
        <v>119</v>
      </c>
      <c r="AW1440" t="s">
        <v>7342</v>
      </c>
    </row>
    <row r="1441" spans="1:50">
      <c r="A1441" s="1">
        <f>HYPERLINK("https://lsnyc.legalserver.org/matter/dynamic-profile/view/0820201","16-0820201")</f>
        <v>0</v>
      </c>
      <c r="B1441" t="s">
        <v>64</v>
      </c>
      <c r="C1441" t="s">
        <v>104</v>
      </c>
      <c r="D1441" t="s">
        <v>361</v>
      </c>
      <c r="E1441" t="s">
        <v>378</v>
      </c>
      <c r="F1441" t="s">
        <v>979</v>
      </c>
      <c r="G1441" t="s">
        <v>1913</v>
      </c>
      <c r="H1441" t="s">
        <v>2718</v>
      </c>
      <c r="I1441" t="s">
        <v>3547</v>
      </c>
      <c r="J1441" t="s">
        <v>3604</v>
      </c>
      <c r="K1441">
        <v>10034</v>
      </c>
      <c r="L1441" t="s">
        <v>3610</v>
      </c>
      <c r="M1441" t="s">
        <v>3609</v>
      </c>
      <c r="O1441" t="s">
        <v>4213</v>
      </c>
      <c r="P1441" t="s">
        <v>4241</v>
      </c>
      <c r="Q1441" t="s">
        <v>4248</v>
      </c>
      <c r="R1441" t="s">
        <v>4258</v>
      </c>
      <c r="S1441" t="s">
        <v>3610</v>
      </c>
      <c r="U1441" t="s">
        <v>4268</v>
      </c>
      <c r="W1441" t="s">
        <v>323</v>
      </c>
      <c r="X1441">
        <v>989</v>
      </c>
      <c r="Y1441" t="s">
        <v>4351</v>
      </c>
      <c r="Z1441" t="s">
        <v>4352</v>
      </c>
      <c r="AA1441" t="s">
        <v>4379</v>
      </c>
      <c r="AB1441" t="s">
        <v>5516</v>
      </c>
      <c r="AD1441" t="s">
        <v>6863</v>
      </c>
      <c r="AE1441">
        <v>65</v>
      </c>
      <c r="AF1441" t="s">
        <v>7101</v>
      </c>
      <c r="AG1441" t="s">
        <v>3745</v>
      </c>
      <c r="AH1441">
        <v>16</v>
      </c>
      <c r="AI1441">
        <v>2</v>
      </c>
      <c r="AJ1441">
        <v>0</v>
      </c>
      <c r="AK1441">
        <v>227.22</v>
      </c>
      <c r="AL1441" t="s">
        <v>7130</v>
      </c>
      <c r="AN1441" t="s">
        <v>7139</v>
      </c>
      <c r="AO1441">
        <v>36400</v>
      </c>
      <c r="AU1441">
        <v>4.95</v>
      </c>
      <c r="AV1441" t="s">
        <v>607</v>
      </c>
      <c r="AW1441" t="s">
        <v>7341</v>
      </c>
    </row>
    <row r="1442" spans="1:50">
      <c r="A1442" s="1">
        <f>HYPERLINK("https://lsnyc.legalserver.org/matter/dynamic-profile/view/1902040","19-1902040")</f>
        <v>0</v>
      </c>
      <c r="B1442" t="s">
        <v>64</v>
      </c>
      <c r="C1442" t="s">
        <v>105</v>
      </c>
      <c r="D1442" t="s">
        <v>122</v>
      </c>
      <c r="F1442" t="s">
        <v>733</v>
      </c>
      <c r="G1442" t="s">
        <v>2287</v>
      </c>
      <c r="H1442" t="s">
        <v>2907</v>
      </c>
      <c r="I1442" t="s">
        <v>3333</v>
      </c>
      <c r="J1442" t="s">
        <v>3604</v>
      </c>
      <c r="K1442">
        <v>10034</v>
      </c>
      <c r="L1442" t="s">
        <v>3610</v>
      </c>
      <c r="M1442" t="s">
        <v>3609</v>
      </c>
      <c r="P1442" t="s">
        <v>4245</v>
      </c>
      <c r="R1442" t="s">
        <v>4258</v>
      </c>
      <c r="U1442" t="s">
        <v>4268</v>
      </c>
      <c r="W1442" t="s">
        <v>122</v>
      </c>
      <c r="X1442">
        <v>2084</v>
      </c>
      <c r="Y1442" t="s">
        <v>4351</v>
      </c>
      <c r="Z1442" t="s">
        <v>4354</v>
      </c>
      <c r="AB1442" t="s">
        <v>5517</v>
      </c>
      <c r="AD1442" t="s">
        <v>6864</v>
      </c>
      <c r="AE1442">
        <v>126</v>
      </c>
      <c r="AF1442" t="s">
        <v>7101</v>
      </c>
      <c r="AG1442" t="s">
        <v>7116</v>
      </c>
      <c r="AH1442">
        <v>38</v>
      </c>
      <c r="AI1442">
        <v>2</v>
      </c>
      <c r="AJ1442">
        <v>1</v>
      </c>
      <c r="AK1442">
        <v>227.85</v>
      </c>
      <c r="AN1442" t="s">
        <v>7139</v>
      </c>
      <c r="AO1442">
        <v>48600</v>
      </c>
      <c r="AU1442">
        <v>1.55</v>
      </c>
      <c r="AV1442" t="s">
        <v>529</v>
      </c>
      <c r="AW1442" t="s">
        <v>7342</v>
      </c>
      <c r="AX1442" t="s">
        <v>7377</v>
      </c>
    </row>
    <row r="1443" spans="1:50">
      <c r="A1443" s="1">
        <f>HYPERLINK("https://lsnyc.legalserver.org/matter/dynamic-profile/view/1896914","19-1896914")</f>
        <v>0</v>
      </c>
      <c r="B1443" t="s">
        <v>101</v>
      </c>
      <c r="C1443" t="s">
        <v>105</v>
      </c>
      <c r="D1443" t="s">
        <v>390</v>
      </c>
      <c r="F1443" t="s">
        <v>1382</v>
      </c>
      <c r="G1443" t="s">
        <v>704</v>
      </c>
      <c r="H1443" t="s">
        <v>3109</v>
      </c>
      <c r="I1443" t="s">
        <v>3293</v>
      </c>
      <c r="J1443" t="s">
        <v>3604</v>
      </c>
      <c r="K1443">
        <v>10029</v>
      </c>
      <c r="L1443" t="s">
        <v>3610</v>
      </c>
      <c r="M1443" t="s">
        <v>3610</v>
      </c>
      <c r="O1443" t="s">
        <v>4212</v>
      </c>
      <c r="P1443" t="s">
        <v>4244</v>
      </c>
      <c r="R1443" t="s">
        <v>4258</v>
      </c>
      <c r="S1443" t="s">
        <v>3611</v>
      </c>
      <c r="U1443" t="s">
        <v>4270</v>
      </c>
      <c r="V1443" t="s">
        <v>4274</v>
      </c>
      <c r="W1443" t="s">
        <v>390</v>
      </c>
      <c r="X1443">
        <v>650</v>
      </c>
      <c r="Y1443" t="s">
        <v>4351</v>
      </c>
      <c r="Z1443" t="s">
        <v>4356</v>
      </c>
      <c r="AB1443" t="s">
        <v>5437</v>
      </c>
      <c r="AD1443" t="s">
        <v>6865</v>
      </c>
      <c r="AE1443">
        <v>33</v>
      </c>
      <c r="AF1443" t="s">
        <v>7112</v>
      </c>
      <c r="AG1443" t="s">
        <v>3745</v>
      </c>
      <c r="AH1443">
        <v>31</v>
      </c>
      <c r="AI1443">
        <v>1</v>
      </c>
      <c r="AJ1443">
        <v>0</v>
      </c>
      <c r="AK1443">
        <v>228.15</v>
      </c>
      <c r="AN1443" t="s">
        <v>7138</v>
      </c>
      <c r="AO1443">
        <v>28496</v>
      </c>
      <c r="AU1443">
        <v>6</v>
      </c>
      <c r="AV1443" t="s">
        <v>663</v>
      </c>
      <c r="AW1443" t="s">
        <v>7341</v>
      </c>
    </row>
    <row r="1444" spans="1:50">
      <c r="A1444" s="1">
        <f>HYPERLINK("https://lsnyc.legalserver.org/matter/dynamic-profile/view/1839463","17-1839463")</f>
        <v>0</v>
      </c>
      <c r="B1444" t="s">
        <v>58</v>
      </c>
      <c r="C1444" t="s">
        <v>105</v>
      </c>
      <c r="D1444" t="s">
        <v>624</v>
      </c>
      <c r="F1444" t="s">
        <v>1346</v>
      </c>
      <c r="G1444" t="s">
        <v>1702</v>
      </c>
      <c r="H1444" t="s">
        <v>3150</v>
      </c>
      <c r="I1444" t="s">
        <v>3356</v>
      </c>
      <c r="J1444" t="s">
        <v>3604</v>
      </c>
      <c r="K1444">
        <v>10034</v>
      </c>
      <c r="L1444" t="s">
        <v>3609</v>
      </c>
      <c r="M1444" t="s">
        <v>3609</v>
      </c>
      <c r="N1444" t="s">
        <v>4117</v>
      </c>
      <c r="O1444" t="s">
        <v>4210</v>
      </c>
      <c r="P1444" t="s">
        <v>4246</v>
      </c>
      <c r="R1444" t="s">
        <v>4258</v>
      </c>
      <c r="U1444" t="s">
        <v>4268</v>
      </c>
      <c r="W1444" t="s">
        <v>624</v>
      </c>
      <c r="X1444">
        <v>810</v>
      </c>
      <c r="Y1444" t="s">
        <v>4351</v>
      </c>
      <c r="AB1444" t="s">
        <v>5518</v>
      </c>
      <c r="AD1444" t="s">
        <v>6866</v>
      </c>
      <c r="AE1444">
        <v>15</v>
      </c>
      <c r="AF1444" t="s">
        <v>7105</v>
      </c>
      <c r="AG1444" t="s">
        <v>3745</v>
      </c>
      <c r="AH1444">
        <v>1</v>
      </c>
      <c r="AI1444">
        <v>1</v>
      </c>
      <c r="AJ1444">
        <v>2</v>
      </c>
      <c r="AK1444">
        <v>229.19</v>
      </c>
      <c r="AN1444" t="s">
        <v>7139</v>
      </c>
      <c r="AO1444">
        <v>46800</v>
      </c>
      <c r="AU1444">
        <v>0.5</v>
      </c>
      <c r="AV1444" t="s">
        <v>624</v>
      </c>
      <c r="AW1444" t="s">
        <v>7343</v>
      </c>
    </row>
    <row r="1445" spans="1:50">
      <c r="A1445" s="1">
        <f>HYPERLINK("https://lsnyc.legalserver.org/matter/dynamic-profile/view/1900018","19-1900018")</f>
        <v>0</v>
      </c>
      <c r="B1445" t="s">
        <v>92</v>
      </c>
      <c r="C1445" t="s">
        <v>105</v>
      </c>
      <c r="D1445" t="s">
        <v>625</v>
      </c>
      <c r="F1445" t="s">
        <v>1423</v>
      </c>
      <c r="G1445" t="s">
        <v>1909</v>
      </c>
      <c r="H1445" t="s">
        <v>3151</v>
      </c>
      <c r="I1445" t="s">
        <v>3306</v>
      </c>
      <c r="J1445" t="s">
        <v>3604</v>
      </c>
      <c r="K1445">
        <v>10002</v>
      </c>
      <c r="L1445" t="s">
        <v>3610</v>
      </c>
      <c r="M1445" t="s">
        <v>3609</v>
      </c>
      <c r="N1445" t="s">
        <v>4118</v>
      </c>
      <c r="O1445" t="s">
        <v>4210</v>
      </c>
      <c r="P1445" t="s">
        <v>4241</v>
      </c>
      <c r="R1445" t="s">
        <v>4258</v>
      </c>
      <c r="S1445" t="s">
        <v>3611</v>
      </c>
      <c r="U1445" t="s">
        <v>4268</v>
      </c>
      <c r="X1445">
        <v>927.62</v>
      </c>
      <c r="Y1445" t="s">
        <v>4351</v>
      </c>
      <c r="Z1445" t="s">
        <v>4364</v>
      </c>
      <c r="AB1445" t="s">
        <v>5519</v>
      </c>
      <c r="AD1445" t="s">
        <v>6867</v>
      </c>
      <c r="AE1445">
        <v>0</v>
      </c>
      <c r="AF1445" t="s">
        <v>7101</v>
      </c>
      <c r="AG1445" t="s">
        <v>3745</v>
      </c>
      <c r="AH1445">
        <v>15</v>
      </c>
      <c r="AI1445">
        <v>2</v>
      </c>
      <c r="AJ1445">
        <v>1</v>
      </c>
      <c r="AK1445">
        <v>229.72</v>
      </c>
      <c r="AN1445" t="s">
        <v>7143</v>
      </c>
      <c r="AO1445">
        <v>49000</v>
      </c>
      <c r="AU1445">
        <v>41.25</v>
      </c>
      <c r="AV1445" t="s">
        <v>678</v>
      </c>
      <c r="AW1445" t="s">
        <v>7344</v>
      </c>
    </row>
    <row r="1446" spans="1:50">
      <c r="A1446" s="1">
        <f>HYPERLINK("https://lsnyc.legalserver.org/matter/dynamic-profile/view/1848461","17-1848461")</f>
        <v>0</v>
      </c>
      <c r="B1446" t="s">
        <v>64</v>
      </c>
      <c r="C1446" t="s">
        <v>105</v>
      </c>
      <c r="D1446" t="s">
        <v>626</v>
      </c>
      <c r="F1446" t="s">
        <v>1042</v>
      </c>
      <c r="G1446" t="s">
        <v>1925</v>
      </c>
      <c r="H1446" t="s">
        <v>2642</v>
      </c>
      <c r="I1446" t="s">
        <v>3355</v>
      </c>
      <c r="J1446" t="s">
        <v>3604</v>
      </c>
      <c r="K1446">
        <v>10034</v>
      </c>
      <c r="L1446" t="s">
        <v>3610</v>
      </c>
      <c r="M1446" t="s">
        <v>3609</v>
      </c>
      <c r="O1446" t="s">
        <v>4213</v>
      </c>
      <c r="P1446" t="s">
        <v>4241</v>
      </c>
      <c r="R1446" t="s">
        <v>4258</v>
      </c>
      <c r="S1446" t="s">
        <v>3610</v>
      </c>
      <c r="U1446" t="s">
        <v>4268</v>
      </c>
      <c r="W1446" t="s">
        <v>626</v>
      </c>
      <c r="X1446">
        <v>689.36</v>
      </c>
      <c r="Y1446" t="s">
        <v>4351</v>
      </c>
      <c r="Z1446" t="s">
        <v>4354</v>
      </c>
      <c r="AB1446" t="s">
        <v>4859</v>
      </c>
      <c r="AD1446" t="s">
        <v>6243</v>
      </c>
      <c r="AE1446">
        <v>49</v>
      </c>
      <c r="AF1446" t="s">
        <v>7101</v>
      </c>
      <c r="AG1446" t="s">
        <v>3745</v>
      </c>
      <c r="AH1446">
        <v>12</v>
      </c>
      <c r="AI1446">
        <v>2</v>
      </c>
      <c r="AJ1446">
        <v>0</v>
      </c>
      <c r="AK1446">
        <v>230.54</v>
      </c>
      <c r="AN1446" t="s">
        <v>7139</v>
      </c>
      <c r="AO1446">
        <v>37440</v>
      </c>
      <c r="AU1446">
        <v>0.35</v>
      </c>
      <c r="AV1446" t="s">
        <v>335</v>
      </c>
      <c r="AW1446" t="s">
        <v>7342</v>
      </c>
    </row>
    <row r="1447" spans="1:50">
      <c r="A1447" s="1">
        <f>HYPERLINK("https://lsnyc.legalserver.org/matter/dynamic-profile/view/1885352","18-1885352")</f>
        <v>0</v>
      </c>
      <c r="B1447" t="s">
        <v>67</v>
      </c>
      <c r="C1447" t="s">
        <v>104</v>
      </c>
      <c r="D1447" t="s">
        <v>209</v>
      </c>
      <c r="E1447" t="s">
        <v>642</v>
      </c>
      <c r="F1447" t="s">
        <v>877</v>
      </c>
      <c r="G1447" t="s">
        <v>2288</v>
      </c>
      <c r="H1447" t="s">
        <v>3152</v>
      </c>
      <c r="I1447" t="s">
        <v>3324</v>
      </c>
      <c r="J1447" t="s">
        <v>3604</v>
      </c>
      <c r="K1447">
        <v>10002</v>
      </c>
      <c r="L1447" t="s">
        <v>3610</v>
      </c>
      <c r="M1447" t="s">
        <v>3610</v>
      </c>
      <c r="O1447" t="s">
        <v>4211</v>
      </c>
      <c r="P1447" t="s">
        <v>4242</v>
      </c>
      <c r="Q1447" t="s">
        <v>4250</v>
      </c>
      <c r="R1447" t="s">
        <v>4258</v>
      </c>
      <c r="S1447" t="s">
        <v>3611</v>
      </c>
      <c r="T1447" t="s">
        <v>4266</v>
      </c>
      <c r="U1447" t="s">
        <v>4268</v>
      </c>
      <c r="V1447" t="s">
        <v>4274</v>
      </c>
      <c r="W1447" t="s">
        <v>441</v>
      </c>
      <c r="X1447">
        <v>680</v>
      </c>
      <c r="Y1447" t="s">
        <v>4351</v>
      </c>
      <c r="Z1447" t="s">
        <v>4352</v>
      </c>
      <c r="AA1447" t="s">
        <v>4373</v>
      </c>
      <c r="AB1447" t="s">
        <v>5520</v>
      </c>
      <c r="AD1447" t="s">
        <v>6868</v>
      </c>
      <c r="AE1447">
        <v>124</v>
      </c>
      <c r="AF1447" t="s">
        <v>7102</v>
      </c>
      <c r="AG1447" t="s">
        <v>3745</v>
      </c>
      <c r="AH1447">
        <v>1</v>
      </c>
      <c r="AI1447">
        <v>1</v>
      </c>
      <c r="AJ1447">
        <v>0</v>
      </c>
      <c r="AK1447">
        <v>230.64</v>
      </c>
      <c r="AN1447" t="s">
        <v>7138</v>
      </c>
      <c r="AO1447">
        <v>28000</v>
      </c>
      <c r="AU1447">
        <v>1</v>
      </c>
      <c r="AV1447" t="s">
        <v>209</v>
      </c>
      <c r="AW1447" t="s">
        <v>7341</v>
      </c>
    </row>
    <row r="1448" spans="1:50">
      <c r="A1448" s="1">
        <f>HYPERLINK("https://lsnyc.legalserver.org/matter/dynamic-profile/view/1860470","18-1860470")</f>
        <v>0</v>
      </c>
      <c r="B1448" t="s">
        <v>66</v>
      </c>
      <c r="C1448" t="s">
        <v>104</v>
      </c>
      <c r="D1448" t="s">
        <v>366</v>
      </c>
      <c r="E1448" t="s">
        <v>371</v>
      </c>
      <c r="F1448" t="s">
        <v>1424</v>
      </c>
      <c r="G1448" t="s">
        <v>1265</v>
      </c>
      <c r="H1448" t="s">
        <v>3153</v>
      </c>
      <c r="I1448" t="s">
        <v>3338</v>
      </c>
      <c r="J1448" t="s">
        <v>3604</v>
      </c>
      <c r="K1448">
        <v>10030</v>
      </c>
      <c r="L1448" t="s">
        <v>3610</v>
      </c>
      <c r="M1448" t="s">
        <v>3609</v>
      </c>
      <c r="N1448" t="s">
        <v>4119</v>
      </c>
      <c r="O1448" t="s">
        <v>4209</v>
      </c>
      <c r="P1448" t="s">
        <v>4241</v>
      </c>
      <c r="Q1448" t="s">
        <v>4248</v>
      </c>
      <c r="R1448" t="s">
        <v>4258</v>
      </c>
      <c r="S1448" t="s">
        <v>3611</v>
      </c>
      <c r="T1448" t="s">
        <v>4259</v>
      </c>
      <c r="U1448" t="s">
        <v>4268</v>
      </c>
      <c r="V1448" t="s">
        <v>4274</v>
      </c>
      <c r="W1448" t="s">
        <v>379</v>
      </c>
      <c r="X1448">
        <v>865.0700000000001</v>
      </c>
      <c r="Y1448" t="s">
        <v>4351</v>
      </c>
      <c r="Z1448" t="s">
        <v>4354</v>
      </c>
      <c r="AA1448" t="s">
        <v>4374</v>
      </c>
      <c r="AB1448" t="s">
        <v>5521</v>
      </c>
      <c r="AD1448" t="s">
        <v>6869</v>
      </c>
      <c r="AE1448">
        <v>10</v>
      </c>
      <c r="AF1448" t="s">
        <v>7111</v>
      </c>
      <c r="AG1448" t="s">
        <v>3745</v>
      </c>
      <c r="AH1448">
        <v>6</v>
      </c>
      <c r="AI1448">
        <v>2</v>
      </c>
      <c r="AJ1448">
        <v>1</v>
      </c>
      <c r="AK1448">
        <v>230.99</v>
      </c>
      <c r="AL1448" t="s">
        <v>7130</v>
      </c>
      <c r="AN1448" t="s">
        <v>7138</v>
      </c>
      <c r="AO1448">
        <v>48000</v>
      </c>
      <c r="AQ1448" t="s">
        <v>7198</v>
      </c>
      <c r="AS1448" t="s">
        <v>7231</v>
      </c>
      <c r="AT1448" t="s">
        <v>7276</v>
      </c>
      <c r="AU1448">
        <v>35.3</v>
      </c>
      <c r="AV1448" t="s">
        <v>569</v>
      </c>
      <c r="AW1448" t="s">
        <v>7344</v>
      </c>
    </row>
    <row r="1449" spans="1:50">
      <c r="A1449" s="1">
        <f>HYPERLINK("https://lsnyc.legalserver.org/matter/dynamic-profile/view/1862232","18-1862232")</f>
        <v>0</v>
      </c>
      <c r="B1449" t="s">
        <v>53</v>
      </c>
      <c r="C1449" t="s">
        <v>105</v>
      </c>
      <c r="D1449" t="s">
        <v>250</v>
      </c>
      <c r="F1449" t="s">
        <v>1425</v>
      </c>
      <c r="G1449" t="s">
        <v>1769</v>
      </c>
      <c r="H1449" t="s">
        <v>2471</v>
      </c>
      <c r="I1449" t="s">
        <v>3344</v>
      </c>
      <c r="J1449" t="s">
        <v>3604</v>
      </c>
      <c r="K1449">
        <v>10034</v>
      </c>
      <c r="L1449" t="s">
        <v>3610</v>
      </c>
      <c r="M1449" t="s">
        <v>3609</v>
      </c>
      <c r="N1449" t="s">
        <v>3772</v>
      </c>
      <c r="O1449" t="s">
        <v>4213</v>
      </c>
      <c r="P1449" t="s">
        <v>4241</v>
      </c>
      <c r="R1449" t="s">
        <v>4258</v>
      </c>
      <c r="S1449" t="s">
        <v>3610</v>
      </c>
      <c r="U1449" t="s">
        <v>4268</v>
      </c>
      <c r="W1449" t="s">
        <v>250</v>
      </c>
      <c r="X1449">
        <v>932</v>
      </c>
      <c r="Y1449" t="s">
        <v>4351</v>
      </c>
      <c r="Z1449" t="s">
        <v>4354</v>
      </c>
      <c r="AB1449" t="s">
        <v>5522</v>
      </c>
      <c r="AD1449" t="s">
        <v>6870</v>
      </c>
      <c r="AE1449">
        <v>60</v>
      </c>
      <c r="AF1449" t="s">
        <v>7101</v>
      </c>
      <c r="AG1449" t="s">
        <v>3745</v>
      </c>
      <c r="AH1449">
        <v>22</v>
      </c>
      <c r="AI1449">
        <v>5</v>
      </c>
      <c r="AJ1449">
        <v>0</v>
      </c>
      <c r="AK1449">
        <v>231.19</v>
      </c>
      <c r="AN1449" t="s">
        <v>7139</v>
      </c>
      <c r="AO1449">
        <v>68016</v>
      </c>
      <c r="AU1449">
        <v>0</v>
      </c>
      <c r="AW1449" t="s">
        <v>7342</v>
      </c>
    </row>
    <row r="1450" spans="1:50">
      <c r="A1450" s="1">
        <f>HYPERLINK("https://lsnyc.legalserver.org/matter/dynamic-profile/view/1901220","19-1901220")</f>
        <v>0</v>
      </c>
      <c r="B1450" t="s">
        <v>75</v>
      </c>
      <c r="C1450" t="s">
        <v>105</v>
      </c>
      <c r="D1450" t="s">
        <v>426</v>
      </c>
      <c r="F1450" t="s">
        <v>1265</v>
      </c>
      <c r="G1450" t="s">
        <v>2289</v>
      </c>
      <c r="H1450" t="s">
        <v>3154</v>
      </c>
      <c r="I1450" t="s">
        <v>3325</v>
      </c>
      <c r="J1450" t="s">
        <v>3604</v>
      </c>
      <c r="K1450">
        <v>10011</v>
      </c>
      <c r="L1450" t="s">
        <v>3610</v>
      </c>
      <c r="M1450" t="s">
        <v>3609</v>
      </c>
      <c r="N1450" t="s">
        <v>4120</v>
      </c>
      <c r="O1450" t="s">
        <v>4209</v>
      </c>
      <c r="P1450" t="s">
        <v>4242</v>
      </c>
      <c r="R1450" t="s">
        <v>4258</v>
      </c>
      <c r="S1450" t="s">
        <v>3611</v>
      </c>
      <c r="U1450" t="s">
        <v>4268</v>
      </c>
      <c r="X1450">
        <v>881.61</v>
      </c>
      <c r="Y1450" t="s">
        <v>4351</v>
      </c>
      <c r="Z1450" t="s">
        <v>4366</v>
      </c>
      <c r="AB1450" t="s">
        <v>5523</v>
      </c>
      <c r="AD1450" t="s">
        <v>6871</v>
      </c>
      <c r="AE1450">
        <v>0</v>
      </c>
      <c r="AF1450" t="s">
        <v>7101</v>
      </c>
      <c r="AG1450" t="s">
        <v>3745</v>
      </c>
      <c r="AH1450">
        <v>41</v>
      </c>
      <c r="AI1450">
        <v>2</v>
      </c>
      <c r="AJ1450">
        <v>0</v>
      </c>
      <c r="AK1450">
        <v>231.48</v>
      </c>
      <c r="AN1450" t="s">
        <v>7140</v>
      </c>
      <c r="AO1450">
        <v>39144</v>
      </c>
      <c r="AU1450">
        <v>0</v>
      </c>
      <c r="AW1450" t="s">
        <v>7347</v>
      </c>
      <c r="AX1450" t="s">
        <v>7377</v>
      </c>
    </row>
    <row r="1451" spans="1:50">
      <c r="A1451" s="1">
        <f>HYPERLINK("https://lsnyc.legalserver.org/matter/dynamic-profile/view/1843610","17-1843610")</f>
        <v>0</v>
      </c>
      <c r="B1451" t="s">
        <v>67</v>
      </c>
      <c r="C1451" t="s">
        <v>104</v>
      </c>
      <c r="D1451" t="s">
        <v>188</v>
      </c>
      <c r="E1451" t="s">
        <v>318</v>
      </c>
      <c r="F1451" t="s">
        <v>1426</v>
      </c>
      <c r="G1451" t="s">
        <v>2290</v>
      </c>
      <c r="H1451" t="s">
        <v>3155</v>
      </c>
      <c r="I1451" t="s">
        <v>3335</v>
      </c>
      <c r="J1451" t="s">
        <v>3604</v>
      </c>
      <c r="K1451">
        <v>10029</v>
      </c>
      <c r="L1451" t="s">
        <v>3610</v>
      </c>
      <c r="M1451" t="s">
        <v>3610</v>
      </c>
      <c r="N1451" t="s">
        <v>4121</v>
      </c>
      <c r="O1451" t="s">
        <v>4210</v>
      </c>
      <c r="P1451" t="s">
        <v>4241</v>
      </c>
      <c r="Q1451" t="s">
        <v>4248</v>
      </c>
      <c r="R1451" t="s">
        <v>4258</v>
      </c>
      <c r="S1451" t="s">
        <v>3611</v>
      </c>
      <c r="U1451" t="s">
        <v>4268</v>
      </c>
      <c r="W1451" t="s">
        <v>650</v>
      </c>
      <c r="X1451">
        <v>744</v>
      </c>
      <c r="Y1451" t="s">
        <v>4351</v>
      </c>
      <c r="Z1451" t="s">
        <v>4354</v>
      </c>
      <c r="AA1451" t="s">
        <v>4374</v>
      </c>
      <c r="AB1451" t="s">
        <v>5524</v>
      </c>
      <c r="AD1451" t="s">
        <v>6872</v>
      </c>
      <c r="AE1451">
        <v>7</v>
      </c>
      <c r="AF1451" t="s">
        <v>7101</v>
      </c>
      <c r="AG1451" t="s">
        <v>3745</v>
      </c>
      <c r="AH1451">
        <v>11</v>
      </c>
      <c r="AI1451">
        <v>2</v>
      </c>
      <c r="AJ1451">
        <v>0</v>
      </c>
      <c r="AK1451">
        <v>231.67</v>
      </c>
      <c r="AL1451" t="s">
        <v>508</v>
      </c>
      <c r="AN1451" t="s">
        <v>7138</v>
      </c>
      <c r="AO1451">
        <v>37624</v>
      </c>
      <c r="AU1451">
        <v>30.8</v>
      </c>
      <c r="AV1451" t="s">
        <v>7303</v>
      </c>
      <c r="AW1451" t="s">
        <v>7341</v>
      </c>
    </row>
    <row r="1452" spans="1:50">
      <c r="A1452" s="1">
        <f>HYPERLINK("https://lsnyc.legalserver.org/matter/dynamic-profile/view/0830818","17-0830818")</f>
        <v>0</v>
      </c>
      <c r="B1452" t="s">
        <v>64</v>
      </c>
      <c r="C1452" t="s">
        <v>104</v>
      </c>
      <c r="D1452" t="s">
        <v>243</v>
      </c>
      <c r="E1452" t="s">
        <v>213</v>
      </c>
      <c r="F1452" t="s">
        <v>723</v>
      </c>
      <c r="G1452" t="s">
        <v>1604</v>
      </c>
      <c r="H1452" t="s">
        <v>2681</v>
      </c>
      <c r="I1452">
        <v>41</v>
      </c>
      <c r="J1452" t="s">
        <v>3604</v>
      </c>
      <c r="K1452">
        <v>10032</v>
      </c>
      <c r="L1452" t="s">
        <v>3609</v>
      </c>
      <c r="M1452" t="s">
        <v>3609</v>
      </c>
      <c r="N1452" t="s">
        <v>4122</v>
      </c>
      <c r="O1452" t="s">
        <v>4213</v>
      </c>
      <c r="P1452" t="s">
        <v>4241</v>
      </c>
      <c r="Q1452" t="s">
        <v>4248</v>
      </c>
      <c r="R1452" t="s">
        <v>4258</v>
      </c>
      <c r="S1452" t="s">
        <v>3610</v>
      </c>
      <c r="U1452" t="s">
        <v>4268</v>
      </c>
      <c r="W1452" t="s">
        <v>238</v>
      </c>
      <c r="X1452">
        <v>1739</v>
      </c>
      <c r="Y1452" t="s">
        <v>4351</v>
      </c>
      <c r="Z1452" t="s">
        <v>4352</v>
      </c>
      <c r="AA1452" t="s">
        <v>4379</v>
      </c>
      <c r="AB1452" t="s">
        <v>5126</v>
      </c>
      <c r="AE1452">
        <v>44</v>
      </c>
      <c r="AF1452" t="s">
        <v>7101</v>
      </c>
      <c r="AG1452" t="s">
        <v>3745</v>
      </c>
      <c r="AH1452">
        <v>4</v>
      </c>
      <c r="AI1452">
        <v>6</v>
      </c>
      <c r="AJ1452">
        <v>0</v>
      </c>
      <c r="AK1452">
        <v>231.92</v>
      </c>
      <c r="AL1452" t="s">
        <v>4319</v>
      </c>
      <c r="AN1452" t="s">
        <v>7139</v>
      </c>
      <c r="AO1452">
        <v>76440</v>
      </c>
      <c r="AU1452">
        <v>24.35</v>
      </c>
      <c r="AV1452" t="s">
        <v>7284</v>
      </c>
      <c r="AW1452" t="s">
        <v>7341</v>
      </c>
    </row>
    <row r="1453" spans="1:50">
      <c r="A1453" s="1">
        <f>HYPERLINK("https://lsnyc.legalserver.org/matter/dynamic-profile/view/0830830","17-0830830")</f>
        <v>0</v>
      </c>
      <c r="B1453" t="s">
        <v>64</v>
      </c>
      <c r="C1453" t="s">
        <v>104</v>
      </c>
      <c r="D1453" t="s">
        <v>243</v>
      </c>
      <c r="E1453" t="s">
        <v>280</v>
      </c>
      <c r="F1453" t="s">
        <v>723</v>
      </c>
      <c r="G1453" t="s">
        <v>1604</v>
      </c>
      <c r="H1453" t="s">
        <v>2681</v>
      </c>
      <c r="I1453">
        <v>41</v>
      </c>
      <c r="J1453" t="s">
        <v>3604</v>
      </c>
      <c r="K1453">
        <v>10032</v>
      </c>
      <c r="L1453" t="s">
        <v>3609</v>
      </c>
      <c r="M1453" t="s">
        <v>3609</v>
      </c>
      <c r="N1453" t="s">
        <v>3741</v>
      </c>
      <c r="O1453" t="s">
        <v>4211</v>
      </c>
      <c r="P1453" t="s">
        <v>4244</v>
      </c>
      <c r="Q1453" t="s">
        <v>4254</v>
      </c>
      <c r="R1453" t="s">
        <v>4258</v>
      </c>
      <c r="S1453" t="s">
        <v>3610</v>
      </c>
      <c r="U1453" t="s">
        <v>4268</v>
      </c>
      <c r="W1453" t="s">
        <v>238</v>
      </c>
      <c r="X1453">
        <v>1739</v>
      </c>
      <c r="Y1453" t="s">
        <v>4351</v>
      </c>
      <c r="Z1453" t="s">
        <v>4352</v>
      </c>
      <c r="AA1453" t="s">
        <v>4377</v>
      </c>
      <c r="AB1453" t="s">
        <v>5126</v>
      </c>
      <c r="AE1453">
        <v>44</v>
      </c>
      <c r="AF1453" t="s">
        <v>7101</v>
      </c>
      <c r="AG1453" t="s">
        <v>3745</v>
      </c>
      <c r="AH1453">
        <v>4</v>
      </c>
      <c r="AI1453">
        <v>6</v>
      </c>
      <c r="AJ1453">
        <v>0</v>
      </c>
      <c r="AK1453">
        <v>231.92</v>
      </c>
      <c r="AL1453" t="s">
        <v>4319</v>
      </c>
      <c r="AN1453" t="s">
        <v>7139</v>
      </c>
      <c r="AO1453">
        <v>129480</v>
      </c>
      <c r="AU1453">
        <v>0.1</v>
      </c>
      <c r="AV1453" t="s">
        <v>280</v>
      </c>
      <c r="AW1453" t="s">
        <v>7341</v>
      </c>
    </row>
    <row r="1454" spans="1:50">
      <c r="A1454" s="1">
        <f>HYPERLINK("https://lsnyc.legalserver.org/matter/dynamic-profile/view/1849357","17-1849357")</f>
        <v>0</v>
      </c>
      <c r="B1454" t="s">
        <v>67</v>
      </c>
      <c r="C1454" t="s">
        <v>104</v>
      </c>
      <c r="D1454" t="s">
        <v>384</v>
      </c>
      <c r="E1454" t="s">
        <v>642</v>
      </c>
      <c r="F1454" t="s">
        <v>988</v>
      </c>
      <c r="G1454" t="s">
        <v>2291</v>
      </c>
      <c r="H1454" t="s">
        <v>3156</v>
      </c>
      <c r="I1454" t="s">
        <v>3338</v>
      </c>
      <c r="J1454" t="s">
        <v>3604</v>
      </c>
      <c r="K1454">
        <v>10035</v>
      </c>
      <c r="L1454" t="s">
        <v>3610</v>
      </c>
      <c r="M1454" t="s">
        <v>3610</v>
      </c>
      <c r="N1454" t="s">
        <v>4123</v>
      </c>
      <c r="O1454" t="s">
        <v>4210</v>
      </c>
      <c r="P1454" t="s">
        <v>4241</v>
      </c>
      <c r="Q1454" t="s">
        <v>4248</v>
      </c>
      <c r="R1454" t="s">
        <v>4258</v>
      </c>
      <c r="S1454" t="s">
        <v>3611</v>
      </c>
      <c r="T1454" t="s">
        <v>4259</v>
      </c>
      <c r="U1454" t="s">
        <v>4268</v>
      </c>
      <c r="V1454" t="s">
        <v>4274</v>
      </c>
      <c r="W1454" t="s">
        <v>379</v>
      </c>
      <c r="X1454">
        <v>282</v>
      </c>
      <c r="Y1454" t="s">
        <v>4351</v>
      </c>
      <c r="Z1454" t="s">
        <v>4357</v>
      </c>
      <c r="AA1454" t="s">
        <v>4374</v>
      </c>
      <c r="AB1454" t="s">
        <v>5525</v>
      </c>
      <c r="AD1454" t="s">
        <v>6873</v>
      </c>
      <c r="AE1454">
        <v>16</v>
      </c>
      <c r="AF1454" t="s">
        <v>7101</v>
      </c>
      <c r="AG1454" t="s">
        <v>3745</v>
      </c>
      <c r="AH1454">
        <v>13</v>
      </c>
      <c r="AI1454">
        <v>1</v>
      </c>
      <c r="AJ1454">
        <v>0</v>
      </c>
      <c r="AK1454">
        <v>232.17</v>
      </c>
      <c r="AL1454" t="s">
        <v>7130</v>
      </c>
      <c r="AN1454" t="s">
        <v>7150</v>
      </c>
      <c r="AO1454">
        <v>28000</v>
      </c>
      <c r="AU1454">
        <v>102.6</v>
      </c>
      <c r="AV1454" t="s">
        <v>4309</v>
      </c>
      <c r="AW1454" t="s">
        <v>7341</v>
      </c>
    </row>
    <row r="1455" spans="1:50">
      <c r="A1455" s="1">
        <f>HYPERLINK("https://lsnyc.legalserver.org/matter/dynamic-profile/view/1841513","17-1841513")</f>
        <v>0</v>
      </c>
      <c r="B1455" t="s">
        <v>56</v>
      </c>
      <c r="C1455" t="s">
        <v>105</v>
      </c>
      <c r="D1455" t="s">
        <v>219</v>
      </c>
      <c r="F1455" t="s">
        <v>1427</v>
      </c>
      <c r="G1455" t="s">
        <v>2292</v>
      </c>
      <c r="H1455" t="s">
        <v>2860</v>
      </c>
      <c r="I1455" t="s">
        <v>3333</v>
      </c>
      <c r="J1455" t="s">
        <v>3604</v>
      </c>
      <c r="K1455">
        <v>10034</v>
      </c>
      <c r="L1455" t="s">
        <v>3610</v>
      </c>
      <c r="M1455" t="s">
        <v>3609</v>
      </c>
      <c r="N1455" t="s">
        <v>4124</v>
      </c>
      <c r="O1455" t="s">
        <v>4213</v>
      </c>
      <c r="P1455" t="s">
        <v>4243</v>
      </c>
      <c r="R1455" t="s">
        <v>4258</v>
      </c>
      <c r="S1455" t="s">
        <v>3610</v>
      </c>
      <c r="U1455" t="s">
        <v>4268</v>
      </c>
      <c r="W1455" t="s">
        <v>133</v>
      </c>
      <c r="X1455">
        <v>1738.72</v>
      </c>
      <c r="Y1455" t="s">
        <v>4351</v>
      </c>
      <c r="Z1455" t="s">
        <v>4361</v>
      </c>
      <c r="AB1455" t="s">
        <v>5526</v>
      </c>
      <c r="AD1455" t="s">
        <v>6874</v>
      </c>
      <c r="AE1455">
        <v>48</v>
      </c>
      <c r="AF1455" t="s">
        <v>7101</v>
      </c>
      <c r="AG1455" t="s">
        <v>3745</v>
      </c>
      <c r="AH1455">
        <v>1</v>
      </c>
      <c r="AI1455">
        <v>1</v>
      </c>
      <c r="AJ1455">
        <v>0</v>
      </c>
      <c r="AK1455">
        <v>232.17</v>
      </c>
      <c r="AL1455" t="s">
        <v>7130</v>
      </c>
      <c r="AN1455" t="s">
        <v>7138</v>
      </c>
      <c r="AO1455">
        <v>28000</v>
      </c>
      <c r="AU1455">
        <v>40.26</v>
      </c>
      <c r="AV1455" t="s">
        <v>689</v>
      </c>
      <c r="AW1455" t="s">
        <v>7342</v>
      </c>
    </row>
    <row r="1456" spans="1:50">
      <c r="A1456" s="1">
        <f>HYPERLINK("https://lsnyc.legalserver.org/matter/dynamic-profile/view/1847622","17-1847622")</f>
        <v>0</v>
      </c>
      <c r="B1456" t="s">
        <v>64</v>
      </c>
      <c r="C1456" t="s">
        <v>105</v>
      </c>
      <c r="D1456" t="s">
        <v>284</v>
      </c>
      <c r="F1456" t="s">
        <v>857</v>
      </c>
      <c r="G1456" t="s">
        <v>1730</v>
      </c>
      <c r="H1456" t="s">
        <v>2632</v>
      </c>
      <c r="I1456" t="s">
        <v>3405</v>
      </c>
      <c r="J1456" t="s">
        <v>3604</v>
      </c>
      <c r="K1456">
        <v>10034</v>
      </c>
      <c r="L1456" t="s">
        <v>3610</v>
      </c>
      <c r="M1456" t="s">
        <v>3609</v>
      </c>
      <c r="O1456" t="s">
        <v>4213</v>
      </c>
      <c r="P1456" t="s">
        <v>4241</v>
      </c>
      <c r="R1456" t="s">
        <v>4258</v>
      </c>
      <c r="S1456" t="s">
        <v>3610</v>
      </c>
      <c r="U1456" t="s">
        <v>4268</v>
      </c>
      <c r="W1456" t="s">
        <v>609</v>
      </c>
      <c r="X1456">
        <v>752.46</v>
      </c>
      <c r="Y1456" t="s">
        <v>4351</v>
      </c>
      <c r="Z1456" t="s">
        <v>4354</v>
      </c>
      <c r="AB1456" t="s">
        <v>5527</v>
      </c>
      <c r="AD1456" t="s">
        <v>6875</v>
      </c>
      <c r="AE1456">
        <v>50</v>
      </c>
      <c r="AF1456" t="s">
        <v>7101</v>
      </c>
      <c r="AG1456" t="s">
        <v>3745</v>
      </c>
      <c r="AH1456">
        <v>42</v>
      </c>
      <c r="AI1456">
        <v>1</v>
      </c>
      <c r="AJ1456">
        <v>0</v>
      </c>
      <c r="AK1456">
        <v>232.17</v>
      </c>
      <c r="AL1456" t="s">
        <v>7130</v>
      </c>
      <c r="AN1456" t="s">
        <v>7139</v>
      </c>
      <c r="AO1456">
        <v>28000</v>
      </c>
      <c r="AU1456">
        <v>2.25</v>
      </c>
      <c r="AV1456" t="s">
        <v>7333</v>
      </c>
      <c r="AW1456" t="s">
        <v>7342</v>
      </c>
    </row>
    <row r="1457" spans="1:50">
      <c r="A1457" s="1">
        <f>HYPERLINK("https://lsnyc.legalserver.org/matter/dynamic-profile/view/0832811","17-0832811")</f>
        <v>0</v>
      </c>
      <c r="B1457" t="s">
        <v>55</v>
      </c>
      <c r="C1457" t="s">
        <v>104</v>
      </c>
      <c r="D1457" t="s">
        <v>186</v>
      </c>
      <c r="E1457" t="s">
        <v>329</v>
      </c>
      <c r="F1457" t="s">
        <v>1428</v>
      </c>
      <c r="G1457" t="s">
        <v>2293</v>
      </c>
      <c r="H1457" t="s">
        <v>3157</v>
      </c>
      <c r="I1457" t="s">
        <v>3396</v>
      </c>
      <c r="J1457" t="s">
        <v>3604</v>
      </c>
      <c r="K1457">
        <v>10029</v>
      </c>
      <c r="L1457" t="s">
        <v>3610</v>
      </c>
      <c r="M1457" t="s">
        <v>3610</v>
      </c>
      <c r="N1457" t="s">
        <v>4125</v>
      </c>
      <c r="O1457" t="s">
        <v>4210</v>
      </c>
      <c r="P1457" t="s">
        <v>4241</v>
      </c>
      <c r="Q1457" t="s">
        <v>4255</v>
      </c>
      <c r="R1457" t="s">
        <v>4258</v>
      </c>
      <c r="S1457" t="s">
        <v>3611</v>
      </c>
      <c r="T1457" t="s">
        <v>4259</v>
      </c>
      <c r="U1457" t="s">
        <v>4268</v>
      </c>
      <c r="V1457" t="s">
        <v>4274</v>
      </c>
      <c r="W1457" t="s">
        <v>4343</v>
      </c>
      <c r="X1457">
        <v>1054</v>
      </c>
      <c r="Y1457" t="s">
        <v>4351</v>
      </c>
      <c r="Z1457" t="s">
        <v>4354</v>
      </c>
      <c r="AA1457" t="s">
        <v>4374</v>
      </c>
      <c r="AB1457" t="s">
        <v>5528</v>
      </c>
      <c r="AD1457" t="s">
        <v>6876</v>
      </c>
      <c r="AE1457">
        <v>0</v>
      </c>
      <c r="AF1457" t="s">
        <v>7101</v>
      </c>
      <c r="AG1457" t="s">
        <v>3745</v>
      </c>
      <c r="AH1457">
        <v>6</v>
      </c>
      <c r="AI1457">
        <v>1</v>
      </c>
      <c r="AJ1457">
        <v>0</v>
      </c>
      <c r="AK1457">
        <v>232.17</v>
      </c>
      <c r="AL1457" t="s">
        <v>7130</v>
      </c>
      <c r="AN1457" t="s">
        <v>7138</v>
      </c>
      <c r="AO1457">
        <v>28000</v>
      </c>
      <c r="AU1457">
        <v>38.7</v>
      </c>
      <c r="AV1457" t="s">
        <v>398</v>
      </c>
      <c r="AW1457" t="s">
        <v>7341</v>
      </c>
    </row>
    <row r="1458" spans="1:50">
      <c r="A1458" s="1">
        <f>HYPERLINK("https://lsnyc.legalserver.org/matter/dynamic-profile/view/1892720","19-1892720")</f>
        <v>0</v>
      </c>
      <c r="B1458" t="s">
        <v>68</v>
      </c>
      <c r="C1458" t="s">
        <v>105</v>
      </c>
      <c r="D1458" t="s">
        <v>190</v>
      </c>
      <c r="F1458" t="s">
        <v>1429</v>
      </c>
      <c r="G1458" t="s">
        <v>1846</v>
      </c>
      <c r="H1458" t="s">
        <v>2764</v>
      </c>
      <c r="I1458" t="s">
        <v>3285</v>
      </c>
      <c r="J1458" t="s">
        <v>3604</v>
      </c>
      <c r="K1458">
        <v>10029</v>
      </c>
      <c r="L1458" t="s">
        <v>3610</v>
      </c>
      <c r="M1458" t="s">
        <v>3610</v>
      </c>
      <c r="N1458" t="s">
        <v>4126</v>
      </c>
      <c r="O1458" t="s">
        <v>4209</v>
      </c>
      <c r="P1458" t="s">
        <v>4245</v>
      </c>
      <c r="R1458" t="s">
        <v>4258</v>
      </c>
      <c r="S1458" t="s">
        <v>3611</v>
      </c>
      <c r="U1458" t="s">
        <v>4271</v>
      </c>
      <c r="V1458" t="s">
        <v>4274</v>
      </c>
      <c r="W1458" t="s">
        <v>4344</v>
      </c>
      <c r="X1458">
        <v>676</v>
      </c>
      <c r="Y1458" t="s">
        <v>4351</v>
      </c>
      <c r="Z1458" t="s">
        <v>4359</v>
      </c>
      <c r="AB1458" t="s">
        <v>5529</v>
      </c>
      <c r="AD1458" t="s">
        <v>6877</v>
      </c>
      <c r="AE1458">
        <v>40</v>
      </c>
      <c r="AF1458" t="s">
        <v>7106</v>
      </c>
      <c r="AG1458" t="s">
        <v>7116</v>
      </c>
      <c r="AH1458">
        <v>5</v>
      </c>
      <c r="AI1458">
        <v>1</v>
      </c>
      <c r="AJ1458">
        <v>0</v>
      </c>
      <c r="AK1458">
        <v>232.19</v>
      </c>
      <c r="AN1458" t="s">
        <v>7138</v>
      </c>
      <c r="AO1458">
        <v>29000</v>
      </c>
      <c r="AU1458">
        <v>34.5</v>
      </c>
      <c r="AV1458" t="s">
        <v>512</v>
      </c>
      <c r="AW1458" t="s">
        <v>68</v>
      </c>
      <c r="AX1458" t="s">
        <v>7377</v>
      </c>
    </row>
    <row r="1459" spans="1:50">
      <c r="A1459" s="1">
        <f>HYPERLINK("https://lsnyc.legalserver.org/matter/dynamic-profile/view/1900478","19-1900478")</f>
        <v>0</v>
      </c>
      <c r="B1459" t="s">
        <v>61</v>
      </c>
      <c r="C1459" t="s">
        <v>105</v>
      </c>
      <c r="D1459" t="s">
        <v>424</v>
      </c>
      <c r="F1459" t="s">
        <v>902</v>
      </c>
      <c r="G1459" t="s">
        <v>1884</v>
      </c>
      <c r="H1459" t="s">
        <v>3158</v>
      </c>
      <c r="I1459" t="s">
        <v>3375</v>
      </c>
      <c r="J1459" t="s">
        <v>3604</v>
      </c>
      <c r="K1459">
        <v>10040</v>
      </c>
      <c r="L1459" t="s">
        <v>3610</v>
      </c>
      <c r="M1459" t="s">
        <v>3609</v>
      </c>
      <c r="P1459" t="s">
        <v>4242</v>
      </c>
      <c r="R1459" t="s">
        <v>4258</v>
      </c>
      <c r="S1459" t="s">
        <v>3611</v>
      </c>
      <c r="U1459" t="s">
        <v>4268</v>
      </c>
      <c r="W1459" t="s">
        <v>424</v>
      </c>
      <c r="X1459">
        <v>1491.4</v>
      </c>
      <c r="Y1459" t="s">
        <v>4351</v>
      </c>
      <c r="AB1459" t="s">
        <v>5530</v>
      </c>
      <c r="AD1459" t="s">
        <v>6878</v>
      </c>
      <c r="AE1459">
        <v>80</v>
      </c>
      <c r="AF1459" t="s">
        <v>7101</v>
      </c>
      <c r="AG1459" t="s">
        <v>3745</v>
      </c>
      <c r="AH1459">
        <v>24</v>
      </c>
      <c r="AI1459">
        <v>3</v>
      </c>
      <c r="AJ1459">
        <v>1</v>
      </c>
      <c r="AK1459">
        <v>232.25</v>
      </c>
      <c r="AN1459" t="s">
        <v>7139</v>
      </c>
      <c r="AO1459">
        <v>59804</v>
      </c>
      <c r="AU1459">
        <v>1.3</v>
      </c>
      <c r="AV1459" t="s">
        <v>683</v>
      </c>
      <c r="AW1459" t="s">
        <v>7342</v>
      </c>
      <c r="AX1459" t="s">
        <v>7377</v>
      </c>
    </row>
    <row r="1460" spans="1:50">
      <c r="A1460" s="1">
        <f>HYPERLINK("https://lsnyc.legalserver.org/matter/dynamic-profile/view/1864101","18-1864101")</f>
        <v>0</v>
      </c>
      <c r="B1460" t="s">
        <v>56</v>
      </c>
      <c r="C1460" t="s">
        <v>105</v>
      </c>
      <c r="D1460" t="s">
        <v>161</v>
      </c>
      <c r="F1460" t="s">
        <v>933</v>
      </c>
      <c r="G1460" t="s">
        <v>2285</v>
      </c>
      <c r="H1460" t="s">
        <v>2534</v>
      </c>
      <c r="I1460" t="s">
        <v>3395</v>
      </c>
      <c r="J1460" t="s">
        <v>3604</v>
      </c>
      <c r="K1460">
        <v>10040</v>
      </c>
      <c r="L1460" t="s">
        <v>3610</v>
      </c>
      <c r="M1460" t="s">
        <v>3609</v>
      </c>
      <c r="N1460" t="s">
        <v>3656</v>
      </c>
      <c r="O1460" t="s">
        <v>4213</v>
      </c>
      <c r="P1460" t="s">
        <v>4241</v>
      </c>
      <c r="R1460" t="s">
        <v>4258</v>
      </c>
      <c r="S1460" t="s">
        <v>3610</v>
      </c>
      <c r="U1460" t="s">
        <v>4268</v>
      </c>
      <c r="W1460" t="s">
        <v>4299</v>
      </c>
      <c r="X1460">
        <v>1231.45</v>
      </c>
      <c r="Y1460" t="s">
        <v>4351</v>
      </c>
      <c r="Z1460" t="s">
        <v>4357</v>
      </c>
      <c r="AB1460" t="s">
        <v>5513</v>
      </c>
      <c r="AD1460" t="s">
        <v>6860</v>
      </c>
      <c r="AE1460">
        <v>44</v>
      </c>
      <c r="AF1460" t="s">
        <v>7101</v>
      </c>
      <c r="AG1460" t="s">
        <v>3745</v>
      </c>
      <c r="AH1460">
        <v>13</v>
      </c>
      <c r="AI1460">
        <v>2</v>
      </c>
      <c r="AJ1460">
        <v>0</v>
      </c>
      <c r="AK1460">
        <v>232.83</v>
      </c>
      <c r="AL1460" t="s">
        <v>246</v>
      </c>
      <c r="AN1460" t="s">
        <v>7139</v>
      </c>
      <c r="AO1460">
        <v>55848</v>
      </c>
      <c r="AU1460">
        <v>1</v>
      </c>
      <c r="AV1460" t="s">
        <v>253</v>
      </c>
      <c r="AW1460" t="s">
        <v>7342</v>
      </c>
    </row>
    <row r="1461" spans="1:50">
      <c r="A1461" s="1">
        <f>HYPERLINK("https://lsnyc.legalserver.org/matter/dynamic-profile/view/1877335","18-1877335")</f>
        <v>0</v>
      </c>
      <c r="B1461" t="s">
        <v>61</v>
      </c>
      <c r="C1461" t="s">
        <v>104</v>
      </c>
      <c r="D1461" t="s">
        <v>468</v>
      </c>
      <c r="E1461" t="s">
        <v>201</v>
      </c>
      <c r="F1461" t="s">
        <v>1430</v>
      </c>
      <c r="G1461" t="s">
        <v>1146</v>
      </c>
      <c r="H1461" t="s">
        <v>2894</v>
      </c>
      <c r="I1461" t="s">
        <v>3548</v>
      </c>
      <c r="J1461" t="s">
        <v>3604</v>
      </c>
      <c r="K1461">
        <v>10034</v>
      </c>
      <c r="L1461" t="s">
        <v>3610</v>
      </c>
      <c r="M1461" t="s">
        <v>3610</v>
      </c>
      <c r="O1461" t="s">
        <v>4219</v>
      </c>
      <c r="P1461" t="s">
        <v>4245</v>
      </c>
      <c r="Q1461" t="s">
        <v>4249</v>
      </c>
      <c r="R1461" t="s">
        <v>4258</v>
      </c>
      <c r="S1461" t="s">
        <v>3611</v>
      </c>
      <c r="U1461" t="s">
        <v>4268</v>
      </c>
      <c r="W1461" t="s">
        <v>468</v>
      </c>
      <c r="X1461">
        <v>1332.21</v>
      </c>
      <c r="Y1461" t="s">
        <v>4351</v>
      </c>
      <c r="Z1461" t="s">
        <v>4354</v>
      </c>
      <c r="AA1461" t="s">
        <v>4377</v>
      </c>
      <c r="AB1461" t="s">
        <v>5531</v>
      </c>
      <c r="AE1461">
        <v>68</v>
      </c>
      <c r="AF1461" t="s">
        <v>7101</v>
      </c>
      <c r="AG1461" t="s">
        <v>3745</v>
      </c>
      <c r="AH1461">
        <v>0</v>
      </c>
      <c r="AI1461">
        <v>1</v>
      </c>
      <c r="AJ1461">
        <v>0</v>
      </c>
      <c r="AK1461">
        <v>232.88</v>
      </c>
      <c r="AL1461" t="s">
        <v>561</v>
      </c>
      <c r="AM1461" t="s">
        <v>7134</v>
      </c>
      <c r="AN1461" t="s">
        <v>7139</v>
      </c>
      <c r="AO1461">
        <v>28272</v>
      </c>
      <c r="AU1461">
        <v>1.7</v>
      </c>
      <c r="AV1461" t="s">
        <v>468</v>
      </c>
      <c r="AW1461" t="s">
        <v>7342</v>
      </c>
      <c r="AX1461" t="s">
        <v>7377</v>
      </c>
    </row>
    <row r="1462" spans="1:50">
      <c r="A1462" s="1">
        <f>HYPERLINK("https://lsnyc.legalserver.org/matter/dynamic-profile/view/1864035","18-1864035")</f>
        <v>0</v>
      </c>
      <c r="B1462" t="s">
        <v>53</v>
      </c>
      <c r="C1462" t="s">
        <v>105</v>
      </c>
      <c r="D1462" t="s">
        <v>161</v>
      </c>
      <c r="F1462" t="s">
        <v>1431</v>
      </c>
      <c r="G1462" t="s">
        <v>2294</v>
      </c>
      <c r="H1462" t="s">
        <v>2508</v>
      </c>
      <c r="I1462">
        <v>402</v>
      </c>
      <c r="J1462" t="s">
        <v>3604</v>
      </c>
      <c r="K1462">
        <v>10029</v>
      </c>
      <c r="L1462" t="s">
        <v>3610</v>
      </c>
      <c r="M1462" t="s">
        <v>3610</v>
      </c>
      <c r="N1462" t="s">
        <v>3642</v>
      </c>
      <c r="O1462" t="s">
        <v>4213</v>
      </c>
      <c r="P1462" t="s">
        <v>4241</v>
      </c>
      <c r="R1462" t="s">
        <v>4258</v>
      </c>
      <c r="S1462" t="s">
        <v>3610</v>
      </c>
      <c r="U1462" t="s">
        <v>4268</v>
      </c>
      <c r="V1462" t="s">
        <v>4274</v>
      </c>
      <c r="W1462" t="s">
        <v>161</v>
      </c>
      <c r="X1462">
        <v>0</v>
      </c>
      <c r="Y1462" t="s">
        <v>4351</v>
      </c>
      <c r="Z1462" t="s">
        <v>4352</v>
      </c>
      <c r="AB1462" t="s">
        <v>5532</v>
      </c>
      <c r="AE1462">
        <v>108</v>
      </c>
      <c r="AF1462" t="s">
        <v>7106</v>
      </c>
      <c r="AG1462" t="s">
        <v>7116</v>
      </c>
      <c r="AH1462">
        <v>4</v>
      </c>
      <c r="AI1462">
        <v>1</v>
      </c>
      <c r="AJ1462">
        <v>1</v>
      </c>
      <c r="AK1462">
        <v>233.29</v>
      </c>
      <c r="AN1462" t="s">
        <v>7138</v>
      </c>
      <c r="AO1462">
        <v>38400</v>
      </c>
      <c r="AU1462">
        <v>3</v>
      </c>
      <c r="AV1462" t="s">
        <v>517</v>
      </c>
      <c r="AW1462" t="s">
        <v>7341</v>
      </c>
    </row>
    <row r="1463" spans="1:50">
      <c r="A1463" s="1">
        <f>HYPERLINK("https://lsnyc.legalserver.org/matter/dynamic-profile/view/1873600","18-1873600")</f>
        <v>0</v>
      </c>
      <c r="B1463" t="s">
        <v>74</v>
      </c>
      <c r="C1463" t="s">
        <v>105</v>
      </c>
      <c r="D1463" t="s">
        <v>627</v>
      </c>
      <c r="F1463" t="s">
        <v>1431</v>
      </c>
      <c r="G1463" t="s">
        <v>2294</v>
      </c>
      <c r="H1463" t="s">
        <v>2508</v>
      </c>
      <c r="I1463">
        <v>402</v>
      </c>
      <c r="J1463" t="s">
        <v>3604</v>
      </c>
      <c r="K1463">
        <v>10029</v>
      </c>
      <c r="L1463" t="s">
        <v>3610</v>
      </c>
      <c r="M1463" t="s">
        <v>3610</v>
      </c>
      <c r="N1463" t="s">
        <v>4127</v>
      </c>
      <c r="O1463" t="s">
        <v>4209</v>
      </c>
      <c r="P1463" t="s">
        <v>4241</v>
      </c>
      <c r="R1463" t="s">
        <v>4258</v>
      </c>
      <c r="S1463" t="s">
        <v>3611</v>
      </c>
      <c r="U1463" t="s">
        <v>4268</v>
      </c>
      <c r="W1463" t="s">
        <v>627</v>
      </c>
      <c r="X1463">
        <v>0</v>
      </c>
      <c r="Y1463" t="s">
        <v>4351</v>
      </c>
      <c r="Z1463" t="s">
        <v>4352</v>
      </c>
      <c r="AB1463" t="s">
        <v>5532</v>
      </c>
      <c r="AE1463">
        <v>108</v>
      </c>
      <c r="AF1463" t="s">
        <v>7106</v>
      </c>
      <c r="AG1463" t="s">
        <v>7116</v>
      </c>
      <c r="AH1463">
        <v>4</v>
      </c>
      <c r="AI1463">
        <v>1</v>
      </c>
      <c r="AJ1463">
        <v>1</v>
      </c>
      <c r="AK1463">
        <v>233.29</v>
      </c>
      <c r="AL1463" t="s">
        <v>561</v>
      </c>
      <c r="AM1463" t="s">
        <v>7134</v>
      </c>
      <c r="AN1463" t="s">
        <v>7138</v>
      </c>
      <c r="AO1463">
        <v>38400</v>
      </c>
      <c r="AU1463">
        <v>5.55</v>
      </c>
      <c r="AV1463" t="s">
        <v>625</v>
      </c>
      <c r="AW1463" t="s">
        <v>7341</v>
      </c>
    </row>
    <row r="1464" spans="1:50">
      <c r="A1464" s="1">
        <f>HYPERLINK("https://lsnyc.legalserver.org/matter/dynamic-profile/view/1843868","17-1843868")</f>
        <v>0</v>
      </c>
      <c r="B1464" t="s">
        <v>84</v>
      </c>
      <c r="C1464" t="s">
        <v>105</v>
      </c>
      <c r="D1464" t="s">
        <v>383</v>
      </c>
      <c r="F1464" t="s">
        <v>1246</v>
      </c>
      <c r="G1464" t="s">
        <v>2295</v>
      </c>
      <c r="H1464" t="s">
        <v>2812</v>
      </c>
      <c r="I1464" t="s">
        <v>3354</v>
      </c>
      <c r="J1464" t="s">
        <v>3604</v>
      </c>
      <c r="K1464">
        <v>10040</v>
      </c>
      <c r="L1464" t="s">
        <v>3610</v>
      </c>
      <c r="M1464" t="s">
        <v>3609</v>
      </c>
      <c r="N1464" t="s">
        <v>4128</v>
      </c>
      <c r="O1464" t="s">
        <v>4210</v>
      </c>
      <c r="P1464" t="s">
        <v>4241</v>
      </c>
      <c r="R1464" t="s">
        <v>4258</v>
      </c>
      <c r="S1464" t="s">
        <v>3611</v>
      </c>
      <c r="T1464" t="s">
        <v>4259</v>
      </c>
      <c r="U1464" t="s">
        <v>4268</v>
      </c>
      <c r="W1464" t="s">
        <v>379</v>
      </c>
      <c r="X1464">
        <v>1100</v>
      </c>
      <c r="Y1464" t="s">
        <v>4351</v>
      </c>
      <c r="Z1464" t="s">
        <v>4354</v>
      </c>
      <c r="AB1464" t="s">
        <v>5533</v>
      </c>
      <c r="AD1464" t="s">
        <v>6879</v>
      </c>
      <c r="AE1464">
        <v>185</v>
      </c>
      <c r="AF1464" t="s">
        <v>7101</v>
      </c>
      <c r="AG1464" t="s">
        <v>3745</v>
      </c>
      <c r="AH1464">
        <v>20</v>
      </c>
      <c r="AI1464">
        <v>2</v>
      </c>
      <c r="AJ1464">
        <v>0</v>
      </c>
      <c r="AK1464">
        <v>233.99</v>
      </c>
      <c r="AL1464" t="s">
        <v>7130</v>
      </c>
      <c r="AN1464" t="s">
        <v>7138</v>
      </c>
      <c r="AO1464">
        <v>38000</v>
      </c>
      <c r="AU1464">
        <v>57.55</v>
      </c>
      <c r="AV1464" t="s">
        <v>660</v>
      </c>
      <c r="AW1464" t="s">
        <v>7344</v>
      </c>
    </row>
    <row r="1465" spans="1:50">
      <c r="A1465" s="1">
        <f>HYPERLINK("https://lsnyc.legalserver.org/matter/dynamic-profile/view/1836934","17-1836934")</f>
        <v>0</v>
      </c>
      <c r="B1465" t="s">
        <v>61</v>
      </c>
      <c r="C1465" t="s">
        <v>105</v>
      </c>
      <c r="D1465" t="s">
        <v>628</v>
      </c>
      <c r="F1465" t="s">
        <v>1432</v>
      </c>
      <c r="G1465" t="s">
        <v>2296</v>
      </c>
      <c r="H1465" t="s">
        <v>3159</v>
      </c>
      <c r="I1465" t="s">
        <v>3359</v>
      </c>
      <c r="J1465" t="s">
        <v>3604</v>
      </c>
      <c r="K1465">
        <v>10034</v>
      </c>
      <c r="L1465" t="s">
        <v>3610</v>
      </c>
      <c r="M1465" t="s">
        <v>3609</v>
      </c>
      <c r="O1465" t="s">
        <v>4220</v>
      </c>
      <c r="P1465" t="s">
        <v>4243</v>
      </c>
      <c r="R1465" t="s">
        <v>4258</v>
      </c>
      <c r="S1465" t="s">
        <v>3611</v>
      </c>
      <c r="U1465" t="s">
        <v>4268</v>
      </c>
      <c r="W1465" t="s">
        <v>133</v>
      </c>
      <c r="X1465">
        <v>1714</v>
      </c>
      <c r="Y1465" t="s">
        <v>4351</v>
      </c>
      <c r="Z1465" t="s">
        <v>4358</v>
      </c>
      <c r="AB1465" t="s">
        <v>5534</v>
      </c>
      <c r="AD1465" t="s">
        <v>6880</v>
      </c>
      <c r="AE1465">
        <v>110</v>
      </c>
      <c r="AF1465" t="s">
        <v>7101</v>
      </c>
      <c r="AG1465" t="s">
        <v>3745</v>
      </c>
      <c r="AH1465">
        <v>21</v>
      </c>
      <c r="AI1465">
        <v>1</v>
      </c>
      <c r="AJ1465">
        <v>1</v>
      </c>
      <c r="AK1465">
        <v>233.99</v>
      </c>
      <c r="AL1465" t="s">
        <v>508</v>
      </c>
      <c r="AN1465" t="s">
        <v>7138</v>
      </c>
      <c r="AO1465">
        <v>38000</v>
      </c>
      <c r="AU1465">
        <v>56.9</v>
      </c>
      <c r="AV1465" t="s">
        <v>348</v>
      </c>
      <c r="AW1465" t="s">
        <v>7343</v>
      </c>
    </row>
    <row r="1466" spans="1:50">
      <c r="A1466" s="1">
        <f>HYPERLINK("https://lsnyc.legalserver.org/matter/dynamic-profile/view/1837984","17-1837984")</f>
        <v>0</v>
      </c>
      <c r="B1466" t="s">
        <v>61</v>
      </c>
      <c r="C1466" t="s">
        <v>105</v>
      </c>
      <c r="D1466" t="s">
        <v>452</v>
      </c>
      <c r="F1466" t="s">
        <v>1432</v>
      </c>
      <c r="G1466" t="s">
        <v>2296</v>
      </c>
      <c r="H1466" t="s">
        <v>3159</v>
      </c>
      <c r="I1466" t="s">
        <v>3359</v>
      </c>
      <c r="J1466" t="s">
        <v>3604</v>
      </c>
      <c r="K1466">
        <v>10034</v>
      </c>
      <c r="L1466" t="s">
        <v>3610</v>
      </c>
      <c r="M1466" t="s">
        <v>3609</v>
      </c>
      <c r="N1466" t="s">
        <v>4129</v>
      </c>
      <c r="O1466" t="s">
        <v>4210</v>
      </c>
      <c r="P1466" t="s">
        <v>4241</v>
      </c>
      <c r="R1466" t="s">
        <v>4258</v>
      </c>
      <c r="S1466" t="s">
        <v>3611</v>
      </c>
      <c r="T1466" t="s">
        <v>4259</v>
      </c>
      <c r="U1466" t="s">
        <v>4268</v>
      </c>
      <c r="W1466" t="s">
        <v>125</v>
      </c>
      <c r="X1466">
        <v>1714</v>
      </c>
      <c r="Y1466" t="s">
        <v>4351</v>
      </c>
      <c r="Z1466" t="s">
        <v>4357</v>
      </c>
      <c r="AB1466" t="s">
        <v>5534</v>
      </c>
      <c r="AD1466" t="s">
        <v>6880</v>
      </c>
      <c r="AE1466">
        <v>110</v>
      </c>
      <c r="AF1466" t="s">
        <v>7101</v>
      </c>
      <c r="AG1466" t="s">
        <v>3745</v>
      </c>
      <c r="AH1466">
        <v>21</v>
      </c>
      <c r="AI1466">
        <v>1</v>
      </c>
      <c r="AJ1466">
        <v>1</v>
      </c>
      <c r="AK1466">
        <v>233.99</v>
      </c>
      <c r="AL1466" t="s">
        <v>508</v>
      </c>
      <c r="AN1466" t="s">
        <v>7138</v>
      </c>
      <c r="AO1466">
        <v>38000</v>
      </c>
      <c r="AU1466">
        <v>126.35</v>
      </c>
      <c r="AV1466" t="s">
        <v>4290</v>
      </c>
      <c r="AW1466" t="s">
        <v>7341</v>
      </c>
    </row>
    <row r="1467" spans="1:50">
      <c r="A1467" s="1">
        <f>HYPERLINK("https://lsnyc.legalserver.org/matter/dynamic-profile/view/1854938","18-1854938")</f>
        <v>0</v>
      </c>
      <c r="B1467" t="s">
        <v>56</v>
      </c>
      <c r="C1467" t="s">
        <v>104</v>
      </c>
      <c r="D1467" t="s">
        <v>519</v>
      </c>
      <c r="E1467" t="s">
        <v>659</v>
      </c>
      <c r="F1467" t="s">
        <v>1118</v>
      </c>
      <c r="G1467" t="s">
        <v>1594</v>
      </c>
      <c r="H1467" t="s">
        <v>3160</v>
      </c>
      <c r="I1467" t="s">
        <v>3549</v>
      </c>
      <c r="J1467" t="s">
        <v>3604</v>
      </c>
      <c r="K1467">
        <v>10040</v>
      </c>
      <c r="L1467" t="s">
        <v>3610</v>
      </c>
      <c r="M1467" t="s">
        <v>3609</v>
      </c>
      <c r="N1467" t="s">
        <v>4130</v>
      </c>
      <c r="O1467" t="s">
        <v>4219</v>
      </c>
      <c r="P1467" t="s">
        <v>4241</v>
      </c>
      <c r="Q1467" t="s">
        <v>4248</v>
      </c>
      <c r="R1467" t="s">
        <v>4258</v>
      </c>
      <c r="S1467" t="s">
        <v>3611</v>
      </c>
      <c r="U1467" t="s">
        <v>4268</v>
      </c>
      <c r="W1467" t="s">
        <v>519</v>
      </c>
      <c r="X1467">
        <v>1159.75</v>
      </c>
      <c r="Y1467" t="s">
        <v>4351</v>
      </c>
      <c r="Z1467" t="s">
        <v>4354</v>
      </c>
      <c r="AA1467" t="s">
        <v>4374</v>
      </c>
      <c r="AB1467" t="s">
        <v>5535</v>
      </c>
      <c r="AD1467" t="s">
        <v>6881</v>
      </c>
      <c r="AE1467">
        <v>185</v>
      </c>
      <c r="AF1467" t="s">
        <v>7101</v>
      </c>
      <c r="AG1467" t="s">
        <v>3745</v>
      </c>
      <c r="AH1467">
        <v>13</v>
      </c>
      <c r="AI1467">
        <v>2</v>
      </c>
      <c r="AJ1467">
        <v>2</v>
      </c>
      <c r="AK1467">
        <v>234.03</v>
      </c>
      <c r="AL1467" t="s">
        <v>7130</v>
      </c>
      <c r="AN1467" t="s">
        <v>7138</v>
      </c>
      <c r="AO1467">
        <v>57572</v>
      </c>
      <c r="AU1467">
        <v>27.8</v>
      </c>
      <c r="AV1467" t="s">
        <v>674</v>
      </c>
      <c r="AW1467" t="s">
        <v>7342</v>
      </c>
      <c r="AX1467" t="s">
        <v>7377</v>
      </c>
    </row>
    <row r="1468" spans="1:50">
      <c r="A1468" s="1">
        <f>HYPERLINK("https://lsnyc.legalserver.org/matter/dynamic-profile/view/1846894","17-1846894")</f>
        <v>0</v>
      </c>
      <c r="B1468" t="s">
        <v>53</v>
      </c>
      <c r="C1468" t="s">
        <v>105</v>
      </c>
      <c r="D1468" t="s">
        <v>629</v>
      </c>
      <c r="F1468" t="s">
        <v>727</v>
      </c>
      <c r="G1468" t="s">
        <v>1661</v>
      </c>
      <c r="H1468" t="s">
        <v>2734</v>
      </c>
      <c r="I1468" t="s">
        <v>3311</v>
      </c>
      <c r="J1468" t="s">
        <v>3604</v>
      </c>
      <c r="K1468">
        <v>10040</v>
      </c>
      <c r="L1468" t="s">
        <v>3610</v>
      </c>
      <c r="M1468" t="s">
        <v>3609</v>
      </c>
      <c r="N1468" t="s">
        <v>4131</v>
      </c>
      <c r="O1468" t="s">
        <v>4220</v>
      </c>
      <c r="P1468" t="s">
        <v>4244</v>
      </c>
      <c r="R1468" t="s">
        <v>4258</v>
      </c>
      <c r="S1468" t="s">
        <v>3611</v>
      </c>
      <c r="U1468" t="s">
        <v>4268</v>
      </c>
      <c r="W1468" t="s">
        <v>629</v>
      </c>
      <c r="X1468">
        <v>981.58</v>
      </c>
      <c r="Y1468" t="s">
        <v>4351</v>
      </c>
      <c r="Z1468" t="s">
        <v>4354</v>
      </c>
      <c r="AB1468" t="s">
        <v>5536</v>
      </c>
      <c r="AD1468" t="s">
        <v>6882</v>
      </c>
      <c r="AE1468">
        <v>43</v>
      </c>
      <c r="AF1468" t="s">
        <v>7101</v>
      </c>
      <c r="AG1468" t="s">
        <v>3745</v>
      </c>
      <c r="AH1468">
        <v>0</v>
      </c>
      <c r="AI1468">
        <v>2</v>
      </c>
      <c r="AJ1468">
        <v>0</v>
      </c>
      <c r="AK1468">
        <v>234.68</v>
      </c>
      <c r="AL1468" t="s">
        <v>7125</v>
      </c>
      <c r="AN1468" t="s">
        <v>7139</v>
      </c>
      <c r="AO1468">
        <v>76222.64</v>
      </c>
      <c r="AU1468">
        <v>3.26</v>
      </c>
      <c r="AV1468" t="s">
        <v>233</v>
      </c>
      <c r="AW1468" t="s">
        <v>7342</v>
      </c>
    </row>
    <row r="1469" spans="1:50">
      <c r="A1469" s="1">
        <f>HYPERLINK("https://lsnyc.legalserver.org/matter/dynamic-profile/view/1885272","18-1885272")</f>
        <v>0</v>
      </c>
      <c r="B1469" t="s">
        <v>53</v>
      </c>
      <c r="C1469" t="s">
        <v>105</v>
      </c>
      <c r="D1469" t="s">
        <v>485</v>
      </c>
      <c r="F1469" t="s">
        <v>1433</v>
      </c>
      <c r="G1469" t="s">
        <v>2294</v>
      </c>
      <c r="H1469" t="s">
        <v>2729</v>
      </c>
      <c r="I1469">
        <v>62</v>
      </c>
      <c r="J1469" t="s">
        <v>3604</v>
      </c>
      <c r="K1469">
        <v>10039</v>
      </c>
      <c r="L1469" t="s">
        <v>3610</v>
      </c>
      <c r="M1469" t="s">
        <v>3610</v>
      </c>
      <c r="N1469" t="s">
        <v>3767</v>
      </c>
      <c r="O1469" t="s">
        <v>4213</v>
      </c>
      <c r="P1469" t="s">
        <v>4241</v>
      </c>
      <c r="R1469" t="s">
        <v>4258</v>
      </c>
      <c r="S1469" t="s">
        <v>3610</v>
      </c>
      <c r="U1469" t="s">
        <v>4268</v>
      </c>
      <c r="V1469" t="s">
        <v>4274</v>
      </c>
      <c r="W1469" t="s">
        <v>485</v>
      </c>
      <c r="X1469">
        <v>235</v>
      </c>
      <c r="Y1469" t="s">
        <v>4351</v>
      </c>
      <c r="Z1469" t="s">
        <v>4352</v>
      </c>
      <c r="AB1469" t="s">
        <v>5537</v>
      </c>
      <c r="AD1469" t="s">
        <v>6883</v>
      </c>
      <c r="AE1469">
        <v>24</v>
      </c>
      <c r="AF1469" t="s">
        <v>7104</v>
      </c>
      <c r="AG1469" t="s">
        <v>3745</v>
      </c>
      <c r="AH1469">
        <v>49</v>
      </c>
      <c r="AI1469">
        <v>1</v>
      </c>
      <c r="AJ1469">
        <v>0</v>
      </c>
      <c r="AK1469">
        <v>235.58</v>
      </c>
      <c r="AN1469" t="s">
        <v>7138</v>
      </c>
      <c r="AO1469">
        <v>28600</v>
      </c>
      <c r="AU1469">
        <v>0</v>
      </c>
      <c r="AW1469" t="s">
        <v>7341</v>
      </c>
    </row>
    <row r="1470" spans="1:50">
      <c r="A1470" s="1">
        <f>HYPERLINK("https://lsnyc.legalserver.org/matter/dynamic-profile/view/1836130","17-1836130")</f>
        <v>0</v>
      </c>
      <c r="B1470" t="s">
        <v>56</v>
      </c>
      <c r="C1470" t="s">
        <v>105</v>
      </c>
      <c r="D1470" t="s">
        <v>496</v>
      </c>
      <c r="F1470" t="s">
        <v>933</v>
      </c>
      <c r="G1470" t="s">
        <v>2285</v>
      </c>
      <c r="H1470" t="s">
        <v>2534</v>
      </c>
      <c r="I1470" t="s">
        <v>3395</v>
      </c>
      <c r="J1470" t="s">
        <v>3604</v>
      </c>
      <c r="K1470">
        <v>10040</v>
      </c>
      <c r="L1470" t="s">
        <v>3610</v>
      </c>
      <c r="M1470" t="s">
        <v>3609</v>
      </c>
      <c r="N1470" t="s">
        <v>3656</v>
      </c>
      <c r="O1470" t="s">
        <v>4213</v>
      </c>
      <c r="P1470" t="s">
        <v>4243</v>
      </c>
      <c r="R1470" t="s">
        <v>4258</v>
      </c>
      <c r="S1470" t="s">
        <v>3610</v>
      </c>
      <c r="U1470" t="s">
        <v>4268</v>
      </c>
      <c r="W1470" t="s">
        <v>4299</v>
      </c>
      <c r="X1470">
        <v>1231.45</v>
      </c>
      <c r="Y1470" t="s">
        <v>4351</v>
      </c>
      <c r="Z1470" t="s">
        <v>4352</v>
      </c>
      <c r="AB1470" t="s">
        <v>5513</v>
      </c>
      <c r="AD1470" t="s">
        <v>6860</v>
      </c>
      <c r="AE1470">
        <v>45</v>
      </c>
      <c r="AF1470" t="s">
        <v>7101</v>
      </c>
      <c r="AG1470" t="s">
        <v>3745</v>
      </c>
      <c r="AH1470">
        <v>13</v>
      </c>
      <c r="AI1470">
        <v>2</v>
      </c>
      <c r="AJ1470">
        <v>0</v>
      </c>
      <c r="AK1470">
        <v>235.99</v>
      </c>
      <c r="AL1470" t="s">
        <v>246</v>
      </c>
      <c r="AN1470" t="s">
        <v>7139</v>
      </c>
      <c r="AO1470">
        <v>38324</v>
      </c>
      <c r="AU1470">
        <v>1.2</v>
      </c>
      <c r="AV1470" t="s">
        <v>253</v>
      </c>
      <c r="AW1470" t="s">
        <v>7341</v>
      </c>
    </row>
    <row r="1471" spans="1:50">
      <c r="A1471" s="1">
        <f>HYPERLINK("https://lsnyc.legalserver.org/matter/dynamic-profile/view/1864017","18-1864017")</f>
        <v>0</v>
      </c>
      <c r="B1471" t="s">
        <v>67</v>
      </c>
      <c r="C1471" t="s">
        <v>105</v>
      </c>
      <c r="D1471" t="s">
        <v>347</v>
      </c>
      <c r="F1471" t="s">
        <v>1434</v>
      </c>
      <c r="G1471" t="s">
        <v>2297</v>
      </c>
      <c r="H1471" t="s">
        <v>2508</v>
      </c>
      <c r="I1471">
        <v>311</v>
      </c>
      <c r="J1471" t="s">
        <v>3604</v>
      </c>
      <c r="K1471">
        <v>10029</v>
      </c>
      <c r="L1471" t="s">
        <v>3610</v>
      </c>
      <c r="M1471" t="s">
        <v>3610</v>
      </c>
      <c r="N1471" t="s">
        <v>3642</v>
      </c>
      <c r="O1471" t="s">
        <v>4213</v>
      </c>
      <c r="P1471" t="s">
        <v>4241</v>
      </c>
      <c r="R1471" t="s">
        <v>4258</v>
      </c>
      <c r="S1471" t="s">
        <v>3610</v>
      </c>
      <c r="U1471" t="s">
        <v>4268</v>
      </c>
      <c r="V1471" t="s">
        <v>4274</v>
      </c>
      <c r="W1471" t="s">
        <v>347</v>
      </c>
      <c r="X1471">
        <v>0</v>
      </c>
      <c r="Y1471" t="s">
        <v>4351</v>
      </c>
      <c r="Z1471" t="s">
        <v>4352</v>
      </c>
      <c r="AB1471" t="s">
        <v>5538</v>
      </c>
      <c r="AE1471">
        <v>108</v>
      </c>
      <c r="AF1471" t="s">
        <v>7106</v>
      </c>
      <c r="AG1471" t="s">
        <v>7116</v>
      </c>
      <c r="AH1471">
        <v>8</v>
      </c>
      <c r="AI1471">
        <v>1</v>
      </c>
      <c r="AJ1471">
        <v>2</v>
      </c>
      <c r="AK1471">
        <v>236.7</v>
      </c>
      <c r="AN1471" t="s">
        <v>7138</v>
      </c>
      <c r="AO1471">
        <v>49187</v>
      </c>
      <c r="AU1471">
        <v>0.2</v>
      </c>
      <c r="AV1471" t="s">
        <v>7290</v>
      </c>
      <c r="AW1471" t="s">
        <v>7341</v>
      </c>
    </row>
    <row r="1472" spans="1:50">
      <c r="A1472" s="1">
        <f>HYPERLINK("https://lsnyc.legalserver.org/matter/dynamic-profile/view/1874834","18-1874834")</f>
        <v>0</v>
      </c>
      <c r="B1472" t="s">
        <v>64</v>
      </c>
      <c r="C1472" t="s">
        <v>104</v>
      </c>
      <c r="D1472" t="s">
        <v>360</v>
      </c>
      <c r="E1472" t="s">
        <v>109</v>
      </c>
      <c r="F1472" t="s">
        <v>1434</v>
      </c>
      <c r="G1472" t="s">
        <v>2297</v>
      </c>
      <c r="H1472" t="s">
        <v>2508</v>
      </c>
      <c r="I1472">
        <v>311</v>
      </c>
      <c r="J1472" t="s">
        <v>3604</v>
      </c>
      <c r="K1472">
        <v>10029</v>
      </c>
      <c r="L1472" t="s">
        <v>3610</v>
      </c>
      <c r="M1472" t="s">
        <v>3611</v>
      </c>
      <c r="N1472" t="s">
        <v>4132</v>
      </c>
      <c r="O1472" t="s">
        <v>4209</v>
      </c>
      <c r="P1472" t="s">
        <v>4241</v>
      </c>
      <c r="Q1472" t="s">
        <v>4248</v>
      </c>
      <c r="R1472" t="s">
        <v>4258</v>
      </c>
      <c r="S1472" t="s">
        <v>3611</v>
      </c>
      <c r="U1472" t="s">
        <v>4268</v>
      </c>
      <c r="W1472" t="s">
        <v>627</v>
      </c>
      <c r="X1472">
        <v>0</v>
      </c>
      <c r="Y1472" t="s">
        <v>4351</v>
      </c>
      <c r="Z1472" t="s">
        <v>4357</v>
      </c>
      <c r="AA1472" t="s">
        <v>4388</v>
      </c>
      <c r="AB1472" t="s">
        <v>5538</v>
      </c>
      <c r="AE1472">
        <v>108</v>
      </c>
      <c r="AF1472" t="s">
        <v>7106</v>
      </c>
      <c r="AG1472" t="s">
        <v>7116</v>
      </c>
      <c r="AH1472">
        <v>8</v>
      </c>
      <c r="AI1472">
        <v>1</v>
      </c>
      <c r="AJ1472">
        <v>2</v>
      </c>
      <c r="AK1472">
        <v>236.7</v>
      </c>
      <c r="AL1472" t="s">
        <v>561</v>
      </c>
      <c r="AM1472" t="s">
        <v>7134</v>
      </c>
      <c r="AN1472" t="s">
        <v>7138</v>
      </c>
      <c r="AO1472">
        <v>49187</v>
      </c>
      <c r="AP1472" t="s">
        <v>7158</v>
      </c>
      <c r="AU1472">
        <v>12.7</v>
      </c>
      <c r="AV1472" t="s">
        <v>227</v>
      </c>
      <c r="AW1472" t="s">
        <v>7341</v>
      </c>
    </row>
    <row r="1473" spans="1:50">
      <c r="A1473" s="1">
        <f>HYPERLINK("https://lsnyc.legalserver.org/matter/dynamic-profile/view/1870630","18-1870630")</f>
        <v>0</v>
      </c>
      <c r="B1473" t="s">
        <v>67</v>
      </c>
      <c r="C1473" t="s">
        <v>104</v>
      </c>
      <c r="D1473" t="s">
        <v>566</v>
      </c>
      <c r="E1473" t="s">
        <v>442</v>
      </c>
      <c r="F1473" t="s">
        <v>1435</v>
      </c>
      <c r="G1473" t="s">
        <v>2298</v>
      </c>
      <c r="H1473" t="s">
        <v>2653</v>
      </c>
      <c r="I1473" t="s">
        <v>3550</v>
      </c>
      <c r="J1473" t="s">
        <v>3604</v>
      </c>
      <c r="K1473">
        <v>10029</v>
      </c>
      <c r="L1473" t="s">
        <v>3610</v>
      </c>
      <c r="M1473" t="s">
        <v>3610</v>
      </c>
      <c r="N1473" t="s">
        <v>4133</v>
      </c>
      <c r="O1473" t="s">
        <v>4209</v>
      </c>
      <c r="P1473" t="s">
        <v>4241</v>
      </c>
      <c r="Q1473" t="s">
        <v>4248</v>
      </c>
      <c r="R1473" t="s">
        <v>4258</v>
      </c>
      <c r="S1473" t="s">
        <v>3611</v>
      </c>
      <c r="U1473" t="s">
        <v>4268</v>
      </c>
      <c r="V1473" t="s">
        <v>4274</v>
      </c>
      <c r="W1473" t="s">
        <v>4345</v>
      </c>
      <c r="X1473">
        <v>1335</v>
      </c>
      <c r="Y1473" t="s">
        <v>4351</v>
      </c>
      <c r="Z1473" t="s">
        <v>4365</v>
      </c>
      <c r="AA1473" t="s">
        <v>4374</v>
      </c>
      <c r="AB1473" t="s">
        <v>5539</v>
      </c>
      <c r="AD1473" t="s">
        <v>6884</v>
      </c>
      <c r="AE1473">
        <v>42</v>
      </c>
      <c r="AF1473" t="s">
        <v>7105</v>
      </c>
      <c r="AG1473" t="s">
        <v>7116</v>
      </c>
      <c r="AH1473">
        <v>3</v>
      </c>
      <c r="AI1473">
        <v>1</v>
      </c>
      <c r="AJ1473">
        <v>0</v>
      </c>
      <c r="AK1473">
        <v>237.23</v>
      </c>
      <c r="AL1473" t="s">
        <v>561</v>
      </c>
      <c r="AM1473" t="s">
        <v>7134</v>
      </c>
      <c r="AN1473" t="s">
        <v>7138</v>
      </c>
      <c r="AO1473">
        <v>28800</v>
      </c>
      <c r="AU1473">
        <v>17.38</v>
      </c>
      <c r="AV1473" t="s">
        <v>7295</v>
      </c>
      <c r="AW1473" t="s">
        <v>7358</v>
      </c>
    </row>
    <row r="1474" spans="1:50">
      <c r="A1474" s="1">
        <f>HYPERLINK("https://lsnyc.legalserver.org/matter/dynamic-profile/view/1834332","17-1834332")</f>
        <v>0</v>
      </c>
      <c r="B1474" t="s">
        <v>58</v>
      </c>
      <c r="C1474" t="s">
        <v>105</v>
      </c>
      <c r="D1474" t="s">
        <v>191</v>
      </c>
      <c r="F1474" t="s">
        <v>1436</v>
      </c>
      <c r="G1474" t="s">
        <v>1702</v>
      </c>
      <c r="H1474" t="s">
        <v>2757</v>
      </c>
      <c r="I1474" t="s">
        <v>3551</v>
      </c>
      <c r="J1474" t="s">
        <v>3604</v>
      </c>
      <c r="K1474">
        <v>10034</v>
      </c>
      <c r="L1474" t="s">
        <v>3610</v>
      </c>
      <c r="M1474" t="s">
        <v>3609</v>
      </c>
      <c r="O1474" t="s">
        <v>4211</v>
      </c>
      <c r="P1474" t="s">
        <v>4246</v>
      </c>
      <c r="R1474" t="s">
        <v>4258</v>
      </c>
      <c r="S1474" t="s">
        <v>3611</v>
      </c>
      <c r="U1474" t="s">
        <v>4268</v>
      </c>
      <c r="W1474" t="s">
        <v>4297</v>
      </c>
      <c r="X1474">
        <v>1033.79</v>
      </c>
      <c r="Y1474" t="s">
        <v>4351</v>
      </c>
      <c r="Z1474" t="s">
        <v>4354</v>
      </c>
      <c r="AB1474" t="s">
        <v>5540</v>
      </c>
      <c r="AD1474" t="s">
        <v>6885</v>
      </c>
      <c r="AE1474">
        <v>0</v>
      </c>
      <c r="AF1474" t="s">
        <v>7101</v>
      </c>
      <c r="AG1474" t="s">
        <v>3745</v>
      </c>
      <c r="AH1474">
        <v>30</v>
      </c>
      <c r="AI1474">
        <v>2</v>
      </c>
      <c r="AJ1474">
        <v>0</v>
      </c>
      <c r="AK1474">
        <v>237.5</v>
      </c>
      <c r="AL1474" t="s">
        <v>7130</v>
      </c>
      <c r="AN1474" t="s">
        <v>7139</v>
      </c>
      <c r="AO1474">
        <v>38570.8</v>
      </c>
      <c r="AU1474">
        <v>1</v>
      </c>
      <c r="AV1474" t="s">
        <v>191</v>
      </c>
      <c r="AW1474" t="s">
        <v>7341</v>
      </c>
    </row>
    <row r="1475" spans="1:50">
      <c r="A1475" s="1">
        <f>HYPERLINK("https://lsnyc.legalserver.org/matter/dynamic-profile/view/1889002","19-1889002")</f>
        <v>0</v>
      </c>
      <c r="B1475" t="s">
        <v>60</v>
      </c>
      <c r="C1475" t="s">
        <v>105</v>
      </c>
      <c r="D1475" t="s">
        <v>145</v>
      </c>
      <c r="F1475" t="s">
        <v>1366</v>
      </c>
      <c r="G1475" t="s">
        <v>2240</v>
      </c>
      <c r="H1475" t="s">
        <v>3161</v>
      </c>
      <c r="I1475" t="s">
        <v>3325</v>
      </c>
      <c r="J1475" t="s">
        <v>3604</v>
      </c>
      <c r="K1475">
        <v>10040</v>
      </c>
      <c r="L1475" t="s">
        <v>3610</v>
      </c>
      <c r="M1475" t="s">
        <v>3610</v>
      </c>
      <c r="O1475" t="s">
        <v>4219</v>
      </c>
      <c r="P1475" t="s">
        <v>4241</v>
      </c>
      <c r="R1475" t="s">
        <v>4258</v>
      </c>
      <c r="S1475" t="s">
        <v>3611</v>
      </c>
      <c r="U1475" t="s">
        <v>4268</v>
      </c>
      <c r="W1475" t="s">
        <v>145</v>
      </c>
      <c r="X1475">
        <v>887.22</v>
      </c>
      <c r="Y1475" t="s">
        <v>4351</v>
      </c>
      <c r="Z1475" t="s">
        <v>4354</v>
      </c>
      <c r="AB1475" t="s">
        <v>5541</v>
      </c>
      <c r="AD1475" t="s">
        <v>6886</v>
      </c>
      <c r="AE1475">
        <v>150</v>
      </c>
      <c r="AF1475" t="s">
        <v>7101</v>
      </c>
      <c r="AG1475" t="s">
        <v>3745</v>
      </c>
      <c r="AH1475">
        <v>22</v>
      </c>
      <c r="AI1475">
        <v>4</v>
      </c>
      <c r="AJ1475">
        <v>0</v>
      </c>
      <c r="AK1475">
        <v>237.67</v>
      </c>
      <c r="AN1475" t="s">
        <v>7139</v>
      </c>
      <c r="AO1475">
        <v>61200</v>
      </c>
      <c r="AU1475">
        <v>67.84999999999999</v>
      </c>
      <c r="AV1475" t="s">
        <v>325</v>
      </c>
      <c r="AW1475" t="s">
        <v>7342</v>
      </c>
    </row>
    <row r="1476" spans="1:50">
      <c r="A1476" s="1">
        <f>HYPERLINK("https://lsnyc.legalserver.org/matter/dynamic-profile/view/1856034","18-1856034")</f>
        <v>0</v>
      </c>
      <c r="B1476" t="s">
        <v>56</v>
      </c>
      <c r="C1476" t="s">
        <v>105</v>
      </c>
      <c r="D1476" t="s">
        <v>456</v>
      </c>
      <c r="F1476" t="s">
        <v>923</v>
      </c>
      <c r="G1476" t="s">
        <v>2137</v>
      </c>
      <c r="H1476" t="s">
        <v>2534</v>
      </c>
      <c r="I1476" t="s">
        <v>3430</v>
      </c>
      <c r="J1476" t="s">
        <v>3604</v>
      </c>
      <c r="K1476">
        <v>10040</v>
      </c>
      <c r="L1476" t="s">
        <v>3610</v>
      </c>
      <c r="M1476" t="s">
        <v>3609</v>
      </c>
      <c r="N1476" t="s">
        <v>3656</v>
      </c>
      <c r="O1476" t="s">
        <v>4213</v>
      </c>
      <c r="P1476" t="s">
        <v>4241</v>
      </c>
      <c r="R1476" t="s">
        <v>4258</v>
      </c>
      <c r="S1476" t="s">
        <v>3610</v>
      </c>
      <c r="U1476" t="s">
        <v>4268</v>
      </c>
      <c r="W1476" t="s">
        <v>456</v>
      </c>
      <c r="X1476">
        <v>1413</v>
      </c>
      <c r="Y1476" t="s">
        <v>4351</v>
      </c>
      <c r="Z1476" t="s">
        <v>4352</v>
      </c>
      <c r="AB1476" t="s">
        <v>5542</v>
      </c>
      <c r="AD1476" t="s">
        <v>6887</v>
      </c>
      <c r="AE1476">
        <v>44</v>
      </c>
      <c r="AF1476" t="s">
        <v>7101</v>
      </c>
      <c r="AG1476" t="s">
        <v>3745</v>
      </c>
      <c r="AH1476">
        <v>35</v>
      </c>
      <c r="AI1476">
        <v>4</v>
      </c>
      <c r="AJ1476">
        <v>2</v>
      </c>
      <c r="AK1476">
        <v>238.23</v>
      </c>
      <c r="AL1476" t="s">
        <v>246</v>
      </c>
      <c r="AN1476" t="s">
        <v>7138</v>
      </c>
      <c r="AO1476">
        <v>78520</v>
      </c>
      <c r="AU1476">
        <v>3.51</v>
      </c>
      <c r="AV1476" t="s">
        <v>131</v>
      </c>
      <c r="AW1476" t="s">
        <v>7342</v>
      </c>
    </row>
    <row r="1477" spans="1:50">
      <c r="A1477" s="1">
        <f>HYPERLINK("https://lsnyc.legalserver.org/matter/dynamic-profile/view/1850279","17-1850279")</f>
        <v>0</v>
      </c>
      <c r="B1477" t="s">
        <v>61</v>
      </c>
      <c r="C1477" t="s">
        <v>104</v>
      </c>
      <c r="D1477" t="s">
        <v>419</v>
      </c>
      <c r="E1477" t="s">
        <v>201</v>
      </c>
      <c r="F1477" t="s">
        <v>1437</v>
      </c>
      <c r="G1477" t="s">
        <v>1855</v>
      </c>
      <c r="H1477" t="s">
        <v>3021</v>
      </c>
      <c r="I1477" t="s">
        <v>3552</v>
      </c>
      <c r="J1477" t="s">
        <v>3604</v>
      </c>
      <c r="K1477">
        <v>10034</v>
      </c>
      <c r="L1477" t="s">
        <v>3610</v>
      </c>
      <c r="M1477" t="s">
        <v>3610</v>
      </c>
      <c r="N1477" t="s">
        <v>4134</v>
      </c>
      <c r="O1477" t="s">
        <v>4210</v>
      </c>
      <c r="P1477" t="s">
        <v>4245</v>
      </c>
      <c r="Q1477" t="s">
        <v>4249</v>
      </c>
      <c r="R1477" t="s">
        <v>4258</v>
      </c>
      <c r="S1477" t="s">
        <v>3611</v>
      </c>
      <c r="U1477" t="s">
        <v>4268</v>
      </c>
      <c r="W1477" t="s">
        <v>419</v>
      </c>
      <c r="X1477">
        <v>1100</v>
      </c>
      <c r="Y1477" t="s">
        <v>4351</v>
      </c>
      <c r="Z1477" t="s">
        <v>4354</v>
      </c>
      <c r="AA1477" t="s">
        <v>4377</v>
      </c>
      <c r="AB1477" t="s">
        <v>5543</v>
      </c>
      <c r="AD1477" t="s">
        <v>6888</v>
      </c>
      <c r="AE1477">
        <v>50</v>
      </c>
      <c r="AF1477" t="s">
        <v>7101</v>
      </c>
      <c r="AG1477" t="s">
        <v>3745</v>
      </c>
      <c r="AH1477">
        <v>2</v>
      </c>
      <c r="AI1477">
        <v>1</v>
      </c>
      <c r="AJ1477">
        <v>0</v>
      </c>
      <c r="AK1477">
        <v>238.81</v>
      </c>
      <c r="AL1477" t="s">
        <v>7130</v>
      </c>
      <c r="AN1477" t="s">
        <v>7138</v>
      </c>
      <c r="AO1477">
        <v>28800</v>
      </c>
      <c r="AU1477">
        <v>4.8</v>
      </c>
      <c r="AV1477" t="s">
        <v>7334</v>
      </c>
      <c r="AW1477" t="s">
        <v>7342</v>
      </c>
    </row>
    <row r="1478" spans="1:50">
      <c r="A1478" s="1">
        <f>HYPERLINK("https://lsnyc.legalserver.org/matter/dynamic-profile/view/1875358","18-1875358")</f>
        <v>0</v>
      </c>
      <c r="B1478" t="s">
        <v>55</v>
      </c>
      <c r="C1478" t="s">
        <v>104</v>
      </c>
      <c r="D1478" t="s">
        <v>199</v>
      </c>
      <c r="E1478" t="s">
        <v>303</v>
      </c>
      <c r="F1478" t="s">
        <v>784</v>
      </c>
      <c r="G1478" t="s">
        <v>2299</v>
      </c>
      <c r="H1478" t="s">
        <v>3162</v>
      </c>
      <c r="I1478" t="s">
        <v>3338</v>
      </c>
      <c r="J1478" t="s">
        <v>3604</v>
      </c>
      <c r="K1478">
        <v>10029</v>
      </c>
      <c r="L1478" t="s">
        <v>3610</v>
      </c>
      <c r="M1478" t="s">
        <v>3610</v>
      </c>
      <c r="O1478" t="s">
        <v>4211</v>
      </c>
      <c r="P1478" t="s">
        <v>4242</v>
      </c>
      <c r="Q1478" t="s">
        <v>4250</v>
      </c>
      <c r="R1478" t="s">
        <v>4258</v>
      </c>
      <c r="S1478" t="s">
        <v>3611</v>
      </c>
      <c r="U1478" t="s">
        <v>4268</v>
      </c>
      <c r="V1478" t="s">
        <v>4274</v>
      </c>
      <c r="W1478" t="s">
        <v>167</v>
      </c>
      <c r="X1478">
        <v>900</v>
      </c>
      <c r="Y1478" t="s">
        <v>4351</v>
      </c>
      <c r="Z1478" t="s">
        <v>4363</v>
      </c>
      <c r="AA1478" t="s">
        <v>4373</v>
      </c>
      <c r="AB1478" t="s">
        <v>5544</v>
      </c>
      <c r="AD1478" t="s">
        <v>6889</v>
      </c>
      <c r="AE1478">
        <v>42</v>
      </c>
      <c r="AF1478" t="s">
        <v>7101</v>
      </c>
      <c r="AG1478" t="s">
        <v>3745</v>
      </c>
      <c r="AH1478">
        <v>10</v>
      </c>
      <c r="AI1478">
        <v>1</v>
      </c>
      <c r="AJ1478">
        <v>0</v>
      </c>
      <c r="AK1478">
        <v>239.6</v>
      </c>
      <c r="AL1478" t="s">
        <v>561</v>
      </c>
      <c r="AM1478" t="s">
        <v>7134</v>
      </c>
      <c r="AN1478" t="s">
        <v>7138</v>
      </c>
      <c r="AO1478">
        <v>29088</v>
      </c>
      <c r="AU1478">
        <v>2</v>
      </c>
      <c r="AV1478" t="s">
        <v>167</v>
      </c>
      <c r="AW1478" t="s">
        <v>7353</v>
      </c>
      <c r="AX1478" t="s">
        <v>7377</v>
      </c>
    </row>
    <row r="1479" spans="1:50">
      <c r="A1479" s="1">
        <f>HYPERLINK("https://lsnyc.legalserver.org/matter/dynamic-profile/view/0822912","16-0822912")</f>
        <v>0</v>
      </c>
      <c r="B1479" t="s">
        <v>93</v>
      </c>
      <c r="C1479" t="s">
        <v>104</v>
      </c>
      <c r="D1479" t="s">
        <v>115</v>
      </c>
      <c r="E1479" t="s">
        <v>655</v>
      </c>
      <c r="F1479" t="s">
        <v>1302</v>
      </c>
      <c r="G1479" t="s">
        <v>2103</v>
      </c>
      <c r="H1479" t="s">
        <v>3163</v>
      </c>
      <c r="I1479" t="s">
        <v>3333</v>
      </c>
      <c r="J1479" t="s">
        <v>3604</v>
      </c>
      <c r="K1479">
        <v>10029</v>
      </c>
      <c r="L1479" t="s">
        <v>3610</v>
      </c>
      <c r="M1479" t="s">
        <v>3610</v>
      </c>
      <c r="N1479" t="s">
        <v>4135</v>
      </c>
      <c r="O1479" t="s">
        <v>4210</v>
      </c>
      <c r="P1479" t="s">
        <v>4241</v>
      </c>
      <c r="Q1479" t="s">
        <v>4248</v>
      </c>
      <c r="R1479" t="s">
        <v>4258</v>
      </c>
      <c r="S1479" t="s">
        <v>3611</v>
      </c>
      <c r="U1479" t="s">
        <v>4268</v>
      </c>
      <c r="V1479" t="s">
        <v>4274</v>
      </c>
      <c r="W1479" t="s">
        <v>4346</v>
      </c>
      <c r="X1479">
        <v>345.63</v>
      </c>
      <c r="Y1479" t="s">
        <v>4351</v>
      </c>
      <c r="Z1479" t="s">
        <v>4354</v>
      </c>
      <c r="AA1479" t="s">
        <v>4374</v>
      </c>
      <c r="AB1479" t="s">
        <v>5545</v>
      </c>
      <c r="AD1479" t="s">
        <v>6890</v>
      </c>
      <c r="AE1479">
        <v>7</v>
      </c>
      <c r="AF1479" t="s">
        <v>7101</v>
      </c>
      <c r="AG1479" t="s">
        <v>3745</v>
      </c>
      <c r="AH1479">
        <v>15</v>
      </c>
      <c r="AI1479">
        <v>2</v>
      </c>
      <c r="AJ1479">
        <v>0</v>
      </c>
      <c r="AK1479">
        <v>239.71</v>
      </c>
      <c r="AN1479" t="s">
        <v>7138</v>
      </c>
      <c r="AO1479">
        <v>38402</v>
      </c>
      <c r="AU1479">
        <v>31.63</v>
      </c>
      <c r="AV1479" t="s">
        <v>362</v>
      </c>
      <c r="AW1479" t="s">
        <v>7341</v>
      </c>
    </row>
    <row r="1480" spans="1:50">
      <c r="A1480" s="1">
        <f>HYPERLINK("https://lsnyc.legalserver.org/matter/dynamic-profile/view/1901251","19-1901251")</f>
        <v>0</v>
      </c>
      <c r="B1480" t="s">
        <v>75</v>
      </c>
      <c r="C1480" t="s">
        <v>105</v>
      </c>
      <c r="D1480" t="s">
        <v>426</v>
      </c>
      <c r="F1480" t="s">
        <v>1058</v>
      </c>
      <c r="G1480" t="s">
        <v>2300</v>
      </c>
      <c r="H1480" t="s">
        <v>3164</v>
      </c>
      <c r="I1480" t="s">
        <v>3370</v>
      </c>
      <c r="J1480" t="s">
        <v>3604</v>
      </c>
      <c r="K1480">
        <v>10035</v>
      </c>
      <c r="L1480" t="s">
        <v>3610</v>
      </c>
      <c r="M1480" t="s">
        <v>3609</v>
      </c>
      <c r="N1480" t="s">
        <v>4136</v>
      </c>
      <c r="O1480" t="s">
        <v>4209</v>
      </c>
      <c r="P1480" t="s">
        <v>4246</v>
      </c>
      <c r="R1480" t="s">
        <v>4258</v>
      </c>
      <c r="S1480" t="s">
        <v>3611</v>
      </c>
      <c r="U1480" t="s">
        <v>4268</v>
      </c>
      <c r="V1480" t="s">
        <v>4274</v>
      </c>
      <c r="W1480" t="s">
        <v>426</v>
      </c>
      <c r="X1480">
        <v>2900</v>
      </c>
      <c r="Y1480" t="s">
        <v>4351</v>
      </c>
      <c r="Z1480" t="s">
        <v>4361</v>
      </c>
      <c r="AB1480" t="s">
        <v>5546</v>
      </c>
      <c r="AD1480" t="s">
        <v>6891</v>
      </c>
      <c r="AE1480">
        <v>45</v>
      </c>
      <c r="AF1480" t="s">
        <v>7105</v>
      </c>
      <c r="AG1480" t="s">
        <v>3745</v>
      </c>
      <c r="AH1480">
        <v>10</v>
      </c>
      <c r="AI1480">
        <v>1</v>
      </c>
      <c r="AJ1480">
        <v>0</v>
      </c>
      <c r="AK1480">
        <v>240.19</v>
      </c>
      <c r="AN1480" t="s">
        <v>7138</v>
      </c>
      <c r="AO1480">
        <v>30000</v>
      </c>
      <c r="AU1480">
        <v>0</v>
      </c>
      <c r="AW1480" t="s">
        <v>7341</v>
      </c>
      <c r="AX1480" t="s">
        <v>7377</v>
      </c>
    </row>
    <row r="1481" spans="1:50">
      <c r="A1481" s="1">
        <f>HYPERLINK("https://lsnyc.legalserver.org/matter/dynamic-profile/view/1892379","19-1892379")</f>
        <v>0</v>
      </c>
      <c r="B1481" t="s">
        <v>62</v>
      </c>
      <c r="C1481" t="s">
        <v>104</v>
      </c>
      <c r="D1481" t="s">
        <v>442</v>
      </c>
      <c r="E1481" t="s">
        <v>477</v>
      </c>
      <c r="F1481" t="s">
        <v>1438</v>
      </c>
      <c r="G1481" t="s">
        <v>2195</v>
      </c>
      <c r="H1481" t="s">
        <v>3165</v>
      </c>
      <c r="I1481" t="s">
        <v>3314</v>
      </c>
      <c r="J1481" t="s">
        <v>3604</v>
      </c>
      <c r="K1481">
        <v>10034</v>
      </c>
      <c r="L1481" t="s">
        <v>3610</v>
      </c>
      <c r="M1481" t="s">
        <v>3610</v>
      </c>
      <c r="O1481" t="s">
        <v>4213</v>
      </c>
      <c r="P1481" t="s">
        <v>4245</v>
      </c>
      <c r="Q1481" t="s">
        <v>4249</v>
      </c>
      <c r="R1481" t="s">
        <v>4258</v>
      </c>
      <c r="S1481" t="s">
        <v>3611</v>
      </c>
      <c r="U1481" t="s">
        <v>4268</v>
      </c>
      <c r="W1481" t="s">
        <v>442</v>
      </c>
      <c r="X1481">
        <v>1040.34</v>
      </c>
      <c r="Y1481" t="s">
        <v>4351</v>
      </c>
      <c r="Z1481" t="s">
        <v>4354</v>
      </c>
      <c r="AA1481" t="s">
        <v>4373</v>
      </c>
      <c r="AB1481" t="s">
        <v>5547</v>
      </c>
      <c r="AD1481" t="s">
        <v>6892</v>
      </c>
      <c r="AE1481">
        <v>48</v>
      </c>
      <c r="AF1481" t="s">
        <v>7101</v>
      </c>
      <c r="AG1481" t="s">
        <v>3745</v>
      </c>
      <c r="AH1481">
        <v>25</v>
      </c>
      <c r="AI1481">
        <v>1</v>
      </c>
      <c r="AJ1481">
        <v>0</v>
      </c>
      <c r="AK1481">
        <v>240.19</v>
      </c>
      <c r="AN1481" t="s">
        <v>7138</v>
      </c>
      <c r="AO1481">
        <v>30000</v>
      </c>
      <c r="AU1481">
        <v>0.3</v>
      </c>
      <c r="AV1481" t="s">
        <v>371</v>
      </c>
      <c r="AW1481" t="s">
        <v>7342</v>
      </c>
      <c r="AX1481" t="s">
        <v>7377</v>
      </c>
    </row>
    <row r="1482" spans="1:50">
      <c r="A1482" s="1">
        <f>HYPERLINK("https://lsnyc.legalserver.org/matter/dynamic-profile/view/1893591","19-1893591")</f>
        <v>0</v>
      </c>
      <c r="B1482" t="s">
        <v>52</v>
      </c>
      <c r="C1482" t="s">
        <v>105</v>
      </c>
      <c r="D1482" t="s">
        <v>251</v>
      </c>
      <c r="F1482" t="s">
        <v>1156</v>
      </c>
      <c r="G1482" t="s">
        <v>2301</v>
      </c>
      <c r="H1482" t="s">
        <v>3166</v>
      </c>
      <c r="I1482" t="s">
        <v>3553</v>
      </c>
      <c r="J1482" t="s">
        <v>3604</v>
      </c>
      <c r="K1482">
        <v>10033</v>
      </c>
      <c r="L1482" t="s">
        <v>3610</v>
      </c>
      <c r="M1482" t="s">
        <v>3610</v>
      </c>
      <c r="O1482" t="s">
        <v>4211</v>
      </c>
      <c r="P1482" t="s">
        <v>4246</v>
      </c>
      <c r="R1482" t="s">
        <v>4258</v>
      </c>
      <c r="S1482" t="s">
        <v>3611</v>
      </c>
      <c r="U1482" t="s">
        <v>4268</v>
      </c>
      <c r="W1482" t="s">
        <v>251</v>
      </c>
      <c r="X1482">
        <v>1895</v>
      </c>
      <c r="Y1482" t="s">
        <v>4351</v>
      </c>
      <c r="Z1482" t="s">
        <v>4354</v>
      </c>
      <c r="AA1482" t="s">
        <v>4373</v>
      </c>
      <c r="AB1482" t="s">
        <v>5548</v>
      </c>
      <c r="AE1482">
        <v>91</v>
      </c>
      <c r="AF1482" t="s">
        <v>7101</v>
      </c>
      <c r="AG1482" t="s">
        <v>3745</v>
      </c>
      <c r="AH1482">
        <v>17</v>
      </c>
      <c r="AI1482">
        <v>1</v>
      </c>
      <c r="AJ1482">
        <v>0</v>
      </c>
      <c r="AK1482">
        <v>240.19</v>
      </c>
      <c r="AN1482" t="s">
        <v>7138</v>
      </c>
      <c r="AO1482">
        <v>30000</v>
      </c>
      <c r="AU1482">
        <v>2</v>
      </c>
      <c r="AV1482" t="s">
        <v>285</v>
      </c>
      <c r="AW1482" t="s">
        <v>7342</v>
      </c>
    </row>
    <row r="1483" spans="1:50">
      <c r="A1483" s="1">
        <f>HYPERLINK("https://lsnyc.legalserver.org/matter/dynamic-profile/view/1901322","19-1901322")</f>
        <v>0</v>
      </c>
      <c r="B1483" t="s">
        <v>72</v>
      </c>
      <c r="C1483" t="s">
        <v>105</v>
      </c>
      <c r="D1483" t="s">
        <v>371</v>
      </c>
      <c r="F1483" t="s">
        <v>1118</v>
      </c>
      <c r="G1483" t="s">
        <v>2302</v>
      </c>
      <c r="H1483" t="s">
        <v>3167</v>
      </c>
      <c r="I1483">
        <v>53</v>
      </c>
      <c r="J1483" t="s">
        <v>3604</v>
      </c>
      <c r="K1483">
        <v>10033</v>
      </c>
      <c r="L1483" t="s">
        <v>3610</v>
      </c>
      <c r="M1483" t="s">
        <v>3609</v>
      </c>
      <c r="O1483" t="s">
        <v>4219</v>
      </c>
      <c r="P1483" t="s">
        <v>4245</v>
      </c>
      <c r="R1483" t="s">
        <v>4258</v>
      </c>
      <c r="S1483" t="s">
        <v>3611</v>
      </c>
      <c r="U1483" t="s">
        <v>4268</v>
      </c>
      <c r="W1483" t="s">
        <v>371</v>
      </c>
      <c r="X1483">
        <v>2050</v>
      </c>
      <c r="Y1483" t="s">
        <v>4351</v>
      </c>
      <c r="Z1483" t="s">
        <v>4354</v>
      </c>
      <c r="AB1483" t="s">
        <v>5549</v>
      </c>
      <c r="AD1483" t="s">
        <v>6893</v>
      </c>
      <c r="AE1483">
        <v>58</v>
      </c>
      <c r="AF1483" t="s">
        <v>7101</v>
      </c>
      <c r="AG1483" t="s">
        <v>3745</v>
      </c>
      <c r="AH1483">
        <v>8</v>
      </c>
      <c r="AI1483">
        <v>1</v>
      </c>
      <c r="AJ1483">
        <v>0</v>
      </c>
      <c r="AK1483">
        <v>240.19</v>
      </c>
      <c r="AN1483" t="s">
        <v>7138</v>
      </c>
      <c r="AO1483">
        <v>30000</v>
      </c>
      <c r="AU1483">
        <v>0.25</v>
      </c>
      <c r="AV1483" t="s">
        <v>612</v>
      </c>
      <c r="AW1483" t="s">
        <v>7342</v>
      </c>
      <c r="AX1483" t="s">
        <v>7377</v>
      </c>
    </row>
    <row r="1484" spans="1:50">
      <c r="A1484" s="1">
        <f>HYPERLINK("https://lsnyc.legalserver.org/matter/dynamic-profile/view/1888002","19-1888002")</f>
        <v>0</v>
      </c>
      <c r="B1484" t="s">
        <v>61</v>
      </c>
      <c r="C1484" t="s">
        <v>105</v>
      </c>
      <c r="D1484" t="s">
        <v>194</v>
      </c>
      <c r="F1484" t="s">
        <v>944</v>
      </c>
      <c r="G1484" t="s">
        <v>1189</v>
      </c>
      <c r="H1484" t="s">
        <v>2556</v>
      </c>
      <c r="I1484">
        <v>1</v>
      </c>
      <c r="J1484" t="s">
        <v>3604</v>
      </c>
      <c r="K1484">
        <v>10034</v>
      </c>
      <c r="L1484" t="s">
        <v>3610</v>
      </c>
      <c r="M1484" t="s">
        <v>3610</v>
      </c>
      <c r="N1484" t="s">
        <v>3739</v>
      </c>
      <c r="O1484" t="s">
        <v>4213</v>
      </c>
      <c r="P1484" t="s">
        <v>4241</v>
      </c>
      <c r="R1484" t="s">
        <v>4258</v>
      </c>
      <c r="S1484" t="s">
        <v>3610</v>
      </c>
      <c r="U1484" t="s">
        <v>4268</v>
      </c>
      <c r="W1484" t="s">
        <v>194</v>
      </c>
      <c r="X1484">
        <v>1679</v>
      </c>
      <c r="Y1484" t="s">
        <v>4351</v>
      </c>
      <c r="Z1484" t="s">
        <v>4354</v>
      </c>
      <c r="AB1484" t="s">
        <v>5550</v>
      </c>
      <c r="AD1484" t="s">
        <v>6894</v>
      </c>
      <c r="AE1484">
        <v>25</v>
      </c>
      <c r="AF1484" t="s">
        <v>7101</v>
      </c>
      <c r="AG1484" t="s">
        <v>3745</v>
      </c>
      <c r="AH1484">
        <v>9</v>
      </c>
      <c r="AI1484">
        <v>2</v>
      </c>
      <c r="AJ1484">
        <v>1</v>
      </c>
      <c r="AK1484">
        <v>240.62</v>
      </c>
      <c r="AN1484" t="s">
        <v>7138</v>
      </c>
      <c r="AO1484">
        <v>50000</v>
      </c>
      <c r="AU1484">
        <v>0.6</v>
      </c>
      <c r="AV1484" t="s">
        <v>530</v>
      </c>
      <c r="AW1484" t="s">
        <v>7342</v>
      </c>
    </row>
    <row r="1485" spans="1:50">
      <c r="A1485" s="1">
        <f>HYPERLINK("https://lsnyc.legalserver.org/matter/dynamic-profile/view/1873837","18-1873837")</f>
        <v>0</v>
      </c>
      <c r="B1485" t="s">
        <v>62</v>
      </c>
      <c r="C1485" t="s">
        <v>105</v>
      </c>
      <c r="D1485" t="s">
        <v>287</v>
      </c>
      <c r="F1485" t="s">
        <v>1439</v>
      </c>
      <c r="G1485" t="s">
        <v>1748</v>
      </c>
      <c r="H1485" t="s">
        <v>2488</v>
      </c>
      <c r="I1485" t="s">
        <v>3554</v>
      </c>
      <c r="J1485" t="s">
        <v>3604</v>
      </c>
      <c r="K1485">
        <v>10033</v>
      </c>
      <c r="L1485" t="s">
        <v>3610</v>
      </c>
      <c r="M1485" t="s">
        <v>3610</v>
      </c>
      <c r="O1485" t="s">
        <v>4213</v>
      </c>
      <c r="P1485" t="s">
        <v>4245</v>
      </c>
      <c r="R1485" t="s">
        <v>4258</v>
      </c>
      <c r="S1485" t="s">
        <v>3610</v>
      </c>
      <c r="U1485" t="s">
        <v>4268</v>
      </c>
      <c r="W1485" t="s">
        <v>287</v>
      </c>
      <c r="X1485">
        <v>1431.7</v>
      </c>
      <c r="Y1485" t="s">
        <v>4351</v>
      </c>
      <c r="Z1485" t="s">
        <v>4352</v>
      </c>
      <c r="AB1485" t="s">
        <v>5551</v>
      </c>
      <c r="AD1485" t="s">
        <v>6895</v>
      </c>
      <c r="AE1485">
        <v>232</v>
      </c>
      <c r="AF1485" t="s">
        <v>7101</v>
      </c>
      <c r="AG1485" t="s">
        <v>3745</v>
      </c>
      <c r="AH1485">
        <v>24</v>
      </c>
      <c r="AI1485">
        <v>3</v>
      </c>
      <c r="AJ1485">
        <v>0</v>
      </c>
      <c r="AK1485">
        <v>241.1</v>
      </c>
      <c r="AN1485" t="s">
        <v>7138</v>
      </c>
      <c r="AO1485">
        <v>50100</v>
      </c>
      <c r="AU1485">
        <v>29.6</v>
      </c>
      <c r="AV1485" t="s">
        <v>689</v>
      </c>
      <c r="AW1485" t="s">
        <v>7342</v>
      </c>
    </row>
    <row r="1486" spans="1:50">
      <c r="A1486" s="1">
        <f>HYPERLINK("https://lsnyc.legalserver.org/matter/dynamic-profile/view/1886105","18-1886105")</f>
        <v>0</v>
      </c>
      <c r="B1486" t="s">
        <v>53</v>
      </c>
      <c r="C1486" t="s">
        <v>105</v>
      </c>
      <c r="D1486" t="s">
        <v>109</v>
      </c>
      <c r="F1486" t="s">
        <v>723</v>
      </c>
      <c r="G1486" t="s">
        <v>1775</v>
      </c>
      <c r="H1486" t="s">
        <v>2998</v>
      </c>
      <c r="I1486">
        <v>4</v>
      </c>
      <c r="J1486" t="s">
        <v>3604</v>
      </c>
      <c r="K1486">
        <v>10029</v>
      </c>
      <c r="L1486" t="s">
        <v>3610</v>
      </c>
      <c r="M1486" t="s">
        <v>3610</v>
      </c>
      <c r="N1486" t="s">
        <v>3983</v>
      </c>
      <c r="O1486" t="s">
        <v>4213</v>
      </c>
      <c r="P1486" t="s">
        <v>4241</v>
      </c>
      <c r="R1486" t="s">
        <v>4258</v>
      </c>
      <c r="S1486" t="s">
        <v>3610</v>
      </c>
      <c r="U1486" t="s">
        <v>4268</v>
      </c>
      <c r="V1486" t="s">
        <v>4274</v>
      </c>
      <c r="W1486" t="s">
        <v>109</v>
      </c>
      <c r="X1486">
        <v>1081</v>
      </c>
      <c r="Y1486" t="s">
        <v>4351</v>
      </c>
      <c r="Z1486" t="s">
        <v>4352</v>
      </c>
      <c r="AB1486" t="s">
        <v>5552</v>
      </c>
      <c r="AD1486" t="s">
        <v>6896</v>
      </c>
      <c r="AE1486">
        <v>6</v>
      </c>
      <c r="AF1486" t="s">
        <v>7101</v>
      </c>
      <c r="AG1486" t="s">
        <v>3745</v>
      </c>
      <c r="AH1486">
        <v>21</v>
      </c>
      <c r="AI1486">
        <v>2</v>
      </c>
      <c r="AJ1486">
        <v>2</v>
      </c>
      <c r="AK1486">
        <v>242.07</v>
      </c>
      <c r="AN1486" t="s">
        <v>7138</v>
      </c>
      <c r="AO1486">
        <v>60760</v>
      </c>
      <c r="AU1486">
        <v>0.75</v>
      </c>
      <c r="AV1486" t="s">
        <v>666</v>
      </c>
      <c r="AW1486" t="s">
        <v>7341</v>
      </c>
    </row>
    <row r="1487" spans="1:50">
      <c r="A1487" s="1">
        <f>HYPERLINK("https://lsnyc.legalserver.org/matter/dynamic-profile/view/1865490","18-1865490")</f>
        <v>0</v>
      </c>
      <c r="B1487" t="s">
        <v>62</v>
      </c>
      <c r="C1487" t="s">
        <v>104</v>
      </c>
      <c r="D1487" t="s">
        <v>557</v>
      </c>
      <c r="E1487" t="s">
        <v>425</v>
      </c>
      <c r="F1487" t="s">
        <v>790</v>
      </c>
      <c r="G1487" t="s">
        <v>2303</v>
      </c>
      <c r="H1487" t="s">
        <v>2631</v>
      </c>
      <c r="I1487">
        <v>4</v>
      </c>
      <c r="J1487" t="s">
        <v>3604</v>
      </c>
      <c r="K1487">
        <v>10034</v>
      </c>
      <c r="L1487" t="s">
        <v>3610</v>
      </c>
      <c r="M1487" t="s">
        <v>3610</v>
      </c>
      <c r="O1487" t="s">
        <v>4221</v>
      </c>
      <c r="P1487" t="s">
        <v>4244</v>
      </c>
      <c r="Q1487" t="s">
        <v>4249</v>
      </c>
      <c r="R1487" t="s">
        <v>4258</v>
      </c>
      <c r="S1487" t="s">
        <v>3611</v>
      </c>
      <c r="U1487" t="s">
        <v>4268</v>
      </c>
      <c r="W1487" t="s">
        <v>557</v>
      </c>
      <c r="X1487">
        <v>930</v>
      </c>
      <c r="Y1487" t="s">
        <v>4351</v>
      </c>
      <c r="Z1487" t="s">
        <v>4228</v>
      </c>
      <c r="AA1487" t="s">
        <v>4377</v>
      </c>
      <c r="AB1487" t="s">
        <v>5553</v>
      </c>
      <c r="AD1487" t="s">
        <v>6897</v>
      </c>
      <c r="AE1487">
        <v>26</v>
      </c>
      <c r="AF1487" t="s">
        <v>7101</v>
      </c>
      <c r="AG1487" t="s">
        <v>3745</v>
      </c>
      <c r="AH1487">
        <v>44</v>
      </c>
      <c r="AI1487">
        <v>2</v>
      </c>
      <c r="AJ1487">
        <v>0</v>
      </c>
      <c r="AK1487">
        <v>242.77</v>
      </c>
      <c r="AL1487" t="s">
        <v>7130</v>
      </c>
      <c r="AN1487" t="s">
        <v>7139</v>
      </c>
      <c r="AO1487">
        <v>39960</v>
      </c>
      <c r="AU1487">
        <v>28.3</v>
      </c>
      <c r="AV1487" t="s">
        <v>378</v>
      </c>
      <c r="AW1487" t="s">
        <v>7342</v>
      </c>
    </row>
    <row r="1488" spans="1:50">
      <c r="A1488" s="1">
        <f>HYPERLINK("https://lsnyc.legalserver.org/matter/dynamic-profile/view/1869879","18-1869879")</f>
        <v>0</v>
      </c>
      <c r="B1488" t="s">
        <v>56</v>
      </c>
      <c r="C1488" t="s">
        <v>105</v>
      </c>
      <c r="D1488" t="s">
        <v>128</v>
      </c>
      <c r="F1488" t="s">
        <v>1440</v>
      </c>
      <c r="G1488" t="s">
        <v>887</v>
      </c>
      <c r="H1488" t="s">
        <v>2482</v>
      </c>
      <c r="I1488" t="s">
        <v>3555</v>
      </c>
      <c r="J1488" t="s">
        <v>3604</v>
      </c>
      <c r="K1488">
        <v>10034</v>
      </c>
      <c r="L1488" t="s">
        <v>3610</v>
      </c>
      <c r="M1488" t="s">
        <v>3609</v>
      </c>
      <c r="O1488" t="s">
        <v>4218</v>
      </c>
      <c r="P1488" t="s">
        <v>4241</v>
      </c>
      <c r="R1488" t="s">
        <v>4258</v>
      </c>
      <c r="S1488" t="s">
        <v>3610</v>
      </c>
      <c r="U1488" t="s">
        <v>4268</v>
      </c>
      <c r="W1488" t="s">
        <v>128</v>
      </c>
      <c r="X1488">
        <v>1700</v>
      </c>
      <c r="Y1488" t="s">
        <v>4351</v>
      </c>
      <c r="Z1488" t="s">
        <v>4354</v>
      </c>
      <c r="AB1488" t="s">
        <v>5554</v>
      </c>
      <c r="AD1488" t="s">
        <v>6898</v>
      </c>
      <c r="AE1488">
        <v>228</v>
      </c>
      <c r="AF1488" t="s">
        <v>7101</v>
      </c>
      <c r="AG1488" t="s">
        <v>3745</v>
      </c>
      <c r="AH1488">
        <v>4</v>
      </c>
      <c r="AI1488">
        <v>1</v>
      </c>
      <c r="AJ1488">
        <v>1</v>
      </c>
      <c r="AK1488">
        <v>243.01</v>
      </c>
      <c r="AN1488" t="s">
        <v>7138</v>
      </c>
      <c r="AO1488">
        <v>40000</v>
      </c>
      <c r="AU1488">
        <v>3.56</v>
      </c>
      <c r="AV1488" t="s">
        <v>612</v>
      </c>
      <c r="AW1488" t="s">
        <v>7342</v>
      </c>
    </row>
    <row r="1489" spans="1:50">
      <c r="A1489" s="1">
        <f>HYPERLINK("https://lsnyc.legalserver.org/matter/dynamic-profile/view/1887945","19-1887945")</f>
        <v>0</v>
      </c>
      <c r="B1489" t="s">
        <v>61</v>
      </c>
      <c r="C1489" t="s">
        <v>105</v>
      </c>
      <c r="D1489" t="s">
        <v>194</v>
      </c>
      <c r="F1489" t="s">
        <v>1441</v>
      </c>
      <c r="G1489" t="s">
        <v>2080</v>
      </c>
      <c r="H1489" t="s">
        <v>2556</v>
      </c>
      <c r="I1489">
        <v>3</v>
      </c>
      <c r="J1489" t="s">
        <v>3604</v>
      </c>
      <c r="K1489">
        <v>10034</v>
      </c>
      <c r="L1489" t="s">
        <v>3610</v>
      </c>
      <c r="M1489" t="s">
        <v>3610</v>
      </c>
      <c r="N1489" t="s">
        <v>3739</v>
      </c>
      <c r="O1489" t="s">
        <v>4213</v>
      </c>
      <c r="P1489" t="s">
        <v>4241</v>
      </c>
      <c r="R1489" t="s">
        <v>4258</v>
      </c>
      <c r="S1489" t="s">
        <v>3610</v>
      </c>
      <c r="U1489" t="s">
        <v>4268</v>
      </c>
      <c r="W1489" t="s">
        <v>194</v>
      </c>
      <c r="X1489">
        <v>1217</v>
      </c>
      <c r="Y1489" t="s">
        <v>4351</v>
      </c>
      <c r="Z1489" t="s">
        <v>4354</v>
      </c>
      <c r="AB1489" t="s">
        <v>5555</v>
      </c>
      <c r="AD1489" t="s">
        <v>6899</v>
      </c>
      <c r="AE1489">
        <v>25</v>
      </c>
      <c r="AF1489" t="s">
        <v>7101</v>
      </c>
      <c r="AG1489" t="s">
        <v>3745</v>
      </c>
      <c r="AH1489">
        <v>17</v>
      </c>
      <c r="AI1489">
        <v>2</v>
      </c>
      <c r="AJ1489">
        <v>0</v>
      </c>
      <c r="AK1489">
        <v>243.01</v>
      </c>
      <c r="AN1489" t="s">
        <v>7139</v>
      </c>
      <c r="AO1489">
        <v>40000</v>
      </c>
      <c r="AU1489">
        <v>0</v>
      </c>
      <c r="AW1489" t="s">
        <v>7342</v>
      </c>
    </row>
    <row r="1490" spans="1:50">
      <c r="A1490" s="1">
        <f>HYPERLINK("https://lsnyc.legalserver.org/matter/dynamic-profile/view/1876353","18-1876353")</f>
        <v>0</v>
      </c>
      <c r="B1490" t="s">
        <v>62</v>
      </c>
      <c r="C1490" t="s">
        <v>105</v>
      </c>
      <c r="D1490" t="s">
        <v>476</v>
      </c>
      <c r="F1490" t="s">
        <v>1442</v>
      </c>
      <c r="G1490" t="s">
        <v>2304</v>
      </c>
      <c r="H1490" t="s">
        <v>2488</v>
      </c>
      <c r="I1490" t="s">
        <v>3556</v>
      </c>
      <c r="J1490" t="s">
        <v>3604</v>
      </c>
      <c r="K1490">
        <v>10033</v>
      </c>
      <c r="L1490" t="s">
        <v>3610</v>
      </c>
      <c r="M1490" t="s">
        <v>3610</v>
      </c>
      <c r="O1490" t="s">
        <v>4213</v>
      </c>
      <c r="P1490" t="s">
        <v>4245</v>
      </c>
      <c r="R1490" t="s">
        <v>4258</v>
      </c>
      <c r="S1490" t="s">
        <v>3610</v>
      </c>
      <c r="U1490" t="s">
        <v>4268</v>
      </c>
      <c r="W1490" t="s">
        <v>476</v>
      </c>
      <c r="X1490">
        <v>1540</v>
      </c>
      <c r="Y1490" t="s">
        <v>4351</v>
      </c>
      <c r="Z1490" t="s">
        <v>4354</v>
      </c>
      <c r="AB1490" t="s">
        <v>5556</v>
      </c>
      <c r="AD1490" t="s">
        <v>6900</v>
      </c>
      <c r="AE1490">
        <v>232</v>
      </c>
      <c r="AF1490" t="s">
        <v>7101</v>
      </c>
      <c r="AG1490" t="s">
        <v>3745</v>
      </c>
      <c r="AH1490">
        <v>41</v>
      </c>
      <c r="AI1490">
        <v>2</v>
      </c>
      <c r="AJ1490">
        <v>0</v>
      </c>
      <c r="AK1490">
        <v>243.01</v>
      </c>
      <c r="AN1490" t="s">
        <v>7138</v>
      </c>
      <c r="AO1490">
        <v>40000</v>
      </c>
      <c r="AU1490">
        <v>1.1</v>
      </c>
      <c r="AV1490" t="s">
        <v>426</v>
      </c>
      <c r="AW1490" t="s">
        <v>7342</v>
      </c>
    </row>
    <row r="1491" spans="1:50">
      <c r="A1491" s="1">
        <f>HYPERLINK("https://lsnyc.legalserver.org/matter/dynamic-profile/view/0822899","16-0822899")</f>
        <v>0</v>
      </c>
      <c r="B1491" t="s">
        <v>79</v>
      </c>
      <c r="C1491" t="s">
        <v>104</v>
      </c>
      <c r="D1491" t="s">
        <v>554</v>
      </c>
      <c r="E1491" t="s">
        <v>209</v>
      </c>
      <c r="F1491" t="s">
        <v>933</v>
      </c>
      <c r="G1491" t="s">
        <v>2305</v>
      </c>
      <c r="H1491" t="s">
        <v>2714</v>
      </c>
      <c r="I1491">
        <v>53</v>
      </c>
      <c r="J1491" t="s">
        <v>3604</v>
      </c>
      <c r="K1491">
        <v>10031</v>
      </c>
      <c r="L1491" t="s">
        <v>3610</v>
      </c>
      <c r="M1491" t="s">
        <v>3609</v>
      </c>
      <c r="O1491" t="s">
        <v>4238</v>
      </c>
      <c r="P1491" t="s">
        <v>4241</v>
      </c>
      <c r="Q1491" t="s">
        <v>4248</v>
      </c>
      <c r="R1491" t="s">
        <v>4258</v>
      </c>
      <c r="S1491" t="s">
        <v>3610</v>
      </c>
      <c r="U1491" t="s">
        <v>4268</v>
      </c>
      <c r="W1491" t="s">
        <v>278</v>
      </c>
      <c r="X1491">
        <v>1200</v>
      </c>
      <c r="Y1491" t="s">
        <v>4351</v>
      </c>
      <c r="AA1491" t="s">
        <v>4379</v>
      </c>
      <c r="AB1491" t="s">
        <v>5557</v>
      </c>
      <c r="AD1491" t="s">
        <v>6901</v>
      </c>
      <c r="AE1491">
        <v>24</v>
      </c>
      <c r="AF1491" t="s">
        <v>7101</v>
      </c>
      <c r="AH1491">
        <v>18</v>
      </c>
      <c r="AI1491">
        <v>2</v>
      </c>
      <c r="AJ1491">
        <v>0</v>
      </c>
      <c r="AK1491">
        <v>243.45</v>
      </c>
      <c r="AN1491" t="s">
        <v>7138</v>
      </c>
      <c r="AO1491">
        <v>39000</v>
      </c>
      <c r="AU1491">
        <v>12.25</v>
      </c>
      <c r="AV1491" t="s">
        <v>209</v>
      </c>
      <c r="AW1491" t="s">
        <v>7363</v>
      </c>
    </row>
    <row r="1492" spans="1:50">
      <c r="A1492" s="1">
        <f>HYPERLINK("https://lsnyc.legalserver.org/matter/dynamic-profile/view/1874324","18-1874324")</f>
        <v>0</v>
      </c>
      <c r="B1492" t="s">
        <v>73</v>
      </c>
      <c r="C1492" t="s">
        <v>104</v>
      </c>
      <c r="D1492" t="s">
        <v>435</v>
      </c>
      <c r="E1492" t="s">
        <v>248</v>
      </c>
      <c r="F1492" t="s">
        <v>1387</v>
      </c>
      <c r="G1492" t="s">
        <v>1594</v>
      </c>
      <c r="H1492" t="s">
        <v>3168</v>
      </c>
      <c r="I1492" t="s">
        <v>3306</v>
      </c>
      <c r="J1492" t="s">
        <v>3604</v>
      </c>
      <c r="K1492">
        <v>10032</v>
      </c>
      <c r="L1492" t="s">
        <v>3610</v>
      </c>
      <c r="M1492" t="s">
        <v>3610</v>
      </c>
      <c r="O1492" t="s">
        <v>4213</v>
      </c>
      <c r="P1492" t="s">
        <v>4242</v>
      </c>
      <c r="Q1492" t="s">
        <v>4250</v>
      </c>
      <c r="R1492" t="s">
        <v>4258</v>
      </c>
      <c r="S1492" t="s">
        <v>3611</v>
      </c>
      <c r="U1492" t="s">
        <v>4268</v>
      </c>
      <c r="W1492" t="s">
        <v>435</v>
      </c>
      <c r="X1492">
        <v>457.5</v>
      </c>
      <c r="Y1492" t="s">
        <v>4351</v>
      </c>
      <c r="Z1492" t="s">
        <v>4354</v>
      </c>
      <c r="AA1492" t="s">
        <v>4373</v>
      </c>
      <c r="AB1492" t="s">
        <v>5558</v>
      </c>
      <c r="AD1492" t="s">
        <v>6902</v>
      </c>
      <c r="AE1492">
        <v>20</v>
      </c>
      <c r="AF1492" t="s">
        <v>7104</v>
      </c>
      <c r="AG1492" t="s">
        <v>3745</v>
      </c>
      <c r="AH1492">
        <v>14</v>
      </c>
      <c r="AI1492">
        <v>2</v>
      </c>
      <c r="AJ1492">
        <v>1</v>
      </c>
      <c r="AK1492">
        <v>243.98</v>
      </c>
      <c r="AL1492" t="s">
        <v>561</v>
      </c>
      <c r="AM1492" t="s">
        <v>7134</v>
      </c>
      <c r="AN1492" t="s">
        <v>7138</v>
      </c>
      <c r="AO1492">
        <v>50700</v>
      </c>
      <c r="AU1492">
        <v>0.3</v>
      </c>
      <c r="AV1492" t="s">
        <v>248</v>
      </c>
      <c r="AW1492" t="s">
        <v>7342</v>
      </c>
    </row>
    <row r="1493" spans="1:50">
      <c r="A1493" s="1">
        <f>HYPERLINK("https://lsnyc.legalserver.org/matter/dynamic-profile/view/1872240","18-1872240")</f>
        <v>0</v>
      </c>
      <c r="B1493" t="s">
        <v>73</v>
      </c>
      <c r="C1493" t="s">
        <v>104</v>
      </c>
      <c r="D1493" t="s">
        <v>528</v>
      </c>
      <c r="E1493" t="s">
        <v>204</v>
      </c>
      <c r="F1493" t="s">
        <v>1141</v>
      </c>
      <c r="G1493" t="s">
        <v>2144</v>
      </c>
      <c r="H1493" t="s">
        <v>2488</v>
      </c>
      <c r="I1493" t="s">
        <v>3557</v>
      </c>
      <c r="J1493" t="s">
        <v>3604</v>
      </c>
      <c r="K1493">
        <v>10033</v>
      </c>
      <c r="L1493" t="s">
        <v>3610</v>
      </c>
      <c r="M1493" t="s">
        <v>3610</v>
      </c>
      <c r="O1493" t="s">
        <v>4210</v>
      </c>
      <c r="P1493" t="s">
        <v>4242</v>
      </c>
      <c r="Q1493" t="s">
        <v>4250</v>
      </c>
      <c r="R1493" t="s">
        <v>4258</v>
      </c>
      <c r="S1493" t="s">
        <v>3611</v>
      </c>
      <c r="U1493" t="s">
        <v>4268</v>
      </c>
      <c r="W1493" t="s">
        <v>528</v>
      </c>
      <c r="X1493">
        <v>1516.69</v>
      </c>
      <c r="Y1493" t="s">
        <v>4351</v>
      </c>
      <c r="Z1493" t="s">
        <v>4354</v>
      </c>
      <c r="AA1493" t="s">
        <v>4373</v>
      </c>
      <c r="AB1493" t="s">
        <v>5559</v>
      </c>
      <c r="AD1493" t="s">
        <v>6903</v>
      </c>
      <c r="AE1493">
        <v>232</v>
      </c>
      <c r="AF1493" t="s">
        <v>7101</v>
      </c>
      <c r="AG1493" t="s">
        <v>3745</v>
      </c>
      <c r="AH1493">
        <v>27</v>
      </c>
      <c r="AI1493">
        <v>5</v>
      </c>
      <c r="AJ1493">
        <v>0</v>
      </c>
      <c r="AK1493">
        <v>244.73</v>
      </c>
      <c r="AL1493" t="s">
        <v>561</v>
      </c>
      <c r="AM1493" t="s">
        <v>7134</v>
      </c>
      <c r="AN1493" t="s">
        <v>7139</v>
      </c>
      <c r="AO1493">
        <v>72000</v>
      </c>
      <c r="AU1493">
        <v>3.3</v>
      </c>
      <c r="AV1493" t="s">
        <v>4306</v>
      </c>
      <c r="AW1493" t="s">
        <v>7342</v>
      </c>
    </row>
    <row r="1494" spans="1:50">
      <c r="A1494" s="1">
        <f>HYPERLINK("https://lsnyc.legalserver.org/matter/dynamic-profile/view/1868952","18-1868952")</f>
        <v>0</v>
      </c>
      <c r="B1494" t="s">
        <v>90</v>
      </c>
      <c r="C1494" t="s">
        <v>105</v>
      </c>
      <c r="D1494" t="s">
        <v>464</v>
      </c>
      <c r="F1494" t="s">
        <v>1443</v>
      </c>
      <c r="G1494" t="s">
        <v>2306</v>
      </c>
      <c r="H1494" t="s">
        <v>3042</v>
      </c>
      <c r="I1494" t="s">
        <v>3273</v>
      </c>
      <c r="J1494" t="s">
        <v>3604</v>
      </c>
      <c r="K1494">
        <v>10034</v>
      </c>
      <c r="L1494" t="s">
        <v>3610</v>
      </c>
      <c r="M1494" t="s">
        <v>3609</v>
      </c>
      <c r="N1494" t="s">
        <v>4025</v>
      </c>
      <c r="O1494" t="s">
        <v>4220</v>
      </c>
      <c r="P1494" t="s">
        <v>4243</v>
      </c>
      <c r="R1494" t="s">
        <v>4258</v>
      </c>
      <c r="S1494" t="s">
        <v>3610</v>
      </c>
      <c r="U1494" t="s">
        <v>4268</v>
      </c>
      <c r="W1494" t="s">
        <v>464</v>
      </c>
      <c r="X1494">
        <v>2025</v>
      </c>
      <c r="Y1494" t="s">
        <v>4351</v>
      </c>
      <c r="Z1494" t="s">
        <v>4354</v>
      </c>
      <c r="AB1494" t="s">
        <v>5560</v>
      </c>
      <c r="AD1494" t="s">
        <v>6904</v>
      </c>
      <c r="AE1494">
        <v>72</v>
      </c>
      <c r="AF1494" t="s">
        <v>7101</v>
      </c>
      <c r="AG1494" t="s">
        <v>3745</v>
      </c>
      <c r="AH1494">
        <v>8</v>
      </c>
      <c r="AI1494">
        <v>1</v>
      </c>
      <c r="AJ1494">
        <v>2</v>
      </c>
      <c r="AK1494">
        <v>245.43</v>
      </c>
      <c r="AN1494" t="s">
        <v>7138</v>
      </c>
      <c r="AO1494">
        <v>51000</v>
      </c>
      <c r="AU1494">
        <v>0</v>
      </c>
      <c r="AW1494" t="s">
        <v>7342</v>
      </c>
    </row>
    <row r="1495" spans="1:50">
      <c r="A1495" s="1">
        <f>HYPERLINK("https://lsnyc.legalserver.org/matter/dynamic-profile/view/1868956","18-1868956")</f>
        <v>0</v>
      </c>
      <c r="B1495" t="s">
        <v>90</v>
      </c>
      <c r="C1495" t="s">
        <v>105</v>
      </c>
      <c r="D1495" t="s">
        <v>464</v>
      </c>
      <c r="F1495" t="s">
        <v>1443</v>
      </c>
      <c r="G1495" t="s">
        <v>2306</v>
      </c>
      <c r="H1495" t="s">
        <v>3042</v>
      </c>
      <c r="I1495" t="s">
        <v>3273</v>
      </c>
      <c r="J1495" t="s">
        <v>3604</v>
      </c>
      <c r="K1495">
        <v>10034</v>
      </c>
      <c r="L1495" t="s">
        <v>3610</v>
      </c>
      <c r="M1495" t="s">
        <v>3609</v>
      </c>
      <c r="N1495" t="s">
        <v>4026</v>
      </c>
      <c r="O1495" t="s">
        <v>4220</v>
      </c>
      <c r="P1495" t="s">
        <v>4243</v>
      </c>
      <c r="R1495" t="s">
        <v>4258</v>
      </c>
      <c r="S1495" t="s">
        <v>3610</v>
      </c>
      <c r="U1495" t="s">
        <v>4268</v>
      </c>
      <c r="W1495" t="s">
        <v>464</v>
      </c>
      <c r="X1495">
        <v>2025</v>
      </c>
      <c r="Y1495" t="s">
        <v>4351</v>
      </c>
      <c r="Z1495" t="s">
        <v>4354</v>
      </c>
      <c r="AB1495" t="s">
        <v>5560</v>
      </c>
      <c r="AD1495" t="s">
        <v>6904</v>
      </c>
      <c r="AE1495">
        <v>72</v>
      </c>
      <c r="AF1495" t="s">
        <v>7101</v>
      </c>
      <c r="AG1495" t="s">
        <v>3745</v>
      </c>
      <c r="AH1495">
        <v>8</v>
      </c>
      <c r="AI1495">
        <v>1</v>
      </c>
      <c r="AJ1495">
        <v>2</v>
      </c>
      <c r="AK1495">
        <v>245.43</v>
      </c>
      <c r="AN1495" t="s">
        <v>7138</v>
      </c>
      <c r="AO1495">
        <v>51000</v>
      </c>
      <c r="AU1495">
        <v>0</v>
      </c>
      <c r="AW1495" t="s">
        <v>7342</v>
      </c>
    </row>
    <row r="1496" spans="1:50">
      <c r="A1496" s="1">
        <f>HYPERLINK("https://lsnyc.legalserver.org/matter/dynamic-profile/view/1848543","17-1848543")</f>
        <v>0</v>
      </c>
      <c r="B1496" t="s">
        <v>66</v>
      </c>
      <c r="C1496" t="s">
        <v>105</v>
      </c>
      <c r="D1496" t="s">
        <v>630</v>
      </c>
      <c r="F1496" t="s">
        <v>870</v>
      </c>
      <c r="G1496" t="s">
        <v>2307</v>
      </c>
      <c r="H1496" t="s">
        <v>3169</v>
      </c>
      <c r="I1496" t="s">
        <v>3322</v>
      </c>
      <c r="J1496" t="s">
        <v>3604</v>
      </c>
      <c r="K1496">
        <v>10040</v>
      </c>
      <c r="L1496" t="s">
        <v>3610</v>
      </c>
      <c r="M1496" t="s">
        <v>3609</v>
      </c>
      <c r="N1496" t="s">
        <v>4137</v>
      </c>
      <c r="O1496" t="s">
        <v>4209</v>
      </c>
      <c r="P1496" t="s">
        <v>4241</v>
      </c>
      <c r="R1496" t="s">
        <v>4258</v>
      </c>
      <c r="T1496" t="s">
        <v>4259</v>
      </c>
      <c r="U1496" t="s">
        <v>4268</v>
      </c>
      <c r="W1496" t="s">
        <v>379</v>
      </c>
      <c r="X1496">
        <v>1800</v>
      </c>
      <c r="Y1496" t="s">
        <v>4351</v>
      </c>
      <c r="Z1496" t="s">
        <v>4370</v>
      </c>
      <c r="AB1496" t="s">
        <v>5561</v>
      </c>
      <c r="AD1496" t="s">
        <v>6905</v>
      </c>
      <c r="AE1496">
        <v>61</v>
      </c>
      <c r="AF1496" t="s">
        <v>7101</v>
      </c>
      <c r="AG1496" t="s">
        <v>3745</v>
      </c>
      <c r="AH1496">
        <v>1</v>
      </c>
      <c r="AI1496">
        <v>1</v>
      </c>
      <c r="AJ1496">
        <v>0</v>
      </c>
      <c r="AK1496">
        <v>245.44</v>
      </c>
      <c r="AL1496" t="s">
        <v>7130</v>
      </c>
      <c r="AN1496" t="s">
        <v>7138</v>
      </c>
      <c r="AO1496">
        <v>29600</v>
      </c>
      <c r="AU1496">
        <v>34.1</v>
      </c>
      <c r="AV1496" t="s">
        <v>529</v>
      </c>
      <c r="AW1496" t="s">
        <v>7344</v>
      </c>
    </row>
    <row r="1497" spans="1:50">
      <c r="A1497" s="1">
        <f>HYPERLINK("https://lsnyc.legalserver.org/matter/dynamic-profile/view/1859188","18-1859188")</f>
        <v>0</v>
      </c>
      <c r="B1497" t="s">
        <v>93</v>
      </c>
      <c r="C1497" t="s">
        <v>104</v>
      </c>
      <c r="D1497" t="s">
        <v>631</v>
      </c>
      <c r="E1497" t="s">
        <v>655</v>
      </c>
      <c r="F1497" t="s">
        <v>885</v>
      </c>
      <c r="G1497" t="s">
        <v>2308</v>
      </c>
      <c r="H1497" t="s">
        <v>3170</v>
      </c>
      <c r="I1497" t="s">
        <v>3558</v>
      </c>
      <c r="J1497" t="s">
        <v>3604</v>
      </c>
      <c r="K1497">
        <v>10029</v>
      </c>
      <c r="L1497" t="s">
        <v>3610</v>
      </c>
      <c r="M1497" t="s">
        <v>3610</v>
      </c>
      <c r="N1497" t="s">
        <v>4138</v>
      </c>
      <c r="O1497" t="s">
        <v>4209</v>
      </c>
      <c r="P1497" t="s">
        <v>4245</v>
      </c>
      <c r="Q1497" t="s">
        <v>4249</v>
      </c>
      <c r="R1497" t="s">
        <v>4258</v>
      </c>
      <c r="S1497" t="s">
        <v>3611</v>
      </c>
      <c r="U1497" t="s">
        <v>4268</v>
      </c>
      <c r="V1497" t="s">
        <v>4274</v>
      </c>
      <c r="W1497" t="s">
        <v>153</v>
      </c>
      <c r="X1497">
        <v>2335</v>
      </c>
      <c r="Y1497" t="s">
        <v>4351</v>
      </c>
      <c r="Z1497" t="s">
        <v>4354</v>
      </c>
      <c r="AA1497" t="s">
        <v>4377</v>
      </c>
      <c r="AB1497" t="s">
        <v>5562</v>
      </c>
      <c r="AD1497" t="s">
        <v>6906</v>
      </c>
      <c r="AE1497">
        <v>272</v>
      </c>
      <c r="AF1497" t="s">
        <v>7103</v>
      </c>
      <c r="AG1497" t="s">
        <v>3745</v>
      </c>
      <c r="AH1497">
        <v>16</v>
      </c>
      <c r="AI1497">
        <v>3</v>
      </c>
      <c r="AJ1497">
        <v>0</v>
      </c>
      <c r="AK1497">
        <v>245.99</v>
      </c>
      <c r="AL1497" t="s">
        <v>7130</v>
      </c>
      <c r="AN1497" t="s">
        <v>7138</v>
      </c>
      <c r="AO1497">
        <v>50231</v>
      </c>
      <c r="AU1497">
        <v>4</v>
      </c>
      <c r="AV1497" t="s">
        <v>138</v>
      </c>
      <c r="AW1497" t="s">
        <v>7344</v>
      </c>
    </row>
    <row r="1498" spans="1:50">
      <c r="A1498" s="1">
        <f>HYPERLINK("https://lsnyc.legalserver.org/matter/dynamic-profile/view/1892142","19-1892142")</f>
        <v>0</v>
      </c>
      <c r="B1498" t="s">
        <v>64</v>
      </c>
      <c r="C1498" t="s">
        <v>104</v>
      </c>
      <c r="D1498" t="s">
        <v>632</v>
      </c>
      <c r="E1498" t="s">
        <v>245</v>
      </c>
      <c r="F1498" t="s">
        <v>1075</v>
      </c>
      <c r="G1498" t="s">
        <v>1594</v>
      </c>
      <c r="H1498" t="s">
        <v>2713</v>
      </c>
      <c r="I1498">
        <v>10</v>
      </c>
      <c r="J1498" t="s">
        <v>3604</v>
      </c>
      <c r="K1498">
        <v>10034</v>
      </c>
      <c r="L1498" t="s">
        <v>3610</v>
      </c>
      <c r="M1498" t="s">
        <v>3610</v>
      </c>
      <c r="P1498" t="s">
        <v>4242</v>
      </c>
      <c r="Q1498" t="s">
        <v>4250</v>
      </c>
      <c r="R1498" t="s">
        <v>4258</v>
      </c>
      <c r="S1498" t="s">
        <v>3611</v>
      </c>
      <c r="U1498" t="s">
        <v>4268</v>
      </c>
      <c r="W1498" t="s">
        <v>632</v>
      </c>
      <c r="X1498">
        <v>1246.98</v>
      </c>
      <c r="Y1498" t="s">
        <v>4351</v>
      </c>
      <c r="Z1498" t="s">
        <v>4357</v>
      </c>
      <c r="AA1498" t="s">
        <v>4373</v>
      </c>
      <c r="AB1498" t="s">
        <v>4913</v>
      </c>
      <c r="AD1498" t="s">
        <v>6296</v>
      </c>
      <c r="AE1498">
        <v>0</v>
      </c>
      <c r="AF1498" t="s">
        <v>7101</v>
      </c>
      <c r="AG1498" t="s">
        <v>3745</v>
      </c>
      <c r="AH1498">
        <v>8</v>
      </c>
      <c r="AI1498">
        <v>2</v>
      </c>
      <c r="AJ1498">
        <v>0</v>
      </c>
      <c r="AK1498">
        <v>246.75</v>
      </c>
      <c r="AN1498" t="s">
        <v>7139</v>
      </c>
      <c r="AO1498">
        <v>41725.28</v>
      </c>
      <c r="AU1498">
        <v>1.4</v>
      </c>
      <c r="AV1498" t="s">
        <v>245</v>
      </c>
      <c r="AW1498" t="s">
        <v>7342</v>
      </c>
    </row>
    <row r="1499" spans="1:50">
      <c r="A1499" s="1">
        <f>HYPERLINK("https://lsnyc.legalserver.org/matter/dynamic-profile/view/1874321","18-1874321")</f>
        <v>0</v>
      </c>
      <c r="B1499" t="s">
        <v>73</v>
      </c>
      <c r="C1499" t="s">
        <v>104</v>
      </c>
      <c r="D1499" t="s">
        <v>435</v>
      </c>
      <c r="E1499" t="s">
        <v>493</v>
      </c>
      <c r="F1499" t="s">
        <v>1444</v>
      </c>
      <c r="G1499" t="s">
        <v>1600</v>
      </c>
      <c r="H1499" t="s">
        <v>2631</v>
      </c>
      <c r="I1499">
        <v>4</v>
      </c>
      <c r="J1499" t="s">
        <v>3604</v>
      </c>
      <c r="K1499">
        <v>10034</v>
      </c>
      <c r="L1499" t="s">
        <v>3610</v>
      </c>
      <c r="M1499" t="s">
        <v>3610</v>
      </c>
      <c r="N1499" t="s">
        <v>4139</v>
      </c>
      <c r="O1499" t="s">
        <v>4210</v>
      </c>
      <c r="P1499" t="s">
        <v>4245</v>
      </c>
      <c r="Q1499" t="s">
        <v>4249</v>
      </c>
      <c r="R1499" t="s">
        <v>4258</v>
      </c>
      <c r="S1499" t="s">
        <v>3611</v>
      </c>
      <c r="U1499" t="s">
        <v>4268</v>
      </c>
      <c r="W1499" t="s">
        <v>435</v>
      </c>
      <c r="X1499">
        <v>1100</v>
      </c>
      <c r="Y1499" t="s">
        <v>4351</v>
      </c>
      <c r="Z1499" t="s">
        <v>4354</v>
      </c>
      <c r="AA1499" t="s">
        <v>4377</v>
      </c>
      <c r="AB1499" t="s">
        <v>5563</v>
      </c>
      <c r="AD1499" t="s">
        <v>6907</v>
      </c>
      <c r="AE1499">
        <v>25</v>
      </c>
      <c r="AF1499" t="s">
        <v>7101</v>
      </c>
      <c r="AG1499" t="s">
        <v>3745</v>
      </c>
      <c r="AH1499">
        <v>10</v>
      </c>
      <c r="AI1499">
        <v>3</v>
      </c>
      <c r="AJ1499">
        <v>1</v>
      </c>
      <c r="AK1499">
        <v>247.01</v>
      </c>
      <c r="AL1499" t="s">
        <v>561</v>
      </c>
      <c r="AM1499" t="s">
        <v>7134</v>
      </c>
      <c r="AN1499" t="s">
        <v>7139</v>
      </c>
      <c r="AO1499">
        <v>62000</v>
      </c>
      <c r="AU1499">
        <v>1</v>
      </c>
      <c r="AV1499" t="s">
        <v>280</v>
      </c>
      <c r="AW1499" t="s">
        <v>7342</v>
      </c>
    </row>
    <row r="1500" spans="1:50">
      <c r="A1500" s="1">
        <f>HYPERLINK("https://lsnyc.legalserver.org/matter/dynamic-profile/view/1874178","18-1874178")</f>
        <v>0</v>
      </c>
      <c r="B1500" t="s">
        <v>53</v>
      </c>
      <c r="C1500" t="s">
        <v>104</v>
      </c>
      <c r="D1500" t="s">
        <v>393</v>
      </c>
      <c r="E1500" t="s">
        <v>325</v>
      </c>
      <c r="F1500" t="s">
        <v>1414</v>
      </c>
      <c r="G1500" t="s">
        <v>2309</v>
      </c>
      <c r="H1500" t="s">
        <v>3171</v>
      </c>
      <c r="I1500">
        <v>207</v>
      </c>
      <c r="J1500" t="s">
        <v>3604</v>
      </c>
      <c r="K1500">
        <v>10029</v>
      </c>
      <c r="L1500" t="s">
        <v>3610</v>
      </c>
      <c r="M1500" t="s">
        <v>3610</v>
      </c>
      <c r="N1500" t="s">
        <v>4140</v>
      </c>
      <c r="O1500" t="s">
        <v>4209</v>
      </c>
      <c r="P1500" t="s">
        <v>4241</v>
      </c>
      <c r="Q1500" t="s">
        <v>4248</v>
      </c>
      <c r="R1500" t="s">
        <v>4257</v>
      </c>
      <c r="S1500" t="s">
        <v>3611</v>
      </c>
      <c r="U1500" t="s">
        <v>4268</v>
      </c>
      <c r="V1500" t="s">
        <v>4274</v>
      </c>
      <c r="W1500" t="s">
        <v>173</v>
      </c>
      <c r="X1500">
        <v>50</v>
      </c>
      <c r="Y1500" t="s">
        <v>4351</v>
      </c>
      <c r="Z1500" t="s">
        <v>4355</v>
      </c>
      <c r="AA1500" t="s">
        <v>4374</v>
      </c>
      <c r="AB1500" t="s">
        <v>5564</v>
      </c>
      <c r="AD1500" t="s">
        <v>6908</v>
      </c>
      <c r="AE1500">
        <v>33</v>
      </c>
      <c r="AF1500" t="s">
        <v>7106</v>
      </c>
      <c r="AG1500" t="s">
        <v>7116</v>
      </c>
      <c r="AH1500">
        <v>10</v>
      </c>
      <c r="AI1500">
        <v>1</v>
      </c>
      <c r="AJ1500">
        <v>0</v>
      </c>
      <c r="AK1500">
        <v>247.12</v>
      </c>
      <c r="AL1500" t="s">
        <v>369</v>
      </c>
      <c r="AM1500" t="s">
        <v>7133</v>
      </c>
      <c r="AN1500" t="s">
        <v>7138</v>
      </c>
      <c r="AO1500">
        <v>30000</v>
      </c>
      <c r="AQ1500" t="s">
        <v>7196</v>
      </c>
      <c r="AR1500" t="s">
        <v>7210</v>
      </c>
      <c r="AS1500" t="s">
        <v>7231</v>
      </c>
      <c r="AT1500" t="s">
        <v>7277</v>
      </c>
      <c r="AU1500">
        <v>12.65</v>
      </c>
      <c r="AV1500" t="s">
        <v>303</v>
      </c>
      <c r="AW1500" t="s">
        <v>57</v>
      </c>
      <c r="AX1500" t="s">
        <v>7377</v>
      </c>
    </row>
    <row r="1501" spans="1:50">
      <c r="A1501" s="1">
        <f>HYPERLINK("https://lsnyc.legalserver.org/matter/dynamic-profile/view/1875413","18-1875413")</f>
        <v>0</v>
      </c>
      <c r="B1501" t="s">
        <v>95</v>
      </c>
      <c r="C1501" t="s">
        <v>104</v>
      </c>
      <c r="D1501" t="s">
        <v>229</v>
      </c>
      <c r="E1501" t="s">
        <v>136</v>
      </c>
      <c r="F1501" t="s">
        <v>1445</v>
      </c>
      <c r="G1501" t="s">
        <v>901</v>
      </c>
      <c r="H1501" t="s">
        <v>3172</v>
      </c>
      <c r="I1501">
        <v>2</v>
      </c>
      <c r="J1501" t="s">
        <v>3604</v>
      </c>
      <c r="K1501">
        <v>10009</v>
      </c>
      <c r="L1501" t="s">
        <v>3609</v>
      </c>
      <c r="M1501" t="s">
        <v>3609</v>
      </c>
      <c r="O1501" t="s">
        <v>4211</v>
      </c>
      <c r="P1501" t="s">
        <v>4242</v>
      </c>
      <c r="Q1501" t="s">
        <v>4250</v>
      </c>
      <c r="R1501" t="s">
        <v>4258</v>
      </c>
      <c r="U1501" t="s">
        <v>4268</v>
      </c>
      <c r="X1501">
        <v>665</v>
      </c>
      <c r="Y1501" t="s">
        <v>4351</v>
      </c>
      <c r="Z1501" t="s">
        <v>4364</v>
      </c>
      <c r="AA1501" t="s">
        <v>4373</v>
      </c>
      <c r="AB1501" t="s">
        <v>5565</v>
      </c>
      <c r="AD1501" t="s">
        <v>6909</v>
      </c>
      <c r="AE1501">
        <v>0</v>
      </c>
      <c r="AF1501" t="s">
        <v>7101</v>
      </c>
      <c r="AH1501">
        <v>18</v>
      </c>
      <c r="AI1501">
        <v>1</v>
      </c>
      <c r="AJ1501">
        <v>0</v>
      </c>
      <c r="AK1501">
        <v>247.12</v>
      </c>
      <c r="AN1501" t="s">
        <v>7139</v>
      </c>
      <c r="AO1501">
        <v>30000</v>
      </c>
      <c r="AU1501">
        <v>1.25</v>
      </c>
      <c r="AV1501" t="s">
        <v>618</v>
      </c>
      <c r="AW1501" t="s">
        <v>7340</v>
      </c>
    </row>
    <row r="1502" spans="1:50">
      <c r="A1502" s="1">
        <f>HYPERLINK("https://lsnyc.legalserver.org/matter/dynamic-profile/view/1897191","19-1897191")</f>
        <v>0</v>
      </c>
      <c r="B1502" t="s">
        <v>64</v>
      </c>
      <c r="C1502" t="s">
        <v>105</v>
      </c>
      <c r="D1502" t="s">
        <v>319</v>
      </c>
      <c r="F1502" t="s">
        <v>1446</v>
      </c>
      <c r="G1502" t="s">
        <v>2310</v>
      </c>
      <c r="H1502" t="s">
        <v>3173</v>
      </c>
      <c r="I1502" t="s">
        <v>3450</v>
      </c>
      <c r="J1502" t="s">
        <v>3604</v>
      </c>
      <c r="K1502">
        <v>10034</v>
      </c>
      <c r="L1502" t="s">
        <v>3610</v>
      </c>
      <c r="M1502" t="s">
        <v>3610</v>
      </c>
      <c r="O1502" t="s">
        <v>4213</v>
      </c>
      <c r="P1502" t="s">
        <v>4244</v>
      </c>
      <c r="R1502" t="s">
        <v>4258</v>
      </c>
      <c r="S1502" t="s">
        <v>3610</v>
      </c>
      <c r="U1502" t="s">
        <v>4268</v>
      </c>
      <c r="W1502" t="s">
        <v>319</v>
      </c>
      <c r="X1502">
        <v>333.34</v>
      </c>
      <c r="Y1502" t="s">
        <v>4351</v>
      </c>
      <c r="Z1502" t="s">
        <v>4354</v>
      </c>
      <c r="AB1502" t="s">
        <v>5566</v>
      </c>
      <c r="AE1502">
        <v>20</v>
      </c>
      <c r="AF1502" t="s">
        <v>7101</v>
      </c>
      <c r="AG1502" t="s">
        <v>3745</v>
      </c>
      <c r="AH1502">
        <v>68</v>
      </c>
      <c r="AI1502">
        <v>1</v>
      </c>
      <c r="AJ1502">
        <v>0</v>
      </c>
      <c r="AK1502">
        <v>247.22</v>
      </c>
      <c r="AN1502" t="s">
        <v>7138</v>
      </c>
      <c r="AO1502">
        <v>30878</v>
      </c>
      <c r="AU1502">
        <v>0</v>
      </c>
      <c r="AW1502" t="s">
        <v>7342</v>
      </c>
    </row>
    <row r="1503" spans="1:50">
      <c r="A1503" s="1">
        <f>HYPERLINK("https://lsnyc.legalserver.org/matter/dynamic-profile/view/1859559","18-1859559")</f>
        <v>0</v>
      </c>
      <c r="B1503" t="s">
        <v>86</v>
      </c>
      <c r="C1503" t="s">
        <v>104</v>
      </c>
      <c r="D1503" t="s">
        <v>633</v>
      </c>
      <c r="E1503" t="s">
        <v>293</v>
      </c>
      <c r="F1503" t="s">
        <v>1447</v>
      </c>
      <c r="G1503" t="s">
        <v>2311</v>
      </c>
      <c r="H1503" t="s">
        <v>3174</v>
      </c>
      <c r="I1503" t="s">
        <v>3306</v>
      </c>
      <c r="J1503" t="s">
        <v>3604</v>
      </c>
      <c r="K1503">
        <v>10009</v>
      </c>
      <c r="L1503" t="s">
        <v>3610</v>
      </c>
      <c r="M1503" t="s">
        <v>3609</v>
      </c>
      <c r="N1503" t="s">
        <v>4141</v>
      </c>
      <c r="O1503" t="s">
        <v>4209</v>
      </c>
      <c r="P1503" t="s">
        <v>4242</v>
      </c>
      <c r="Q1503" t="s">
        <v>4250</v>
      </c>
      <c r="R1503" t="s">
        <v>4258</v>
      </c>
      <c r="S1503" t="s">
        <v>3611</v>
      </c>
      <c r="T1503" t="s">
        <v>4259</v>
      </c>
      <c r="U1503" t="s">
        <v>4268</v>
      </c>
      <c r="W1503" t="s">
        <v>379</v>
      </c>
      <c r="X1503">
        <v>1200</v>
      </c>
      <c r="Y1503" t="s">
        <v>4351</v>
      </c>
      <c r="Z1503" t="s">
        <v>4353</v>
      </c>
      <c r="AA1503" t="s">
        <v>4373</v>
      </c>
      <c r="AB1503" t="s">
        <v>5567</v>
      </c>
      <c r="AD1503" t="s">
        <v>6910</v>
      </c>
      <c r="AE1503">
        <v>26</v>
      </c>
      <c r="AF1503" t="s">
        <v>7104</v>
      </c>
      <c r="AG1503" t="s">
        <v>3745</v>
      </c>
      <c r="AH1503">
        <v>53</v>
      </c>
      <c r="AI1503">
        <v>2</v>
      </c>
      <c r="AJ1503">
        <v>0</v>
      </c>
      <c r="AK1503">
        <v>247.46</v>
      </c>
      <c r="AL1503" t="s">
        <v>7130</v>
      </c>
      <c r="AN1503" t="s">
        <v>7138</v>
      </c>
      <c r="AO1503">
        <v>40188</v>
      </c>
      <c r="AU1503">
        <v>1.2</v>
      </c>
      <c r="AV1503" t="s">
        <v>293</v>
      </c>
      <c r="AW1503" t="s">
        <v>7344</v>
      </c>
    </row>
    <row r="1504" spans="1:50">
      <c r="A1504" s="1">
        <f>HYPERLINK("https://lsnyc.legalserver.org/matter/dynamic-profile/view/1878846","18-1878846")</f>
        <v>0</v>
      </c>
      <c r="B1504" t="s">
        <v>64</v>
      </c>
      <c r="C1504" t="s">
        <v>104</v>
      </c>
      <c r="D1504" t="s">
        <v>342</v>
      </c>
      <c r="E1504" t="s">
        <v>319</v>
      </c>
      <c r="F1504" t="s">
        <v>706</v>
      </c>
      <c r="G1504" t="s">
        <v>1737</v>
      </c>
      <c r="H1504" t="s">
        <v>3175</v>
      </c>
      <c r="I1504" t="s">
        <v>3285</v>
      </c>
      <c r="J1504" t="s">
        <v>3604</v>
      </c>
      <c r="K1504">
        <v>10040</v>
      </c>
      <c r="L1504" t="s">
        <v>3610</v>
      </c>
      <c r="M1504" t="s">
        <v>3610</v>
      </c>
      <c r="O1504" t="s">
        <v>4221</v>
      </c>
      <c r="P1504" t="s">
        <v>4244</v>
      </c>
      <c r="Q1504" t="s">
        <v>4254</v>
      </c>
      <c r="R1504" t="s">
        <v>4258</v>
      </c>
      <c r="S1504" t="s">
        <v>3611</v>
      </c>
      <c r="U1504" t="s">
        <v>4268</v>
      </c>
      <c r="W1504" t="s">
        <v>342</v>
      </c>
      <c r="X1504">
        <v>1182</v>
      </c>
      <c r="Y1504" t="s">
        <v>4351</v>
      </c>
      <c r="Z1504" t="s">
        <v>4354</v>
      </c>
      <c r="AA1504" t="s">
        <v>4378</v>
      </c>
      <c r="AB1504" t="s">
        <v>5568</v>
      </c>
      <c r="AD1504" t="s">
        <v>6911</v>
      </c>
      <c r="AE1504">
        <v>40</v>
      </c>
      <c r="AF1504" t="s">
        <v>7101</v>
      </c>
      <c r="AG1504" t="s">
        <v>7116</v>
      </c>
      <c r="AH1504">
        <v>0</v>
      </c>
      <c r="AI1504">
        <v>1</v>
      </c>
      <c r="AJ1504">
        <v>0</v>
      </c>
      <c r="AK1504">
        <v>248.01</v>
      </c>
      <c r="AL1504" t="s">
        <v>561</v>
      </c>
      <c r="AM1504" t="s">
        <v>7134</v>
      </c>
      <c r="AN1504" t="s">
        <v>7139</v>
      </c>
      <c r="AO1504">
        <v>30108</v>
      </c>
      <c r="AU1504">
        <v>6.45</v>
      </c>
      <c r="AV1504" t="s">
        <v>319</v>
      </c>
      <c r="AW1504" t="s">
        <v>7342</v>
      </c>
    </row>
    <row r="1505" spans="1:50">
      <c r="A1505" s="1">
        <f>HYPERLINK("https://lsnyc.legalserver.org/matter/dynamic-profile/view/1865480","18-1865480")</f>
        <v>0</v>
      </c>
      <c r="B1505" t="s">
        <v>62</v>
      </c>
      <c r="C1505" t="s">
        <v>105</v>
      </c>
      <c r="D1505" t="s">
        <v>557</v>
      </c>
      <c r="F1505" t="s">
        <v>1448</v>
      </c>
      <c r="G1505" t="s">
        <v>1749</v>
      </c>
      <c r="H1505" t="s">
        <v>2476</v>
      </c>
      <c r="I1505">
        <v>15</v>
      </c>
      <c r="J1505" t="s">
        <v>3604</v>
      </c>
      <c r="K1505">
        <v>10034</v>
      </c>
      <c r="L1505" t="s">
        <v>3610</v>
      </c>
      <c r="M1505" t="s">
        <v>3609</v>
      </c>
      <c r="O1505" t="s">
        <v>4209</v>
      </c>
      <c r="P1505" t="s">
        <v>4241</v>
      </c>
      <c r="R1505" t="s">
        <v>4258</v>
      </c>
      <c r="S1505" t="s">
        <v>3611</v>
      </c>
      <c r="U1505" t="s">
        <v>4268</v>
      </c>
      <c r="W1505" t="s">
        <v>557</v>
      </c>
      <c r="X1505">
        <v>1570</v>
      </c>
      <c r="Y1505" t="s">
        <v>4351</v>
      </c>
      <c r="Z1505" t="s">
        <v>4354</v>
      </c>
      <c r="AB1505" t="s">
        <v>5569</v>
      </c>
      <c r="AD1505" t="s">
        <v>6912</v>
      </c>
      <c r="AE1505">
        <v>22</v>
      </c>
      <c r="AF1505" t="s">
        <v>7101</v>
      </c>
      <c r="AG1505" t="s">
        <v>3745</v>
      </c>
      <c r="AH1505">
        <v>3</v>
      </c>
      <c r="AI1505">
        <v>2</v>
      </c>
      <c r="AJ1505">
        <v>2</v>
      </c>
      <c r="AK1505">
        <v>248.61</v>
      </c>
      <c r="AL1505" t="s">
        <v>7130</v>
      </c>
      <c r="AN1505" t="s">
        <v>7138</v>
      </c>
      <c r="AO1505">
        <v>62400</v>
      </c>
      <c r="AU1505">
        <v>243.25</v>
      </c>
      <c r="AV1505" t="s">
        <v>676</v>
      </c>
      <c r="AW1505" t="s">
        <v>7342</v>
      </c>
    </row>
    <row r="1506" spans="1:50">
      <c r="A1506" s="1">
        <f>HYPERLINK("https://lsnyc.legalserver.org/matter/dynamic-profile/view/1837167","17-1837167")</f>
        <v>0</v>
      </c>
      <c r="B1506" t="s">
        <v>53</v>
      </c>
      <c r="C1506" t="s">
        <v>105</v>
      </c>
      <c r="D1506" t="s">
        <v>584</v>
      </c>
      <c r="F1506" t="s">
        <v>1449</v>
      </c>
      <c r="G1506" t="s">
        <v>2312</v>
      </c>
      <c r="H1506" t="s">
        <v>3176</v>
      </c>
      <c r="I1506" t="s">
        <v>3316</v>
      </c>
      <c r="J1506" t="s">
        <v>3604</v>
      </c>
      <c r="K1506">
        <v>10029</v>
      </c>
      <c r="L1506" t="s">
        <v>3610</v>
      </c>
      <c r="M1506" t="s">
        <v>3610</v>
      </c>
      <c r="N1506" t="s">
        <v>4142</v>
      </c>
      <c r="O1506" t="s">
        <v>4225</v>
      </c>
      <c r="P1506" t="s">
        <v>4241</v>
      </c>
      <c r="R1506" t="s">
        <v>4258</v>
      </c>
      <c r="S1506" t="s">
        <v>3611</v>
      </c>
      <c r="U1506" t="s">
        <v>4268</v>
      </c>
      <c r="V1506" t="s">
        <v>4274</v>
      </c>
      <c r="W1506" t="s">
        <v>472</v>
      </c>
      <c r="X1506">
        <v>1550</v>
      </c>
      <c r="Y1506" t="s">
        <v>4351</v>
      </c>
      <c r="Z1506" t="s">
        <v>4357</v>
      </c>
      <c r="AB1506" t="s">
        <v>5420</v>
      </c>
      <c r="AD1506" t="s">
        <v>6913</v>
      </c>
      <c r="AE1506">
        <v>9</v>
      </c>
      <c r="AF1506" t="s">
        <v>7101</v>
      </c>
      <c r="AG1506" t="s">
        <v>3745</v>
      </c>
      <c r="AH1506">
        <v>7</v>
      </c>
      <c r="AI1506">
        <v>1</v>
      </c>
      <c r="AJ1506">
        <v>0</v>
      </c>
      <c r="AK1506">
        <v>248.76</v>
      </c>
      <c r="AL1506" t="s">
        <v>7130</v>
      </c>
      <c r="AN1506" t="s">
        <v>7138</v>
      </c>
      <c r="AO1506">
        <v>30000</v>
      </c>
      <c r="AU1506">
        <v>54.45</v>
      </c>
      <c r="AV1506" t="s">
        <v>7335</v>
      </c>
      <c r="AW1506" t="s">
        <v>7341</v>
      </c>
      <c r="AX1506" t="s">
        <v>7377</v>
      </c>
    </row>
    <row r="1507" spans="1:50">
      <c r="A1507" s="1">
        <f>HYPERLINK("https://lsnyc.legalserver.org/matter/dynamic-profile/view/1833233","17-1833233")</f>
        <v>0</v>
      </c>
      <c r="B1507" t="s">
        <v>53</v>
      </c>
      <c r="C1507" t="s">
        <v>105</v>
      </c>
      <c r="D1507" t="s">
        <v>364</v>
      </c>
      <c r="F1507" t="s">
        <v>1449</v>
      </c>
      <c r="G1507" t="s">
        <v>2312</v>
      </c>
      <c r="H1507" t="s">
        <v>3176</v>
      </c>
      <c r="I1507" t="s">
        <v>3316</v>
      </c>
      <c r="J1507" t="s">
        <v>3604</v>
      </c>
      <c r="K1507">
        <v>10029</v>
      </c>
      <c r="L1507" t="s">
        <v>3610</v>
      </c>
      <c r="M1507" t="s">
        <v>3610</v>
      </c>
      <c r="N1507" t="s">
        <v>4143</v>
      </c>
      <c r="O1507" t="s">
        <v>4209</v>
      </c>
      <c r="P1507" t="s">
        <v>4241</v>
      </c>
      <c r="R1507" t="s">
        <v>4258</v>
      </c>
      <c r="S1507" t="s">
        <v>3611</v>
      </c>
      <c r="U1507" t="s">
        <v>4268</v>
      </c>
      <c r="V1507" t="s">
        <v>4274</v>
      </c>
      <c r="W1507" t="s">
        <v>431</v>
      </c>
      <c r="X1507">
        <v>1550</v>
      </c>
      <c r="Y1507" t="s">
        <v>4351</v>
      </c>
      <c r="Z1507" t="s">
        <v>4370</v>
      </c>
      <c r="AB1507" t="s">
        <v>5420</v>
      </c>
      <c r="AD1507" t="s">
        <v>6913</v>
      </c>
      <c r="AE1507">
        <v>9</v>
      </c>
      <c r="AF1507" t="s">
        <v>7101</v>
      </c>
      <c r="AG1507" t="s">
        <v>3745</v>
      </c>
      <c r="AH1507">
        <v>7</v>
      </c>
      <c r="AI1507">
        <v>1</v>
      </c>
      <c r="AJ1507">
        <v>0</v>
      </c>
      <c r="AK1507">
        <v>248.76</v>
      </c>
      <c r="AL1507" t="s">
        <v>7130</v>
      </c>
      <c r="AN1507" t="s">
        <v>7138</v>
      </c>
      <c r="AO1507">
        <v>30000</v>
      </c>
      <c r="AU1507">
        <v>21.25</v>
      </c>
      <c r="AV1507" t="s">
        <v>271</v>
      </c>
      <c r="AW1507" t="s">
        <v>7341</v>
      </c>
      <c r="AX1507" t="s">
        <v>7377</v>
      </c>
    </row>
    <row r="1508" spans="1:50">
      <c r="A1508" s="1">
        <f>HYPERLINK("https://lsnyc.legalserver.org/matter/dynamic-profile/view/1862424","18-1862424")</f>
        <v>0</v>
      </c>
      <c r="B1508" t="s">
        <v>66</v>
      </c>
      <c r="C1508" t="s">
        <v>104</v>
      </c>
      <c r="D1508" t="s">
        <v>494</v>
      </c>
      <c r="E1508" t="s">
        <v>203</v>
      </c>
      <c r="F1508" t="s">
        <v>1189</v>
      </c>
      <c r="G1508" t="s">
        <v>2313</v>
      </c>
      <c r="H1508" t="s">
        <v>3177</v>
      </c>
      <c r="I1508" t="s">
        <v>3559</v>
      </c>
      <c r="J1508" t="s">
        <v>3604</v>
      </c>
      <c r="K1508">
        <v>10009</v>
      </c>
      <c r="L1508" t="s">
        <v>3610</v>
      </c>
      <c r="M1508" t="s">
        <v>3609</v>
      </c>
      <c r="N1508" t="s">
        <v>4144</v>
      </c>
      <c r="O1508" t="s">
        <v>4210</v>
      </c>
      <c r="P1508" t="s">
        <v>4242</v>
      </c>
      <c r="Q1508" t="s">
        <v>4250</v>
      </c>
      <c r="R1508" t="s">
        <v>4258</v>
      </c>
      <c r="S1508" t="s">
        <v>3611</v>
      </c>
      <c r="U1508" t="s">
        <v>4268</v>
      </c>
      <c r="W1508" t="s">
        <v>495</v>
      </c>
      <c r="X1508">
        <v>924</v>
      </c>
      <c r="Y1508" t="s">
        <v>4351</v>
      </c>
      <c r="Z1508" t="s">
        <v>4354</v>
      </c>
      <c r="AA1508" t="s">
        <v>4373</v>
      </c>
      <c r="AB1508" t="s">
        <v>5570</v>
      </c>
      <c r="AD1508" t="s">
        <v>6914</v>
      </c>
      <c r="AE1508">
        <v>0</v>
      </c>
      <c r="AF1508" t="s">
        <v>7101</v>
      </c>
      <c r="AG1508" t="s">
        <v>3745</v>
      </c>
      <c r="AH1508">
        <v>4</v>
      </c>
      <c r="AI1508">
        <v>2</v>
      </c>
      <c r="AJ1508">
        <v>0</v>
      </c>
      <c r="AK1508">
        <v>249.09</v>
      </c>
      <c r="AN1508" t="s">
        <v>7138</v>
      </c>
      <c r="AO1508">
        <v>41000</v>
      </c>
      <c r="AU1508">
        <v>0.8</v>
      </c>
      <c r="AV1508" t="s">
        <v>622</v>
      </c>
      <c r="AW1508" t="s">
        <v>7344</v>
      </c>
    </row>
    <row r="1509" spans="1:50">
      <c r="A1509" s="1">
        <f>HYPERLINK("https://lsnyc.legalserver.org/matter/dynamic-profile/view/1893485","19-1893485")</f>
        <v>0</v>
      </c>
      <c r="B1509" t="s">
        <v>62</v>
      </c>
      <c r="C1509" t="s">
        <v>104</v>
      </c>
      <c r="D1509" t="s">
        <v>352</v>
      </c>
      <c r="E1509" t="s">
        <v>540</v>
      </c>
      <c r="F1509" t="s">
        <v>1275</v>
      </c>
      <c r="G1509" t="s">
        <v>1771</v>
      </c>
      <c r="H1509" t="s">
        <v>3178</v>
      </c>
      <c r="I1509" t="s">
        <v>3450</v>
      </c>
      <c r="J1509" t="s">
        <v>3604</v>
      </c>
      <c r="K1509">
        <v>10034</v>
      </c>
      <c r="L1509" t="s">
        <v>3610</v>
      </c>
      <c r="M1509" t="s">
        <v>3610</v>
      </c>
      <c r="N1509" t="s">
        <v>4145</v>
      </c>
      <c r="O1509" t="s">
        <v>4209</v>
      </c>
      <c r="P1509" t="s">
        <v>4242</v>
      </c>
      <c r="Q1509" t="s">
        <v>4250</v>
      </c>
      <c r="R1509" t="s">
        <v>4258</v>
      </c>
      <c r="S1509" t="s">
        <v>3611</v>
      </c>
      <c r="U1509" t="s">
        <v>4268</v>
      </c>
      <c r="W1509" t="s">
        <v>352</v>
      </c>
      <c r="X1509">
        <v>209.48</v>
      </c>
      <c r="Y1509" t="s">
        <v>4351</v>
      </c>
      <c r="Z1509" t="s">
        <v>4357</v>
      </c>
      <c r="AA1509" t="s">
        <v>4373</v>
      </c>
      <c r="AB1509" t="s">
        <v>5571</v>
      </c>
      <c r="AD1509" t="s">
        <v>6915</v>
      </c>
      <c r="AE1509">
        <v>48</v>
      </c>
      <c r="AF1509" t="s">
        <v>7104</v>
      </c>
      <c r="AG1509" t="s">
        <v>3745</v>
      </c>
      <c r="AH1509">
        <v>49</v>
      </c>
      <c r="AI1509">
        <v>2</v>
      </c>
      <c r="AJ1509">
        <v>1</v>
      </c>
      <c r="AK1509">
        <v>249.41</v>
      </c>
      <c r="AN1509" t="s">
        <v>7139</v>
      </c>
      <c r="AO1509">
        <v>53200</v>
      </c>
      <c r="AU1509">
        <v>0.7</v>
      </c>
      <c r="AV1509" t="s">
        <v>251</v>
      </c>
      <c r="AW1509" t="s">
        <v>7342</v>
      </c>
    </row>
    <row r="1510" spans="1:50">
      <c r="A1510" s="1">
        <f>HYPERLINK("https://lsnyc.legalserver.org/matter/dynamic-profile/view/1882922","18-1882922")</f>
        <v>0</v>
      </c>
      <c r="B1510" t="s">
        <v>61</v>
      </c>
      <c r="C1510" t="s">
        <v>105</v>
      </c>
      <c r="D1510" t="s">
        <v>582</v>
      </c>
      <c r="F1510" t="s">
        <v>1450</v>
      </c>
      <c r="G1510" t="s">
        <v>1811</v>
      </c>
      <c r="H1510" t="s">
        <v>2741</v>
      </c>
      <c r="I1510">
        <v>34</v>
      </c>
      <c r="J1510" t="s">
        <v>3604</v>
      </c>
      <c r="K1510">
        <v>10034</v>
      </c>
      <c r="L1510" t="s">
        <v>3610</v>
      </c>
      <c r="M1510" t="s">
        <v>3610</v>
      </c>
      <c r="O1510" t="s">
        <v>4221</v>
      </c>
      <c r="P1510" t="s">
        <v>4244</v>
      </c>
      <c r="R1510" t="s">
        <v>4258</v>
      </c>
      <c r="S1510" t="s">
        <v>3611</v>
      </c>
      <c r="U1510" t="s">
        <v>4268</v>
      </c>
      <c r="W1510" t="s">
        <v>179</v>
      </c>
      <c r="X1510">
        <v>810.26</v>
      </c>
      <c r="Y1510" t="s">
        <v>4351</v>
      </c>
      <c r="Z1510" t="s">
        <v>4354</v>
      </c>
      <c r="AB1510" t="s">
        <v>5572</v>
      </c>
      <c r="AD1510" t="s">
        <v>6916</v>
      </c>
      <c r="AE1510">
        <v>25</v>
      </c>
      <c r="AF1510" t="s">
        <v>7101</v>
      </c>
      <c r="AG1510" t="s">
        <v>3745</v>
      </c>
      <c r="AH1510">
        <v>52</v>
      </c>
      <c r="AI1510">
        <v>1</v>
      </c>
      <c r="AJ1510">
        <v>0</v>
      </c>
      <c r="AK1510">
        <v>249.59</v>
      </c>
      <c r="AL1510" t="s">
        <v>148</v>
      </c>
      <c r="AM1510" t="s">
        <v>7134</v>
      </c>
      <c r="AN1510" t="s">
        <v>7139</v>
      </c>
      <c r="AO1510">
        <v>30300</v>
      </c>
      <c r="AU1510">
        <v>10.2</v>
      </c>
      <c r="AV1510" t="s">
        <v>679</v>
      </c>
      <c r="AW1510" t="s">
        <v>7342</v>
      </c>
      <c r="AX1510" t="s">
        <v>7377</v>
      </c>
    </row>
    <row r="1511" spans="1:50">
      <c r="A1511" s="1">
        <f>HYPERLINK("https://lsnyc.legalserver.org/matter/dynamic-profile/view/1883034","18-1883034")</f>
        <v>0</v>
      </c>
      <c r="B1511" t="s">
        <v>61</v>
      </c>
      <c r="C1511" t="s">
        <v>104</v>
      </c>
      <c r="D1511" t="s">
        <v>582</v>
      </c>
      <c r="E1511" t="s">
        <v>109</v>
      </c>
      <c r="F1511" t="s">
        <v>1450</v>
      </c>
      <c r="G1511" t="s">
        <v>1811</v>
      </c>
      <c r="H1511" t="s">
        <v>2741</v>
      </c>
      <c r="I1511">
        <v>34</v>
      </c>
      <c r="J1511" t="s">
        <v>3604</v>
      </c>
      <c r="K1511">
        <v>10034</v>
      </c>
      <c r="L1511" t="s">
        <v>3610</v>
      </c>
      <c r="M1511" t="s">
        <v>3610</v>
      </c>
      <c r="O1511" t="s">
        <v>4217</v>
      </c>
      <c r="P1511" t="s">
        <v>4245</v>
      </c>
      <c r="Q1511" t="s">
        <v>4249</v>
      </c>
      <c r="R1511" t="s">
        <v>4258</v>
      </c>
      <c r="S1511" t="s">
        <v>3611</v>
      </c>
      <c r="U1511" t="s">
        <v>4268</v>
      </c>
      <c r="W1511" t="s">
        <v>582</v>
      </c>
      <c r="X1511">
        <v>810.26</v>
      </c>
      <c r="Y1511" t="s">
        <v>4351</v>
      </c>
      <c r="Z1511" t="s">
        <v>4357</v>
      </c>
      <c r="AA1511" t="s">
        <v>4373</v>
      </c>
      <c r="AB1511" t="s">
        <v>5572</v>
      </c>
      <c r="AD1511" t="s">
        <v>6916</v>
      </c>
      <c r="AE1511">
        <v>25</v>
      </c>
      <c r="AF1511" t="s">
        <v>7101</v>
      </c>
      <c r="AG1511" t="s">
        <v>7118</v>
      </c>
      <c r="AH1511">
        <v>52</v>
      </c>
      <c r="AI1511">
        <v>1</v>
      </c>
      <c r="AJ1511">
        <v>0</v>
      </c>
      <c r="AK1511">
        <v>249.59</v>
      </c>
      <c r="AL1511" t="s">
        <v>148</v>
      </c>
      <c r="AM1511" t="s">
        <v>7134</v>
      </c>
      <c r="AN1511" t="s">
        <v>7139</v>
      </c>
      <c r="AO1511">
        <v>30300</v>
      </c>
      <c r="AU1511">
        <v>2.7</v>
      </c>
      <c r="AV1511" t="s">
        <v>109</v>
      </c>
      <c r="AW1511" t="s">
        <v>7342</v>
      </c>
      <c r="AX1511" t="s">
        <v>7377</v>
      </c>
    </row>
    <row r="1512" spans="1:50">
      <c r="A1512" s="1">
        <f>HYPERLINK("https://lsnyc.legalserver.org/matter/dynamic-profile/view/1891156","19-1891156")</f>
        <v>0</v>
      </c>
      <c r="B1512" t="s">
        <v>74</v>
      </c>
      <c r="C1512" t="s">
        <v>105</v>
      </c>
      <c r="D1512" t="s">
        <v>567</v>
      </c>
      <c r="F1512" t="s">
        <v>1451</v>
      </c>
      <c r="G1512" t="s">
        <v>2314</v>
      </c>
      <c r="H1512" t="s">
        <v>3179</v>
      </c>
      <c r="I1512">
        <v>5</v>
      </c>
      <c r="J1512" t="s">
        <v>3604</v>
      </c>
      <c r="K1512">
        <v>10013</v>
      </c>
      <c r="L1512" t="s">
        <v>3611</v>
      </c>
      <c r="M1512" t="s">
        <v>3610</v>
      </c>
      <c r="O1512" t="s">
        <v>4211</v>
      </c>
      <c r="P1512" t="s">
        <v>4246</v>
      </c>
      <c r="R1512" t="s">
        <v>4258</v>
      </c>
      <c r="S1512" t="s">
        <v>3611</v>
      </c>
      <c r="U1512" t="s">
        <v>4268</v>
      </c>
      <c r="X1512">
        <v>0</v>
      </c>
      <c r="Y1512" t="s">
        <v>4351</v>
      </c>
      <c r="Z1512" t="s">
        <v>4352</v>
      </c>
      <c r="AB1512" t="s">
        <v>5573</v>
      </c>
      <c r="AE1512">
        <v>0</v>
      </c>
      <c r="AF1512" t="s">
        <v>7105</v>
      </c>
      <c r="AG1512" t="s">
        <v>3745</v>
      </c>
      <c r="AH1512">
        <v>3</v>
      </c>
      <c r="AI1512">
        <v>1</v>
      </c>
      <c r="AJ1512">
        <v>0</v>
      </c>
      <c r="AK1512">
        <v>249.8</v>
      </c>
      <c r="AN1512" t="s">
        <v>7144</v>
      </c>
      <c r="AO1512">
        <v>31200</v>
      </c>
      <c r="AU1512">
        <v>0</v>
      </c>
      <c r="AW1512" t="s">
        <v>7344</v>
      </c>
    </row>
    <row r="1513" spans="1:50">
      <c r="A1513" s="1">
        <f>HYPERLINK("https://lsnyc.legalserver.org/matter/dynamic-profile/view/1868150","18-1868150")</f>
        <v>0</v>
      </c>
      <c r="B1513" t="s">
        <v>69</v>
      </c>
      <c r="C1513" t="s">
        <v>105</v>
      </c>
      <c r="D1513" t="s">
        <v>233</v>
      </c>
      <c r="F1513" t="s">
        <v>970</v>
      </c>
      <c r="G1513" t="s">
        <v>2315</v>
      </c>
      <c r="H1513" t="s">
        <v>3180</v>
      </c>
      <c r="I1513" t="s">
        <v>3560</v>
      </c>
      <c r="J1513" t="s">
        <v>3604</v>
      </c>
      <c r="K1513">
        <v>10016</v>
      </c>
      <c r="L1513" t="s">
        <v>3610</v>
      </c>
      <c r="M1513" t="s">
        <v>3610</v>
      </c>
      <c r="N1513" t="s">
        <v>4146</v>
      </c>
      <c r="O1513" t="s">
        <v>4229</v>
      </c>
      <c r="P1513" t="s">
        <v>4241</v>
      </c>
      <c r="R1513" t="s">
        <v>4258</v>
      </c>
      <c r="S1513" t="s">
        <v>3611</v>
      </c>
      <c r="U1513" t="s">
        <v>4268</v>
      </c>
      <c r="V1513" t="s">
        <v>4274</v>
      </c>
      <c r="W1513" t="s">
        <v>573</v>
      </c>
      <c r="X1513">
        <v>1205</v>
      </c>
      <c r="Y1513" t="s">
        <v>4351</v>
      </c>
      <c r="Z1513" t="s">
        <v>4361</v>
      </c>
      <c r="AB1513" t="s">
        <v>5574</v>
      </c>
      <c r="AD1513" t="s">
        <v>6917</v>
      </c>
      <c r="AE1513">
        <v>8</v>
      </c>
      <c r="AF1513" t="s">
        <v>7101</v>
      </c>
      <c r="AG1513" t="s">
        <v>3745</v>
      </c>
      <c r="AH1513">
        <v>30</v>
      </c>
      <c r="AI1513">
        <v>2</v>
      </c>
      <c r="AJ1513">
        <v>1</v>
      </c>
      <c r="AK1513">
        <v>250.24</v>
      </c>
      <c r="AL1513" t="s">
        <v>573</v>
      </c>
      <c r="AM1513" t="s">
        <v>7134</v>
      </c>
      <c r="AN1513" t="s">
        <v>7138</v>
      </c>
      <c r="AO1513">
        <v>52000</v>
      </c>
      <c r="AU1513">
        <v>89.90000000000001</v>
      </c>
      <c r="AV1513" t="s">
        <v>612</v>
      </c>
      <c r="AW1513" t="s">
        <v>7341</v>
      </c>
      <c r="AX1513" t="s">
        <v>7377</v>
      </c>
    </row>
    <row r="1514" spans="1:50">
      <c r="A1514" s="1">
        <f>HYPERLINK("https://lsnyc.legalserver.org/matter/dynamic-profile/view/1845772","17-1845772")</f>
        <v>0</v>
      </c>
      <c r="B1514" t="s">
        <v>67</v>
      </c>
      <c r="C1514" t="s">
        <v>104</v>
      </c>
      <c r="D1514" t="s">
        <v>575</v>
      </c>
      <c r="E1514" t="s">
        <v>575</v>
      </c>
      <c r="F1514" t="s">
        <v>760</v>
      </c>
      <c r="G1514" t="s">
        <v>2316</v>
      </c>
      <c r="H1514" t="s">
        <v>3038</v>
      </c>
      <c r="I1514" t="s">
        <v>3561</v>
      </c>
      <c r="J1514" t="s">
        <v>3604</v>
      </c>
      <c r="K1514">
        <v>10035</v>
      </c>
      <c r="L1514" t="s">
        <v>3610</v>
      </c>
      <c r="M1514" t="s">
        <v>3610</v>
      </c>
      <c r="N1514" t="s">
        <v>4147</v>
      </c>
      <c r="O1514" t="s">
        <v>4209</v>
      </c>
      <c r="P1514" t="s">
        <v>4242</v>
      </c>
      <c r="Q1514" t="s">
        <v>4250</v>
      </c>
      <c r="R1514" t="s">
        <v>4258</v>
      </c>
      <c r="S1514" t="s">
        <v>3611</v>
      </c>
      <c r="U1514" t="s">
        <v>4268</v>
      </c>
      <c r="V1514" t="s">
        <v>4278</v>
      </c>
      <c r="W1514" t="s">
        <v>4322</v>
      </c>
      <c r="X1514">
        <v>2200</v>
      </c>
      <c r="Y1514" t="s">
        <v>4351</v>
      </c>
      <c r="Z1514" t="s">
        <v>4367</v>
      </c>
      <c r="AA1514" t="s">
        <v>4373</v>
      </c>
      <c r="AB1514" t="s">
        <v>5575</v>
      </c>
      <c r="AD1514" t="s">
        <v>6918</v>
      </c>
      <c r="AE1514">
        <v>255</v>
      </c>
      <c r="AF1514" t="s">
        <v>7106</v>
      </c>
      <c r="AG1514" t="s">
        <v>3745</v>
      </c>
      <c r="AH1514">
        <v>22</v>
      </c>
      <c r="AI1514">
        <v>4</v>
      </c>
      <c r="AJ1514">
        <v>0</v>
      </c>
      <c r="AK1514">
        <v>253.51</v>
      </c>
      <c r="AN1514" t="s">
        <v>7138</v>
      </c>
      <c r="AO1514">
        <v>62363.08</v>
      </c>
      <c r="AU1514">
        <v>1.5</v>
      </c>
      <c r="AV1514" t="s">
        <v>4322</v>
      </c>
      <c r="AW1514" t="s">
        <v>51</v>
      </c>
    </row>
    <row r="1515" spans="1:50">
      <c r="A1515" s="1">
        <f>HYPERLINK("https://lsnyc.legalserver.org/matter/dynamic-profile/view/1840424","17-1840424")</f>
        <v>0</v>
      </c>
      <c r="B1515" t="s">
        <v>63</v>
      </c>
      <c r="C1515" t="s">
        <v>104</v>
      </c>
      <c r="D1515" t="s">
        <v>297</v>
      </c>
      <c r="E1515" t="s">
        <v>263</v>
      </c>
      <c r="F1515" t="s">
        <v>1452</v>
      </c>
      <c r="G1515" t="s">
        <v>1913</v>
      </c>
      <c r="H1515" t="s">
        <v>2647</v>
      </c>
      <c r="I1515">
        <v>42</v>
      </c>
      <c r="J1515" t="s">
        <v>3604</v>
      </c>
      <c r="K1515">
        <v>10033</v>
      </c>
      <c r="L1515" t="s">
        <v>3610</v>
      </c>
      <c r="M1515" t="s">
        <v>3610</v>
      </c>
      <c r="O1515" t="s">
        <v>4219</v>
      </c>
      <c r="P1515" t="s">
        <v>4242</v>
      </c>
      <c r="Q1515" t="s">
        <v>4250</v>
      </c>
      <c r="R1515" t="s">
        <v>4258</v>
      </c>
      <c r="S1515" t="s">
        <v>3610</v>
      </c>
      <c r="U1515" t="s">
        <v>4268</v>
      </c>
      <c r="W1515" t="s">
        <v>4315</v>
      </c>
      <c r="X1515">
        <v>1470</v>
      </c>
      <c r="Y1515" t="s">
        <v>4351</v>
      </c>
      <c r="Z1515" t="s">
        <v>4354</v>
      </c>
      <c r="AA1515" t="s">
        <v>4373</v>
      </c>
      <c r="AB1515" t="s">
        <v>5576</v>
      </c>
      <c r="AD1515" t="s">
        <v>6919</v>
      </c>
      <c r="AE1515">
        <v>33</v>
      </c>
      <c r="AF1515" t="s">
        <v>7101</v>
      </c>
      <c r="AG1515" t="s">
        <v>3745</v>
      </c>
      <c r="AH1515">
        <v>15</v>
      </c>
      <c r="AI1515">
        <v>3</v>
      </c>
      <c r="AJ1515">
        <v>1</v>
      </c>
      <c r="AK1515">
        <v>253.66</v>
      </c>
      <c r="AL1515" t="s">
        <v>7124</v>
      </c>
      <c r="AN1515" t="s">
        <v>7139</v>
      </c>
      <c r="AO1515">
        <v>62400</v>
      </c>
      <c r="AU1515">
        <v>0.3</v>
      </c>
      <c r="AV1515" t="s">
        <v>417</v>
      </c>
      <c r="AW1515" t="s">
        <v>7342</v>
      </c>
    </row>
    <row r="1516" spans="1:50">
      <c r="A1516" s="1">
        <f>HYPERLINK("https://lsnyc.legalserver.org/matter/dynamic-profile/view/1893400","19-1893400")</f>
        <v>0</v>
      </c>
      <c r="B1516" t="s">
        <v>68</v>
      </c>
      <c r="C1516" t="s">
        <v>105</v>
      </c>
      <c r="D1516" t="s">
        <v>504</v>
      </c>
      <c r="F1516" t="s">
        <v>1453</v>
      </c>
      <c r="G1516" t="s">
        <v>2317</v>
      </c>
      <c r="H1516" t="s">
        <v>2531</v>
      </c>
      <c r="I1516" t="s">
        <v>3304</v>
      </c>
      <c r="J1516" t="s">
        <v>3604</v>
      </c>
      <c r="K1516">
        <v>10035</v>
      </c>
      <c r="L1516" t="s">
        <v>3609</v>
      </c>
      <c r="M1516" t="s">
        <v>3609</v>
      </c>
      <c r="N1516" t="s">
        <v>3654</v>
      </c>
      <c r="O1516" t="s">
        <v>4213</v>
      </c>
      <c r="P1516" t="s">
        <v>4241</v>
      </c>
      <c r="R1516" t="s">
        <v>4258</v>
      </c>
      <c r="S1516" t="s">
        <v>3610</v>
      </c>
      <c r="U1516" t="s">
        <v>4268</v>
      </c>
      <c r="V1516" t="s">
        <v>4274</v>
      </c>
      <c r="X1516">
        <v>1415</v>
      </c>
      <c r="Y1516" t="s">
        <v>4351</v>
      </c>
      <c r="Z1516" t="s">
        <v>4357</v>
      </c>
      <c r="AB1516" t="s">
        <v>5370</v>
      </c>
      <c r="AE1516">
        <v>35</v>
      </c>
      <c r="AF1516" t="s">
        <v>7101</v>
      </c>
      <c r="AH1516">
        <v>7</v>
      </c>
      <c r="AI1516">
        <v>3</v>
      </c>
      <c r="AJ1516">
        <v>0</v>
      </c>
      <c r="AK1516">
        <v>254.74</v>
      </c>
      <c r="AN1516" t="s">
        <v>7139</v>
      </c>
      <c r="AO1516">
        <v>54336</v>
      </c>
      <c r="AU1516">
        <v>2</v>
      </c>
      <c r="AV1516" t="s">
        <v>7336</v>
      </c>
      <c r="AW1516" t="s">
        <v>7341</v>
      </c>
    </row>
    <row r="1517" spans="1:50">
      <c r="A1517" s="1">
        <f>HYPERLINK("https://lsnyc.legalserver.org/matter/dynamic-profile/view/1866427","18-1866427")</f>
        <v>0</v>
      </c>
      <c r="B1517" t="s">
        <v>53</v>
      </c>
      <c r="C1517" t="s">
        <v>105</v>
      </c>
      <c r="D1517" t="s">
        <v>288</v>
      </c>
      <c r="F1517" t="s">
        <v>1454</v>
      </c>
      <c r="G1517" t="s">
        <v>887</v>
      </c>
      <c r="H1517" t="s">
        <v>2565</v>
      </c>
      <c r="I1517" t="s">
        <v>3396</v>
      </c>
      <c r="J1517" t="s">
        <v>3604</v>
      </c>
      <c r="K1517">
        <v>10031</v>
      </c>
      <c r="L1517" t="s">
        <v>3610</v>
      </c>
      <c r="M1517" t="s">
        <v>3610</v>
      </c>
      <c r="O1517" t="s">
        <v>4213</v>
      </c>
      <c r="P1517" t="s">
        <v>4245</v>
      </c>
      <c r="R1517" t="s">
        <v>4258</v>
      </c>
      <c r="S1517" t="s">
        <v>3610</v>
      </c>
      <c r="U1517" t="s">
        <v>4268</v>
      </c>
      <c r="V1517" t="s">
        <v>4274</v>
      </c>
      <c r="W1517" t="s">
        <v>288</v>
      </c>
      <c r="X1517">
        <v>2126</v>
      </c>
      <c r="Y1517" t="s">
        <v>4351</v>
      </c>
      <c r="Z1517" t="s">
        <v>4352</v>
      </c>
      <c r="AB1517" t="s">
        <v>5158</v>
      </c>
      <c r="AD1517" t="s">
        <v>6920</v>
      </c>
      <c r="AE1517">
        <v>42</v>
      </c>
      <c r="AF1517" t="s">
        <v>7106</v>
      </c>
      <c r="AG1517" t="s">
        <v>7116</v>
      </c>
      <c r="AH1517">
        <v>17</v>
      </c>
      <c r="AI1517">
        <v>2</v>
      </c>
      <c r="AJ1517">
        <v>1</v>
      </c>
      <c r="AK1517">
        <v>255.05</v>
      </c>
      <c r="AL1517" t="s">
        <v>7130</v>
      </c>
      <c r="AN1517" t="s">
        <v>7139</v>
      </c>
      <c r="AO1517">
        <v>53000</v>
      </c>
      <c r="AU1517">
        <v>1</v>
      </c>
      <c r="AV1517" t="s">
        <v>7304</v>
      </c>
      <c r="AW1517" t="s">
        <v>7341</v>
      </c>
    </row>
    <row r="1518" spans="1:50">
      <c r="A1518" s="1">
        <f>HYPERLINK("https://lsnyc.legalserver.org/matter/dynamic-profile/view/1873190","18-1873190")</f>
        <v>0</v>
      </c>
      <c r="B1518" t="s">
        <v>73</v>
      </c>
      <c r="C1518" t="s">
        <v>104</v>
      </c>
      <c r="D1518" t="s">
        <v>260</v>
      </c>
      <c r="E1518" t="s">
        <v>335</v>
      </c>
      <c r="F1518" t="s">
        <v>815</v>
      </c>
      <c r="G1518" t="s">
        <v>1790</v>
      </c>
      <c r="H1518" t="s">
        <v>3181</v>
      </c>
      <c r="I1518">
        <v>63</v>
      </c>
      <c r="J1518" t="s">
        <v>3604</v>
      </c>
      <c r="K1518">
        <v>10032</v>
      </c>
      <c r="L1518" t="s">
        <v>3610</v>
      </c>
      <c r="M1518" t="s">
        <v>3610</v>
      </c>
      <c r="O1518" t="s">
        <v>4220</v>
      </c>
      <c r="P1518" t="s">
        <v>4242</v>
      </c>
      <c r="Q1518" t="s">
        <v>4250</v>
      </c>
      <c r="R1518" t="s">
        <v>4258</v>
      </c>
      <c r="S1518" t="s">
        <v>3611</v>
      </c>
      <c r="U1518" t="s">
        <v>4268</v>
      </c>
      <c r="W1518" t="s">
        <v>260</v>
      </c>
      <c r="X1518">
        <v>815.37</v>
      </c>
      <c r="Y1518" t="s">
        <v>4351</v>
      </c>
      <c r="Z1518" t="s">
        <v>4352</v>
      </c>
      <c r="AA1518" t="s">
        <v>4373</v>
      </c>
      <c r="AB1518" t="s">
        <v>5577</v>
      </c>
      <c r="AD1518" t="s">
        <v>6921</v>
      </c>
      <c r="AE1518">
        <v>54</v>
      </c>
      <c r="AF1518" t="s">
        <v>7101</v>
      </c>
      <c r="AG1518" t="s">
        <v>3745</v>
      </c>
      <c r="AH1518">
        <v>48</v>
      </c>
      <c r="AI1518">
        <v>2</v>
      </c>
      <c r="AJ1518">
        <v>0</v>
      </c>
      <c r="AK1518">
        <v>255.16</v>
      </c>
      <c r="AL1518" t="s">
        <v>561</v>
      </c>
      <c r="AM1518" t="s">
        <v>7134</v>
      </c>
      <c r="AN1518" t="s">
        <v>7139</v>
      </c>
      <c r="AO1518">
        <v>42000</v>
      </c>
      <c r="AU1518">
        <v>0.3</v>
      </c>
      <c r="AV1518" t="s">
        <v>260</v>
      </c>
      <c r="AW1518" t="s">
        <v>7342</v>
      </c>
    </row>
    <row r="1519" spans="1:50">
      <c r="A1519" s="1">
        <f>HYPERLINK("https://lsnyc.legalserver.org/matter/dynamic-profile/view/1864960","18-1864960")</f>
        <v>0</v>
      </c>
      <c r="B1519" t="s">
        <v>70</v>
      </c>
      <c r="C1519" t="s">
        <v>105</v>
      </c>
      <c r="D1519" t="s">
        <v>634</v>
      </c>
      <c r="F1519" t="s">
        <v>965</v>
      </c>
      <c r="G1519" t="s">
        <v>2318</v>
      </c>
      <c r="H1519" t="s">
        <v>3182</v>
      </c>
      <c r="I1519" t="s">
        <v>3395</v>
      </c>
      <c r="J1519" t="s">
        <v>3604</v>
      </c>
      <c r="K1519">
        <v>10024</v>
      </c>
      <c r="L1519" t="s">
        <v>3610</v>
      </c>
      <c r="M1519" t="s">
        <v>3610</v>
      </c>
      <c r="N1519" t="s">
        <v>4148</v>
      </c>
      <c r="O1519" t="s">
        <v>4213</v>
      </c>
      <c r="P1519" t="s">
        <v>4241</v>
      </c>
      <c r="R1519" t="s">
        <v>4258</v>
      </c>
      <c r="S1519" t="s">
        <v>3611</v>
      </c>
      <c r="U1519" t="s">
        <v>4268</v>
      </c>
      <c r="W1519" t="s">
        <v>634</v>
      </c>
      <c r="X1519">
        <v>760.97</v>
      </c>
      <c r="Y1519" t="s">
        <v>4351</v>
      </c>
      <c r="Z1519" t="s">
        <v>4371</v>
      </c>
      <c r="AB1519" t="s">
        <v>5578</v>
      </c>
      <c r="AD1519" t="s">
        <v>6922</v>
      </c>
      <c r="AE1519">
        <v>20</v>
      </c>
      <c r="AF1519" t="s">
        <v>7101</v>
      </c>
      <c r="AG1519" t="s">
        <v>3745</v>
      </c>
      <c r="AH1519">
        <v>42</v>
      </c>
      <c r="AI1519">
        <v>2</v>
      </c>
      <c r="AJ1519">
        <v>0</v>
      </c>
      <c r="AK1519">
        <v>255.16</v>
      </c>
      <c r="AL1519" t="s">
        <v>7130</v>
      </c>
      <c r="AN1519" t="s">
        <v>7138</v>
      </c>
      <c r="AO1519">
        <v>42000</v>
      </c>
      <c r="AU1519">
        <v>64.34999999999999</v>
      </c>
      <c r="AV1519" t="s">
        <v>663</v>
      </c>
      <c r="AW1519" t="s">
        <v>7341</v>
      </c>
    </row>
    <row r="1520" spans="1:50">
      <c r="A1520" s="1">
        <f>HYPERLINK("https://lsnyc.legalserver.org/matter/dynamic-profile/view/1870293","18-1870293")</f>
        <v>0</v>
      </c>
      <c r="B1520" t="s">
        <v>62</v>
      </c>
      <c r="C1520" t="s">
        <v>104</v>
      </c>
      <c r="D1520" t="s">
        <v>234</v>
      </c>
      <c r="E1520" t="s">
        <v>271</v>
      </c>
      <c r="F1520" t="s">
        <v>1275</v>
      </c>
      <c r="G1520" t="s">
        <v>1771</v>
      </c>
      <c r="H1520" t="s">
        <v>3178</v>
      </c>
      <c r="I1520" t="s">
        <v>3450</v>
      </c>
      <c r="J1520" t="s">
        <v>3604</v>
      </c>
      <c r="K1520">
        <v>10034</v>
      </c>
      <c r="L1520" t="s">
        <v>3610</v>
      </c>
      <c r="M1520" t="s">
        <v>3610</v>
      </c>
      <c r="N1520" t="s">
        <v>4149</v>
      </c>
      <c r="O1520" t="s">
        <v>4209</v>
      </c>
      <c r="P1520" t="s">
        <v>4241</v>
      </c>
      <c r="Q1520" t="s">
        <v>4248</v>
      </c>
      <c r="R1520" t="s">
        <v>4258</v>
      </c>
      <c r="S1520" t="s">
        <v>3611</v>
      </c>
      <c r="U1520" t="s">
        <v>4268</v>
      </c>
      <c r="W1520" t="s">
        <v>234</v>
      </c>
      <c r="X1520">
        <v>209.48</v>
      </c>
      <c r="Y1520" t="s">
        <v>4351</v>
      </c>
      <c r="Z1520" t="s">
        <v>4357</v>
      </c>
      <c r="AA1520" t="s">
        <v>4374</v>
      </c>
      <c r="AB1520" t="s">
        <v>5571</v>
      </c>
      <c r="AD1520" t="s">
        <v>6915</v>
      </c>
      <c r="AE1520">
        <v>48</v>
      </c>
      <c r="AF1520" t="s">
        <v>7104</v>
      </c>
      <c r="AG1520" t="s">
        <v>3745</v>
      </c>
      <c r="AH1520">
        <v>49</v>
      </c>
      <c r="AI1520">
        <v>2</v>
      </c>
      <c r="AJ1520">
        <v>1</v>
      </c>
      <c r="AK1520">
        <v>256.02</v>
      </c>
      <c r="AN1520" t="s">
        <v>7139</v>
      </c>
      <c r="AO1520">
        <v>53200</v>
      </c>
      <c r="AU1520">
        <v>18</v>
      </c>
      <c r="AV1520" t="s">
        <v>7294</v>
      </c>
      <c r="AW1520" t="s">
        <v>7342</v>
      </c>
    </row>
    <row r="1521" spans="1:50">
      <c r="A1521" s="1">
        <f>HYPERLINK("https://lsnyc.legalserver.org/matter/dynamic-profile/view/1849237","17-1849237")</f>
        <v>0</v>
      </c>
      <c r="B1521" t="s">
        <v>59</v>
      </c>
      <c r="C1521" t="s">
        <v>104</v>
      </c>
      <c r="D1521" t="s">
        <v>546</v>
      </c>
      <c r="E1521" t="s">
        <v>548</v>
      </c>
      <c r="F1521" t="s">
        <v>1455</v>
      </c>
      <c r="G1521" t="s">
        <v>2319</v>
      </c>
      <c r="H1521" t="s">
        <v>3183</v>
      </c>
      <c r="I1521" t="s">
        <v>3562</v>
      </c>
      <c r="J1521" t="s">
        <v>3604</v>
      </c>
      <c r="K1521">
        <v>10039</v>
      </c>
      <c r="L1521" t="s">
        <v>3610</v>
      </c>
      <c r="M1521" t="s">
        <v>3610</v>
      </c>
      <c r="N1521" t="s">
        <v>4150</v>
      </c>
      <c r="O1521" t="s">
        <v>4210</v>
      </c>
      <c r="P1521" t="s">
        <v>4245</v>
      </c>
      <c r="Q1521" t="s">
        <v>4250</v>
      </c>
      <c r="R1521" t="s">
        <v>4258</v>
      </c>
      <c r="S1521" t="s">
        <v>3611</v>
      </c>
      <c r="T1521" t="s">
        <v>4259</v>
      </c>
      <c r="U1521" t="s">
        <v>4268</v>
      </c>
      <c r="V1521" t="s">
        <v>4274</v>
      </c>
      <c r="W1521" t="s">
        <v>379</v>
      </c>
      <c r="X1521">
        <v>840</v>
      </c>
      <c r="Y1521" t="s">
        <v>4351</v>
      </c>
      <c r="Z1521" t="s">
        <v>4357</v>
      </c>
      <c r="AA1521" t="s">
        <v>4373</v>
      </c>
      <c r="AB1521" t="s">
        <v>5579</v>
      </c>
      <c r="AD1521" t="s">
        <v>6923</v>
      </c>
      <c r="AE1521">
        <v>1229</v>
      </c>
      <c r="AF1521" t="s">
        <v>7102</v>
      </c>
      <c r="AG1521" t="s">
        <v>3745</v>
      </c>
      <c r="AH1521">
        <v>22</v>
      </c>
      <c r="AI1521">
        <v>3</v>
      </c>
      <c r="AJ1521">
        <v>1</v>
      </c>
      <c r="AK1521">
        <v>256.3</v>
      </c>
      <c r="AL1521" t="s">
        <v>7130</v>
      </c>
      <c r="AN1521" t="s">
        <v>7138</v>
      </c>
      <c r="AO1521">
        <v>63050</v>
      </c>
      <c r="AU1521">
        <v>0.4</v>
      </c>
      <c r="AV1521" t="s">
        <v>237</v>
      </c>
      <c r="AW1521" t="s">
        <v>7344</v>
      </c>
    </row>
    <row r="1522" spans="1:50">
      <c r="A1522" s="1">
        <f>HYPERLINK("https://lsnyc.legalserver.org/matter/dynamic-profile/view/1842621","17-1842621")</f>
        <v>0</v>
      </c>
      <c r="B1522" t="s">
        <v>53</v>
      </c>
      <c r="C1522" t="s">
        <v>105</v>
      </c>
      <c r="D1522" t="s">
        <v>635</v>
      </c>
      <c r="F1522" t="s">
        <v>1289</v>
      </c>
      <c r="G1522" t="s">
        <v>2320</v>
      </c>
      <c r="H1522" t="s">
        <v>2734</v>
      </c>
      <c r="I1522" t="s">
        <v>3356</v>
      </c>
      <c r="J1522" t="s">
        <v>3604</v>
      </c>
      <c r="K1522">
        <v>10040</v>
      </c>
      <c r="L1522" t="s">
        <v>3610</v>
      </c>
      <c r="M1522" t="s">
        <v>3609</v>
      </c>
      <c r="N1522" t="s">
        <v>4151</v>
      </c>
      <c r="O1522" t="s">
        <v>4220</v>
      </c>
      <c r="P1522" t="s">
        <v>4244</v>
      </c>
      <c r="R1522" t="s">
        <v>4258</v>
      </c>
      <c r="S1522" t="s">
        <v>3610</v>
      </c>
      <c r="U1522" t="s">
        <v>4268</v>
      </c>
      <c r="W1522" t="s">
        <v>635</v>
      </c>
      <c r="X1522">
        <v>1300</v>
      </c>
      <c r="Y1522" t="s">
        <v>4351</v>
      </c>
      <c r="Z1522" t="s">
        <v>4354</v>
      </c>
      <c r="AB1522" t="s">
        <v>5580</v>
      </c>
      <c r="AD1522" t="s">
        <v>6924</v>
      </c>
      <c r="AE1522">
        <v>43</v>
      </c>
      <c r="AF1522" t="s">
        <v>7101</v>
      </c>
      <c r="AG1522" t="s">
        <v>3745</v>
      </c>
      <c r="AH1522">
        <v>17</v>
      </c>
      <c r="AI1522">
        <v>3</v>
      </c>
      <c r="AJ1522">
        <v>3</v>
      </c>
      <c r="AK1522">
        <v>257.89</v>
      </c>
      <c r="AL1522" t="s">
        <v>7125</v>
      </c>
      <c r="AN1522" t="s">
        <v>7138</v>
      </c>
      <c r="AO1522">
        <v>85000</v>
      </c>
      <c r="AU1522">
        <v>15.75</v>
      </c>
      <c r="AV1522" t="s">
        <v>212</v>
      </c>
      <c r="AW1522" t="s">
        <v>7342</v>
      </c>
    </row>
    <row r="1523" spans="1:50">
      <c r="A1523" s="1">
        <f>HYPERLINK("https://lsnyc.legalserver.org/matter/dynamic-profile/view/1835193","17-1835193")</f>
        <v>0</v>
      </c>
      <c r="B1523" t="s">
        <v>86</v>
      </c>
      <c r="C1523" t="s">
        <v>104</v>
      </c>
      <c r="D1523" t="s">
        <v>545</v>
      </c>
      <c r="E1523" t="s">
        <v>686</v>
      </c>
      <c r="F1523" t="s">
        <v>1456</v>
      </c>
      <c r="G1523" t="s">
        <v>1768</v>
      </c>
      <c r="H1523" t="s">
        <v>3161</v>
      </c>
      <c r="I1523" t="s">
        <v>3563</v>
      </c>
      <c r="J1523" t="s">
        <v>3604</v>
      </c>
      <c r="K1523">
        <v>10040</v>
      </c>
      <c r="L1523" t="s">
        <v>3609</v>
      </c>
      <c r="M1523" t="s">
        <v>3609</v>
      </c>
      <c r="N1523" t="s">
        <v>4152</v>
      </c>
      <c r="O1523" t="s">
        <v>4210</v>
      </c>
      <c r="P1523" t="s">
        <v>4241</v>
      </c>
      <c r="Q1523" t="s">
        <v>4248</v>
      </c>
      <c r="R1523" t="s">
        <v>4258</v>
      </c>
      <c r="S1523" t="s">
        <v>3611</v>
      </c>
      <c r="U1523" t="s">
        <v>4268</v>
      </c>
      <c r="W1523" t="s">
        <v>545</v>
      </c>
      <c r="X1523">
        <v>0</v>
      </c>
      <c r="Y1523" t="s">
        <v>4351</v>
      </c>
      <c r="AA1523" t="s">
        <v>4374</v>
      </c>
      <c r="AB1523" t="s">
        <v>5581</v>
      </c>
      <c r="AD1523" t="s">
        <v>6925</v>
      </c>
      <c r="AE1523">
        <v>0</v>
      </c>
      <c r="AH1523">
        <v>0</v>
      </c>
      <c r="AI1523">
        <v>1</v>
      </c>
      <c r="AJ1523">
        <v>2</v>
      </c>
      <c r="AK1523">
        <v>258.47</v>
      </c>
      <c r="AN1523" t="s">
        <v>7138</v>
      </c>
      <c r="AO1523">
        <v>52780</v>
      </c>
      <c r="AU1523">
        <v>103.35</v>
      </c>
      <c r="AV1523" t="s">
        <v>204</v>
      </c>
      <c r="AW1523" t="s">
        <v>82</v>
      </c>
    </row>
    <row r="1524" spans="1:50">
      <c r="A1524" s="1">
        <f>HYPERLINK("https://lsnyc.legalserver.org/matter/dynamic-profile/view/1837782","17-1837782")</f>
        <v>0</v>
      </c>
      <c r="B1524" t="s">
        <v>62</v>
      </c>
      <c r="C1524" t="s">
        <v>105</v>
      </c>
      <c r="D1524" t="s">
        <v>123</v>
      </c>
      <c r="F1524" t="s">
        <v>1457</v>
      </c>
      <c r="G1524" t="s">
        <v>2321</v>
      </c>
      <c r="H1524" t="s">
        <v>3184</v>
      </c>
      <c r="I1524" t="s">
        <v>3395</v>
      </c>
      <c r="J1524" t="s">
        <v>3604</v>
      </c>
      <c r="K1524">
        <v>10034</v>
      </c>
      <c r="L1524" t="s">
        <v>3611</v>
      </c>
      <c r="M1524" t="s">
        <v>3609</v>
      </c>
      <c r="O1524" t="s">
        <v>4211</v>
      </c>
      <c r="P1524" t="s">
        <v>4244</v>
      </c>
      <c r="R1524" t="s">
        <v>4258</v>
      </c>
      <c r="S1524" t="s">
        <v>3611</v>
      </c>
      <c r="U1524" t="s">
        <v>4268</v>
      </c>
      <c r="W1524" t="s">
        <v>123</v>
      </c>
      <c r="X1524">
        <v>1073</v>
      </c>
      <c r="Y1524" t="s">
        <v>4351</v>
      </c>
      <c r="Z1524" t="s">
        <v>4357</v>
      </c>
      <c r="AB1524" t="s">
        <v>5582</v>
      </c>
      <c r="AD1524" t="s">
        <v>6926</v>
      </c>
      <c r="AE1524">
        <v>27</v>
      </c>
      <c r="AF1524" t="s">
        <v>7112</v>
      </c>
      <c r="AG1524" t="s">
        <v>3745</v>
      </c>
      <c r="AH1524">
        <v>6</v>
      </c>
      <c r="AI1524">
        <v>1</v>
      </c>
      <c r="AJ1524">
        <v>1</v>
      </c>
      <c r="AK1524">
        <v>258.62</v>
      </c>
      <c r="AN1524" t="s">
        <v>7138</v>
      </c>
      <c r="AO1524">
        <v>42000</v>
      </c>
      <c r="AU1524">
        <v>42.85</v>
      </c>
      <c r="AV1524" t="s">
        <v>7304</v>
      </c>
      <c r="AW1524" t="s">
        <v>53</v>
      </c>
    </row>
    <row r="1525" spans="1:50">
      <c r="A1525" s="1">
        <f>HYPERLINK("https://lsnyc.legalserver.org/matter/dynamic-profile/view/1833181","17-1833181")</f>
        <v>0</v>
      </c>
      <c r="B1525" t="s">
        <v>63</v>
      </c>
      <c r="C1525" t="s">
        <v>105</v>
      </c>
      <c r="D1525" t="s">
        <v>416</v>
      </c>
      <c r="F1525" t="s">
        <v>1458</v>
      </c>
      <c r="G1525" t="s">
        <v>2322</v>
      </c>
      <c r="H1525" t="s">
        <v>2484</v>
      </c>
      <c r="I1525" t="s">
        <v>3564</v>
      </c>
      <c r="J1525" t="s">
        <v>3604</v>
      </c>
      <c r="K1525">
        <v>10034</v>
      </c>
      <c r="L1525" t="s">
        <v>3610</v>
      </c>
      <c r="M1525" t="s">
        <v>3609</v>
      </c>
      <c r="O1525" t="s">
        <v>4219</v>
      </c>
      <c r="P1525" t="s">
        <v>4241</v>
      </c>
      <c r="R1525" t="s">
        <v>4258</v>
      </c>
      <c r="S1525" t="s">
        <v>3611</v>
      </c>
      <c r="U1525" t="s">
        <v>4268</v>
      </c>
      <c r="W1525" t="s">
        <v>524</v>
      </c>
      <c r="X1525">
        <v>769.0700000000001</v>
      </c>
      <c r="Y1525" t="s">
        <v>4351</v>
      </c>
      <c r="Z1525" t="s">
        <v>4371</v>
      </c>
      <c r="AB1525" t="s">
        <v>5583</v>
      </c>
      <c r="AD1525" t="s">
        <v>6927</v>
      </c>
      <c r="AE1525">
        <v>60</v>
      </c>
      <c r="AF1525" t="s">
        <v>7101</v>
      </c>
      <c r="AG1525" t="s">
        <v>3745</v>
      </c>
      <c r="AH1525">
        <v>7</v>
      </c>
      <c r="AI1525">
        <v>1</v>
      </c>
      <c r="AJ1525">
        <v>0</v>
      </c>
      <c r="AK1525">
        <v>258.71</v>
      </c>
      <c r="AL1525" t="s">
        <v>7130</v>
      </c>
      <c r="AN1525" t="s">
        <v>7150</v>
      </c>
      <c r="AO1525">
        <v>31200</v>
      </c>
      <c r="AU1525">
        <v>172.57</v>
      </c>
      <c r="AV1525" t="s">
        <v>143</v>
      </c>
      <c r="AW1525" t="s">
        <v>7357</v>
      </c>
    </row>
    <row r="1526" spans="1:50">
      <c r="A1526" s="1">
        <f>HYPERLINK("https://lsnyc.legalserver.org/matter/dynamic-profile/view/1842396","17-1842396")</f>
        <v>0</v>
      </c>
      <c r="B1526" t="s">
        <v>72</v>
      </c>
      <c r="C1526" t="s">
        <v>105</v>
      </c>
      <c r="D1526" t="s">
        <v>427</v>
      </c>
      <c r="F1526" t="s">
        <v>1036</v>
      </c>
      <c r="G1526" t="s">
        <v>1594</v>
      </c>
      <c r="H1526" t="s">
        <v>2571</v>
      </c>
      <c r="I1526" t="s">
        <v>3433</v>
      </c>
      <c r="J1526" t="s">
        <v>3604</v>
      </c>
      <c r="K1526">
        <v>10029</v>
      </c>
      <c r="L1526" t="s">
        <v>3610</v>
      </c>
      <c r="M1526" t="s">
        <v>3609</v>
      </c>
      <c r="O1526" t="s">
        <v>4211</v>
      </c>
      <c r="P1526" t="s">
        <v>4242</v>
      </c>
      <c r="R1526" t="s">
        <v>4258</v>
      </c>
      <c r="S1526" t="s">
        <v>3610</v>
      </c>
      <c r="U1526" t="s">
        <v>4268</v>
      </c>
      <c r="V1526" t="s">
        <v>4274</v>
      </c>
      <c r="W1526" t="s">
        <v>427</v>
      </c>
      <c r="X1526">
        <v>715.6900000000001</v>
      </c>
      <c r="Y1526" t="s">
        <v>4351</v>
      </c>
      <c r="Z1526" t="s">
        <v>4352</v>
      </c>
      <c r="AB1526" t="s">
        <v>5584</v>
      </c>
      <c r="AD1526" t="s">
        <v>6928</v>
      </c>
      <c r="AE1526">
        <v>13</v>
      </c>
      <c r="AF1526" t="s">
        <v>7101</v>
      </c>
      <c r="AG1526" t="s">
        <v>3745</v>
      </c>
      <c r="AH1526">
        <v>37</v>
      </c>
      <c r="AI1526">
        <v>1</v>
      </c>
      <c r="AJ1526">
        <v>0</v>
      </c>
      <c r="AK1526">
        <v>258.71</v>
      </c>
      <c r="AL1526" t="s">
        <v>7130</v>
      </c>
      <c r="AN1526" t="s">
        <v>7138</v>
      </c>
      <c r="AO1526">
        <v>31200</v>
      </c>
      <c r="AU1526">
        <v>5.65</v>
      </c>
      <c r="AV1526" t="s">
        <v>168</v>
      </c>
      <c r="AW1526" t="s">
        <v>7341</v>
      </c>
      <c r="AX1526" t="s">
        <v>7377</v>
      </c>
    </row>
    <row r="1527" spans="1:50">
      <c r="A1527" s="1">
        <f>HYPERLINK("https://lsnyc.legalserver.org/matter/dynamic-profile/view/0831265","17-0831265")</f>
        <v>0</v>
      </c>
      <c r="B1527" t="s">
        <v>81</v>
      </c>
      <c r="C1527" t="s">
        <v>105</v>
      </c>
      <c r="D1527" t="s">
        <v>568</v>
      </c>
      <c r="F1527" t="s">
        <v>1155</v>
      </c>
      <c r="G1527" t="s">
        <v>2182</v>
      </c>
      <c r="H1527" t="s">
        <v>3185</v>
      </c>
      <c r="I1527" t="s">
        <v>3311</v>
      </c>
      <c r="J1527" t="s">
        <v>3604</v>
      </c>
      <c r="K1527">
        <v>10027</v>
      </c>
      <c r="L1527" t="s">
        <v>3610</v>
      </c>
      <c r="M1527" t="s">
        <v>3609</v>
      </c>
      <c r="O1527" t="s">
        <v>4210</v>
      </c>
      <c r="P1527" t="s">
        <v>4241</v>
      </c>
      <c r="R1527" t="s">
        <v>4258</v>
      </c>
      <c r="T1527" t="s">
        <v>4259</v>
      </c>
      <c r="U1527" t="s">
        <v>4268</v>
      </c>
      <c r="W1527" t="s">
        <v>278</v>
      </c>
      <c r="X1527">
        <v>0</v>
      </c>
      <c r="Y1527" t="s">
        <v>4351</v>
      </c>
      <c r="AB1527" t="s">
        <v>5585</v>
      </c>
      <c r="AD1527" t="s">
        <v>6929</v>
      </c>
      <c r="AE1527">
        <v>0</v>
      </c>
      <c r="AH1527">
        <v>0</v>
      </c>
      <c r="AI1527">
        <v>1</v>
      </c>
      <c r="AJ1527">
        <v>0</v>
      </c>
      <c r="AK1527">
        <v>258.71</v>
      </c>
      <c r="AL1527" t="s">
        <v>7130</v>
      </c>
      <c r="AN1527" t="s">
        <v>7138</v>
      </c>
      <c r="AO1527">
        <v>31200</v>
      </c>
      <c r="AU1527">
        <v>17</v>
      </c>
      <c r="AV1527" t="s">
        <v>284</v>
      </c>
      <c r="AW1527" t="s">
        <v>7345</v>
      </c>
    </row>
    <row r="1528" spans="1:50">
      <c r="A1528" s="1">
        <f>HYPERLINK("https://lsnyc.legalserver.org/matter/dynamic-profile/view/1855025","18-1855025")</f>
        <v>0</v>
      </c>
      <c r="B1528" t="s">
        <v>56</v>
      </c>
      <c r="C1528" t="s">
        <v>104</v>
      </c>
      <c r="D1528" t="s">
        <v>221</v>
      </c>
      <c r="E1528" t="s">
        <v>659</v>
      </c>
      <c r="F1528" t="s">
        <v>1459</v>
      </c>
      <c r="G1528" t="s">
        <v>2131</v>
      </c>
      <c r="H1528" t="s">
        <v>3186</v>
      </c>
      <c r="I1528" t="s">
        <v>3316</v>
      </c>
      <c r="J1528" t="s">
        <v>3604</v>
      </c>
      <c r="K1528">
        <v>10034</v>
      </c>
      <c r="L1528" t="s">
        <v>3610</v>
      </c>
      <c r="M1528" t="s">
        <v>3609</v>
      </c>
      <c r="N1528" t="s">
        <v>4153</v>
      </c>
      <c r="O1528" t="s">
        <v>4210</v>
      </c>
      <c r="P1528" t="s">
        <v>4241</v>
      </c>
      <c r="Q1528" t="s">
        <v>4248</v>
      </c>
      <c r="R1528" t="s">
        <v>4258</v>
      </c>
      <c r="S1528" t="s">
        <v>3611</v>
      </c>
      <c r="U1528" t="s">
        <v>4268</v>
      </c>
      <c r="W1528" t="s">
        <v>221</v>
      </c>
      <c r="X1528">
        <v>2300</v>
      </c>
      <c r="Y1528" t="s">
        <v>4351</v>
      </c>
      <c r="Z1528" t="s">
        <v>4357</v>
      </c>
      <c r="AA1528" t="s">
        <v>4374</v>
      </c>
      <c r="AB1528" t="s">
        <v>5586</v>
      </c>
      <c r="AD1528" t="s">
        <v>6930</v>
      </c>
      <c r="AE1528">
        <v>20</v>
      </c>
      <c r="AF1528" t="s">
        <v>7101</v>
      </c>
      <c r="AG1528" t="s">
        <v>3745</v>
      </c>
      <c r="AH1528">
        <v>10</v>
      </c>
      <c r="AI1528">
        <v>3</v>
      </c>
      <c r="AJ1528">
        <v>0</v>
      </c>
      <c r="AK1528">
        <v>259.55</v>
      </c>
      <c r="AL1528" t="s">
        <v>508</v>
      </c>
      <c r="AN1528" t="s">
        <v>7138</v>
      </c>
      <c r="AO1528">
        <v>53000</v>
      </c>
      <c r="AU1528">
        <v>28.85</v>
      </c>
      <c r="AV1528" t="s">
        <v>659</v>
      </c>
      <c r="AW1528" t="s">
        <v>7342</v>
      </c>
      <c r="AX1528" t="s">
        <v>7377</v>
      </c>
    </row>
    <row r="1529" spans="1:50">
      <c r="A1529" s="1">
        <f>HYPERLINK("https://lsnyc.legalserver.org/matter/dynamic-profile/view/1873585","18-1873585")</f>
        <v>0</v>
      </c>
      <c r="B1529" t="s">
        <v>62</v>
      </c>
      <c r="C1529" t="s">
        <v>105</v>
      </c>
      <c r="D1529" t="s">
        <v>627</v>
      </c>
      <c r="F1529" t="s">
        <v>1208</v>
      </c>
      <c r="G1529" t="s">
        <v>2201</v>
      </c>
      <c r="H1529" t="s">
        <v>2488</v>
      </c>
      <c r="I1529" t="s">
        <v>3565</v>
      </c>
      <c r="J1529" t="s">
        <v>3604</v>
      </c>
      <c r="K1529">
        <v>10033</v>
      </c>
      <c r="L1529" t="s">
        <v>3610</v>
      </c>
      <c r="M1529" t="s">
        <v>3610</v>
      </c>
      <c r="O1529" t="s">
        <v>4213</v>
      </c>
      <c r="P1529" t="s">
        <v>4241</v>
      </c>
      <c r="R1529" t="s">
        <v>4258</v>
      </c>
      <c r="S1529" t="s">
        <v>3610</v>
      </c>
      <c r="U1529" t="s">
        <v>4268</v>
      </c>
      <c r="W1529" t="s">
        <v>627</v>
      </c>
      <c r="X1529">
        <v>1429.45</v>
      </c>
      <c r="Y1529" t="s">
        <v>4351</v>
      </c>
      <c r="Z1529" t="s">
        <v>4352</v>
      </c>
      <c r="AB1529" t="s">
        <v>5587</v>
      </c>
      <c r="AD1529" t="s">
        <v>6931</v>
      </c>
      <c r="AE1529">
        <v>232</v>
      </c>
      <c r="AF1529" t="s">
        <v>7101</v>
      </c>
      <c r="AG1529" t="s">
        <v>7116</v>
      </c>
      <c r="AH1529">
        <v>24</v>
      </c>
      <c r="AI1529">
        <v>1</v>
      </c>
      <c r="AJ1529">
        <v>1</v>
      </c>
      <c r="AK1529">
        <v>260.47</v>
      </c>
      <c r="AN1529" t="s">
        <v>7139</v>
      </c>
      <c r="AO1529">
        <v>42873</v>
      </c>
      <c r="AU1529">
        <v>0.7</v>
      </c>
      <c r="AV1529" t="s">
        <v>426</v>
      </c>
      <c r="AW1529" t="s">
        <v>7342</v>
      </c>
    </row>
    <row r="1530" spans="1:50">
      <c r="A1530" s="1">
        <f>HYPERLINK("https://lsnyc.legalserver.org/matter/dynamic-profile/view/1839980","17-1839980")</f>
        <v>0</v>
      </c>
      <c r="B1530" t="s">
        <v>53</v>
      </c>
      <c r="C1530" t="s">
        <v>104</v>
      </c>
      <c r="D1530" t="s">
        <v>268</v>
      </c>
      <c r="E1530" t="s">
        <v>260</v>
      </c>
      <c r="F1530" t="s">
        <v>1275</v>
      </c>
      <c r="G1530" t="s">
        <v>1771</v>
      </c>
      <c r="H1530" t="s">
        <v>3178</v>
      </c>
      <c r="I1530" t="s">
        <v>3450</v>
      </c>
      <c r="J1530" t="s">
        <v>3604</v>
      </c>
      <c r="K1530">
        <v>10034</v>
      </c>
      <c r="L1530" t="s">
        <v>3610</v>
      </c>
      <c r="M1530" t="s">
        <v>3609</v>
      </c>
      <c r="O1530" t="s">
        <v>4211</v>
      </c>
      <c r="P1530" t="s">
        <v>4244</v>
      </c>
      <c r="Q1530" t="s">
        <v>4254</v>
      </c>
      <c r="R1530" t="s">
        <v>4258</v>
      </c>
      <c r="S1530" t="s">
        <v>3611</v>
      </c>
      <c r="U1530" t="s">
        <v>4268</v>
      </c>
      <c r="W1530" t="s">
        <v>354</v>
      </c>
      <c r="X1530">
        <v>197.36</v>
      </c>
      <c r="Y1530" t="s">
        <v>4351</v>
      </c>
      <c r="Z1530" t="s">
        <v>4354</v>
      </c>
      <c r="AA1530" t="s">
        <v>4377</v>
      </c>
      <c r="AB1530" t="s">
        <v>5571</v>
      </c>
      <c r="AE1530">
        <v>48</v>
      </c>
      <c r="AF1530" t="s">
        <v>7104</v>
      </c>
      <c r="AG1530" t="s">
        <v>3745</v>
      </c>
      <c r="AH1530">
        <v>49</v>
      </c>
      <c r="AI1530">
        <v>2</v>
      </c>
      <c r="AJ1530">
        <v>1</v>
      </c>
      <c r="AK1530">
        <v>260.53</v>
      </c>
      <c r="AL1530" t="s">
        <v>7130</v>
      </c>
      <c r="AN1530" t="s">
        <v>7139</v>
      </c>
      <c r="AO1530">
        <v>53200</v>
      </c>
      <c r="AP1530" t="s">
        <v>7191</v>
      </c>
      <c r="AU1530">
        <v>4.43</v>
      </c>
      <c r="AV1530" t="s">
        <v>224</v>
      </c>
      <c r="AW1530" t="s">
        <v>7342</v>
      </c>
    </row>
    <row r="1531" spans="1:50">
      <c r="A1531" s="1">
        <f>HYPERLINK("https://lsnyc.legalserver.org/matter/dynamic-profile/view/1872526","18-1872526")</f>
        <v>0</v>
      </c>
      <c r="B1531" t="s">
        <v>64</v>
      </c>
      <c r="C1531" t="s">
        <v>104</v>
      </c>
      <c r="D1531" t="s">
        <v>137</v>
      </c>
      <c r="E1531" t="s">
        <v>137</v>
      </c>
      <c r="F1531" t="s">
        <v>872</v>
      </c>
      <c r="G1531" t="s">
        <v>1834</v>
      </c>
      <c r="H1531" t="s">
        <v>3187</v>
      </c>
      <c r="I1531" t="s">
        <v>3566</v>
      </c>
      <c r="J1531" t="s">
        <v>3604</v>
      </c>
      <c r="K1531">
        <v>10032</v>
      </c>
      <c r="L1531" t="s">
        <v>3610</v>
      </c>
      <c r="M1531" t="s">
        <v>3609</v>
      </c>
      <c r="O1531" t="s">
        <v>4211</v>
      </c>
      <c r="P1531" t="s">
        <v>4242</v>
      </c>
      <c r="Q1531" t="s">
        <v>4250</v>
      </c>
      <c r="R1531" t="s">
        <v>4258</v>
      </c>
      <c r="S1531" t="s">
        <v>3611</v>
      </c>
      <c r="U1531" t="s">
        <v>4268</v>
      </c>
      <c r="W1531" t="s">
        <v>137</v>
      </c>
      <c r="X1531">
        <v>1021.57</v>
      </c>
      <c r="Y1531" t="s">
        <v>4351</v>
      </c>
      <c r="Z1531" t="s">
        <v>4354</v>
      </c>
      <c r="AA1531" t="s">
        <v>4373</v>
      </c>
      <c r="AB1531" t="s">
        <v>5588</v>
      </c>
      <c r="AD1531" t="s">
        <v>6932</v>
      </c>
      <c r="AE1531">
        <v>0</v>
      </c>
      <c r="AH1531">
        <v>37</v>
      </c>
      <c r="AI1531">
        <v>2</v>
      </c>
      <c r="AJ1531">
        <v>0</v>
      </c>
      <c r="AK1531">
        <v>261.28</v>
      </c>
      <c r="AL1531" t="s">
        <v>561</v>
      </c>
      <c r="AM1531" t="s">
        <v>7134</v>
      </c>
      <c r="AN1531" t="s">
        <v>7139</v>
      </c>
      <c r="AO1531">
        <v>43007.22</v>
      </c>
      <c r="AU1531">
        <v>1.5</v>
      </c>
      <c r="AV1531" t="s">
        <v>137</v>
      </c>
      <c r="AW1531" t="s">
        <v>64</v>
      </c>
    </row>
    <row r="1532" spans="1:50">
      <c r="A1532" s="1">
        <f>HYPERLINK("https://lsnyc.legalserver.org/matter/dynamic-profile/view/1901446","19-1901446")</f>
        <v>0</v>
      </c>
      <c r="B1532" t="s">
        <v>72</v>
      </c>
      <c r="C1532" t="s">
        <v>105</v>
      </c>
      <c r="D1532" t="s">
        <v>371</v>
      </c>
      <c r="F1532" t="s">
        <v>1460</v>
      </c>
      <c r="G1532" t="s">
        <v>2323</v>
      </c>
      <c r="H1532" t="s">
        <v>3188</v>
      </c>
      <c r="I1532" t="s">
        <v>3279</v>
      </c>
      <c r="J1532" t="s">
        <v>3604</v>
      </c>
      <c r="K1532">
        <v>10040</v>
      </c>
      <c r="L1532" t="s">
        <v>3610</v>
      </c>
      <c r="M1532" t="s">
        <v>3609</v>
      </c>
      <c r="O1532" t="s">
        <v>4219</v>
      </c>
      <c r="P1532" t="s">
        <v>4245</v>
      </c>
      <c r="R1532" t="s">
        <v>4258</v>
      </c>
      <c r="S1532" t="s">
        <v>3611</v>
      </c>
      <c r="U1532" t="s">
        <v>4268</v>
      </c>
      <c r="W1532" t="s">
        <v>371</v>
      </c>
      <c r="X1532">
        <v>1775</v>
      </c>
      <c r="Y1532" t="s">
        <v>4351</v>
      </c>
      <c r="Z1532" t="s">
        <v>4354</v>
      </c>
      <c r="AB1532" t="s">
        <v>5589</v>
      </c>
      <c r="AE1532">
        <v>41</v>
      </c>
      <c r="AF1532" t="s">
        <v>7101</v>
      </c>
      <c r="AG1532" t="s">
        <v>3745</v>
      </c>
      <c r="AH1532">
        <v>4</v>
      </c>
      <c r="AI1532">
        <v>1</v>
      </c>
      <c r="AJ1532">
        <v>2</v>
      </c>
      <c r="AK1532">
        <v>262.54</v>
      </c>
      <c r="AN1532" t="s">
        <v>7138</v>
      </c>
      <c r="AO1532">
        <v>56000</v>
      </c>
      <c r="AU1532">
        <v>0.25</v>
      </c>
      <c r="AV1532" t="s">
        <v>612</v>
      </c>
      <c r="AW1532" t="s">
        <v>7342</v>
      </c>
      <c r="AX1532" t="s">
        <v>7377</v>
      </c>
    </row>
    <row r="1533" spans="1:50">
      <c r="A1533" s="1">
        <f>HYPERLINK("https://lsnyc.legalserver.org/matter/dynamic-profile/view/1874347","18-1874347")</f>
        <v>0</v>
      </c>
      <c r="B1533" t="s">
        <v>63</v>
      </c>
      <c r="C1533" t="s">
        <v>104</v>
      </c>
      <c r="D1533" t="s">
        <v>435</v>
      </c>
      <c r="E1533" t="s">
        <v>435</v>
      </c>
      <c r="F1533" t="s">
        <v>1049</v>
      </c>
      <c r="G1533" t="s">
        <v>1661</v>
      </c>
      <c r="H1533" t="s">
        <v>3189</v>
      </c>
      <c r="I1533">
        <v>55</v>
      </c>
      <c r="J1533" t="s">
        <v>3604</v>
      </c>
      <c r="K1533">
        <v>10034</v>
      </c>
      <c r="L1533" t="s">
        <v>3610</v>
      </c>
      <c r="M1533" t="s">
        <v>3610</v>
      </c>
      <c r="O1533" t="s">
        <v>4209</v>
      </c>
      <c r="P1533" t="s">
        <v>4245</v>
      </c>
      <c r="Q1533" t="s">
        <v>4249</v>
      </c>
      <c r="R1533" t="s">
        <v>4258</v>
      </c>
      <c r="S1533" t="s">
        <v>3611</v>
      </c>
      <c r="U1533" t="s">
        <v>4268</v>
      </c>
      <c r="W1533" t="s">
        <v>435</v>
      </c>
      <c r="X1533">
        <v>0</v>
      </c>
      <c r="Y1533" t="s">
        <v>4351</v>
      </c>
      <c r="Z1533" t="s">
        <v>4354</v>
      </c>
      <c r="AA1533" t="s">
        <v>4373</v>
      </c>
      <c r="AB1533" t="s">
        <v>5590</v>
      </c>
      <c r="AD1533" t="s">
        <v>6933</v>
      </c>
      <c r="AE1533">
        <v>70</v>
      </c>
      <c r="AF1533" t="s">
        <v>7101</v>
      </c>
      <c r="AG1533" t="s">
        <v>3745</v>
      </c>
      <c r="AH1533">
        <v>8</v>
      </c>
      <c r="AI1533">
        <v>1</v>
      </c>
      <c r="AJ1533">
        <v>0</v>
      </c>
      <c r="AK1533">
        <v>263.59</v>
      </c>
      <c r="AL1533" t="s">
        <v>561</v>
      </c>
      <c r="AM1533" t="s">
        <v>7134</v>
      </c>
      <c r="AN1533" t="s">
        <v>7139</v>
      </c>
      <c r="AO1533">
        <v>32000</v>
      </c>
      <c r="AU1533">
        <v>0.2</v>
      </c>
      <c r="AV1533" t="s">
        <v>435</v>
      </c>
      <c r="AW1533" t="s">
        <v>7342</v>
      </c>
    </row>
    <row r="1534" spans="1:50">
      <c r="A1534" s="1">
        <f>HYPERLINK("https://lsnyc.legalserver.org/matter/dynamic-profile/view/1856670","18-1856670")</f>
        <v>0</v>
      </c>
      <c r="B1534" t="s">
        <v>79</v>
      </c>
      <c r="C1534" t="s">
        <v>104</v>
      </c>
      <c r="D1534" t="s">
        <v>509</v>
      </c>
      <c r="E1534" t="s">
        <v>669</v>
      </c>
      <c r="F1534" t="s">
        <v>1461</v>
      </c>
      <c r="G1534" t="s">
        <v>2324</v>
      </c>
      <c r="H1534" t="s">
        <v>3190</v>
      </c>
      <c r="I1534" t="s">
        <v>3333</v>
      </c>
      <c r="J1534" t="s">
        <v>3604</v>
      </c>
      <c r="K1534">
        <v>10030</v>
      </c>
      <c r="L1534" t="s">
        <v>3610</v>
      </c>
      <c r="M1534" t="s">
        <v>3609</v>
      </c>
      <c r="O1534" t="s">
        <v>4240</v>
      </c>
      <c r="P1534" t="s">
        <v>4242</v>
      </c>
      <c r="Q1534" t="s">
        <v>4250</v>
      </c>
      <c r="R1534" t="s">
        <v>4258</v>
      </c>
      <c r="S1534" t="s">
        <v>3611</v>
      </c>
      <c r="T1534" t="s">
        <v>4259</v>
      </c>
      <c r="U1534" t="s">
        <v>4268</v>
      </c>
      <c r="W1534" t="s">
        <v>428</v>
      </c>
      <c r="X1534">
        <v>966.5700000000001</v>
      </c>
      <c r="Y1534" t="s">
        <v>4351</v>
      </c>
      <c r="Z1534" t="s">
        <v>4354</v>
      </c>
      <c r="AA1534" t="s">
        <v>4373</v>
      </c>
      <c r="AB1534" t="s">
        <v>5591</v>
      </c>
      <c r="AD1534" t="s">
        <v>6934</v>
      </c>
      <c r="AE1534">
        <v>20</v>
      </c>
      <c r="AF1534" t="s">
        <v>7101</v>
      </c>
      <c r="AG1534" t="s">
        <v>3745</v>
      </c>
      <c r="AH1534">
        <v>22</v>
      </c>
      <c r="AI1534">
        <v>2</v>
      </c>
      <c r="AJ1534">
        <v>2</v>
      </c>
      <c r="AK1534">
        <v>264.65</v>
      </c>
      <c r="AL1534" t="s">
        <v>7130</v>
      </c>
      <c r="AN1534" t="s">
        <v>7138</v>
      </c>
      <c r="AO1534">
        <v>65104</v>
      </c>
      <c r="AU1534">
        <v>1.2</v>
      </c>
      <c r="AV1534" t="s">
        <v>669</v>
      </c>
      <c r="AW1534" t="s">
        <v>7344</v>
      </c>
    </row>
    <row r="1535" spans="1:50">
      <c r="A1535" s="1">
        <f>HYPERLINK("https://lsnyc.legalserver.org/matter/dynamic-profile/view/1884623","18-1884623")</f>
        <v>0</v>
      </c>
      <c r="B1535" t="s">
        <v>63</v>
      </c>
      <c r="C1535" t="s">
        <v>104</v>
      </c>
      <c r="D1535" t="s">
        <v>636</v>
      </c>
      <c r="E1535" t="s">
        <v>320</v>
      </c>
      <c r="F1535" t="s">
        <v>1272</v>
      </c>
      <c r="G1535" t="s">
        <v>2325</v>
      </c>
      <c r="H1535" t="s">
        <v>3191</v>
      </c>
      <c r="I1535" t="s">
        <v>3294</v>
      </c>
      <c r="J1535" t="s">
        <v>3604</v>
      </c>
      <c r="K1535">
        <v>10034</v>
      </c>
      <c r="L1535" t="s">
        <v>3610</v>
      </c>
      <c r="M1535" t="s">
        <v>3610</v>
      </c>
      <c r="P1535" t="s">
        <v>4245</v>
      </c>
      <c r="Q1535" t="s">
        <v>4249</v>
      </c>
      <c r="R1535" t="s">
        <v>4258</v>
      </c>
      <c r="S1535" t="s">
        <v>3611</v>
      </c>
      <c r="U1535" t="s">
        <v>4268</v>
      </c>
      <c r="W1535" t="s">
        <v>665</v>
      </c>
      <c r="X1535">
        <v>1050</v>
      </c>
      <c r="Y1535" t="s">
        <v>4351</v>
      </c>
      <c r="Z1535" t="s">
        <v>4354</v>
      </c>
      <c r="AA1535" t="s">
        <v>4377</v>
      </c>
      <c r="AB1535" t="s">
        <v>5592</v>
      </c>
      <c r="AE1535">
        <v>0</v>
      </c>
      <c r="AF1535" t="s">
        <v>7107</v>
      </c>
      <c r="AG1535" t="s">
        <v>3745</v>
      </c>
      <c r="AH1535">
        <v>20</v>
      </c>
      <c r="AI1535">
        <v>1</v>
      </c>
      <c r="AJ1535">
        <v>0</v>
      </c>
      <c r="AK1535">
        <v>266</v>
      </c>
      <c r="AN1535" t="s">
        <v>7138</v>
      </c>
      <c r="AO1535">
        <v>32292</v>
      </c>
      <c r="AU1535">
        <v>0.1</v>
      </c>
      <c r="AV1535" t="s">
        <v>320</v>
      </c>
      <c r="AW1535" t="s">
        <v>7342</v>
      </c>
    </row>
    <row r="1536" spans="1:50">
      <c r="A1536" s="1">
        <f>HYPERLINK("https://lsnyc.legalserver.org/matter/dynamic-profile/view/0826976","17-0826976")</f>
        <v>0</v>
      </c>
      <c r="B1536" t="s">
        <v>64</v>
      </c>
      <c r="C1536" t="s">
        <v>105</v>
      </c>
      <c r="D1536" t="s">
        <v>382</v>
      </c>
      <c r="F1536" t="s">
        <v>747</v>
      </c>
      <c r="G1536" t="s">
        <v>2326</v>
      </c>
      <c r="H1536" t="s">
        <v>2576</v>
      </c>
      <c r="I1536" t="s">
        <v>3567</v>
      </c>
      <c r="J1536" t="s">
        <v>3604</v>
      </c>
      <c r="K1536">
        <v>10040</v>
      </c>
      <c r="L1536" t="s">
        <v>3610</v>
      </c>
      <c r="M1536" t="s">
        <v>3609</v>
      </c>
      <c r="N1536" t="s">
        <v>3780</v>
      </c>
      <c r="O1536" t="s">
        <v>4213</v>
      </c>
      <c r="P1536" t="s">
        <v>4241</v>
      </c>
      <c r="R1536" t="s">
        <v>4258</v>
      </c>
      <c r="S1536" t="s">
        <v>3610</v>
      </c>
      <c r="U1536" t="s">
        <v>4268</v>
      </c>
      <c r="W1536" t="s">
        <v>4301</v>
      </c>
      <c r="X1536">
        <v>965</v>
      </c>
      <c r="Y1536" t="s">
        <v>4351</v>
      </c>
      <c r="Z1536" t="s">
        <v>4352</v>
      </c>
      <c r="AB1536" t="s">
        <v>5593</v>
      </c>
      <c r="AD1536" t="s">
        <v>6935</v>
      </c>
      <c r="AE1536">
        <v>83</v>
      </c>
      <c r="AF1536" t="s">
        <v>7101</v>
      </c>
      <c r="AG1536" t="s">
        <v>3745</v>
      </c>
      <c r="AH1536">
        <v>16</v>
      </c>
      <c r="AI1536">
        <v>2</v>
      </c>
      <c r="AJ1536">
        <v>0</v>
      </c>
      <c r="AK1536">
        <v>266.01</v>
      </c>
      <c r="AL1536" t="s">
        <v>7130</v>
      </c>
      <c r="AN1536" t="s">
        <v>7138</v>
      </c>
      <c r="AO1536">
        <v>43200</v>
      </c>
      <c r="AU1536">
        <v>0</v>
      </c>
      <c r="AV1536" t="s">
        <v>191</v>
      </c>
      <c r="AW1536" t="s">
        <v>7341</v>
      </c>
    </row>
    <row r="1537" spans="1:50">
      <c r="A1537" s="1">
        <f>HYPERLINK("https://lsnyc.legalserver.org/matter/dynamic-profile/view/1846295","17-1846295")</f>
        <v>0</v>
      </c>
      <c r="B1537" t="s">
        <v>55</v>
      </c>
      <c r="C1537" t="s">
        <v>104</v>
      </c>
      <c r="D1537" t="s">
        <v>183</v>
      </c>
      <c r="E1537" t="s">
        <v>656</v>
      </c>
      <c r="F1537" t="s">
        <v>1453</v>
      </c>
      <c r="G1537" t="s">
        <v>2317</v>
      </c>
      <c r="H1537" t="s">
        <v>2531</v>
      </c>
      <c r="I1537" t="s">
        <v>3304</v>
      </c>
      <c r="J1537" t="s">
        <v>3604</v>
      </c>
      <c r="K1537">
        <v>10035</v>
      </c>
      <c r="L1537" t="s">
        <v>3610</v>
      </c>
      <c r="M1537" t="s">
        <v>3610</v>
      </c>
      <c r="N1537" t="s">
        <v>3654</v>
      </c>
      <c r="O1537" t="s">
        <v>4213</v>
      </c>
      <c r="P1537" t="s">
        <v>4241</v>
      </c>
      <c r="Q1537" t="s">
        <v>4250</v>
      </c>
      <c r="R1537" t="s">
        <v>4258</v>
      </c>
      <c r="S1537" t="s">
        <v>3610</v>
      </c>
      <c r="U1537" t="s">
        <v>4268</v>
      </c>
      <c r="V1537" t="s">
        <v>4274</v>
      </c>
      <c r="W1537" t="s">
        <v>183</v>
      </c>
      <c r="X1537">
        <v>1415.9</v>
      </c>
      <c r="Y1537" t="s">
        <v>4351</v>
      </c>
      <c r="Z1537" t="s">
        <v>4352</v>
      </c>
      <c r="AA1537" t="s">
        <v>4373</v>
      </c>
      <c r="AB1537" t="s">
        <v>5370</v>
      </c>
      <c r="AE1537">
        <v>35</v>
      </c>
      <c r="AF1537" t="s">
        <v>7101</v>
      </c>
      <c r="AG1537" t="s">
        <v>3745</v>
      </c>
      <c r="AH1537">
        <v>6</v>
      </c>
      <c r="AI1537">
        <v>3</v>
      </c>
      <c r="AJ1537">
        <v>0</v>
      </c>
      <c r="AK1537">
        <v>266.09</v>
      </c>
      <c r="AN1537" t="s">
        <v>7139</v>
      </c>
      <c r="AO1537">
        <v>54336</v>
      </c>
      <c r="AP1537" t="s">
        <v>7192</v>
      </c>
      <c r="AU1537">
        <v>1.2</v>
      </c>
      <c r="AV1537" t="s">
        <v>639</v>
      </c>
      <c r="AW1537" t="s">
        <v>7341</v>
      </c>
    </row>
    <row r="1538" spans="1:50">
      <c r="A1538" s="1">
        <f>HYPERLINK("https://lsnyc.legalserver.org/matter/dynamic-profile/view/1889324","19-1889324")</f>
        <v>0</v>
      </c>
      <c r="B1538" t="s">
        <v>52</v>
      </c>
      <c r="C1538" t="s">
        <v>104</v>
      </c>
      <c r="D1538" t="s">
        <v>155</v>
      </c>
      <c r="E1538" t="s">
        <v>149</v>
      </c>
      <c r="F1538" t="s">
        <v>1296</v>
      </c>
      <c r="G1538" t="s">
        <v>2327</v>
      </c>
      <c r="H1538" t="s">
        <v>3192</v>
      </c>
      <c r="I1538" t="s">
        <v>3568</v>
      </c>
      <c r="J1538" t="s">
        <v>3608</v>
      </c>
      <c r="K1538">
        <v>10463</v>
      </c>
      <c r="L1538" t="s">
        <v>3610</v>
      </c>
      <c r="M1538" t="s">
        <v>3610</v>
      </c>
      <c r="N1538" t="s">
        <v>4154</v>
      </c>
      <c r="O1538" t="s">
        <v>4209</v>
      </c>
      <c r="P1538" t="s">
        <v>4241</v>
      </c>
      <c r="Q1538" t="s">
        <v>4248</v>
      </c>
      <c r="R1538" t="s">
        <v>4258</v>
      </c>
      <c r="S1538" t="s">
        <v>3611</v>
      </c>
      <c r="U1538" t="s">
        <v>4268</v>
      </c>
      <c r="W1538" t="s">
        <v>155</v>
      </c>
      <c r="X1538">
        <v>1250</v>
      </c>
      <c r="Y1538" t="s">
        <v>4351</v>
      </c>
      <c r="Z1538" t="s">
        <v>4357</v>
      </c>
      <c r="AA1538" t="s">
        <v>4380</v>
      </c>
      <c r="AB1538" t="s">
        <v>5594</v>
      </c>
      <c r="AD1538" t="s">
        <v>6936</v>
      </c>
      <c r="AE1538">
        <v>84</v>
      </c>
      <c r="AF1538" t="s">
        <v>7101</v>
      </c>
      <c r="AG1538" t="s">
        <v>3745</v>
      </c>
      <c r="AH1538">
        <v>4</v>
      </c>
      <c r="AI1538">
        <v>2</v>
      </c>
      <c r="AJ1538">
        <v>0</v>
      </c>
      <c r="AK1538">
        <v>266.11</v>
      </c>
      <c r="AL1538" t="s">
        <v>688</v>
      </c>
      <c r="AM1538" t="s">
        <v>7134</v>
      </c>
      <c r="AN1538" t="s">
        <v>7138</v>
      </c>
      <c r="AO1538">
        <v>45000</v>
      </c>
      <c r="AU1538">
        <v>33</v>
      </c>
      <c r="AV1538" t="s">
        <v>683</v>
      </c>
      <c r="AW1538" t="s">
        <v>7342</v>
      </c>
      <c r="AX1538" t="s">
        <v>7377</v>
      </c>
    </row>
    <row r="1539" spans="1:50">
      <c r="A1539" s="1">
        <f>HYPERLINK("https://lsnyc.legalserver.org/matter/dynamic-profile/view/1872266","18-1872266")</f>
        <v>0</v>
      </c>
      <c r="B1539" t="s">
        <v>78</v>
      </c>
      <c r="C1539" t="s">
        <v>104</v>
      </c>
      <c r="D1539" t="s">
        <v>528</v>
      </c>
      <c r="E1539" t="s">
        <v>363</v>
      </c>
      <c r="F1539" t="s">
        <v>1036</v>
      </c>
      <c r="G1539" t="s">
        <v>2328</v>
      </c>
      <c r="H1539" t="s">
        <v>3193</v>
      </c>
      <c r="I1539" t="s">
        <v>3569</v>
      </c>
      <c r="J1539" t="s">
        <v>3604</v>
      </c>
      <c r="K1539">
        <v>10011</v>
      </c>
      <c r="L1539" t="s">
        <v>3610</v>
      </c>
      <c r="M1539" t="s">
        <v>3610</v>
      </c>
      <c r="N1539" t="s">
        <v>4155</v>
      </c>
      <c r="O1539" t="s">
        <v>4210</v>
      </c>
      <c r="P1539" t="s">
        <v>4242</v>
      </c>
      <c r="Q1539" t="s">
        <v>4250</v>
      </c>
      <c r="R1539" t="s">
        <v>4258</v>
      </c>
      <c r="S1539" t="s">
        <v>3611</v>
      </c>
      <c r="U1539" t="s">
        <v>4268</v>
      </c>
      <c r="W1539" t="s">
        <v>528</v>
      </c>
      <c r="X1539">
        <v>1733</v>
      </c>
      <c r="Y1539" t="s">
        <v>4351</v>
      </c>
      <c r="Z1539" t="s">
        <v>4357</v>
      </c>
      <c r="AA1539" t="s">
        <v>4373</v>
      </c>
      <c r="AB1539" t="s">
        <v>5595</v>
      </c>
      <c r="AD1539" t="s">
        <v>6937</v>
      </c>
      <c r="AE1539">
        <v>0</v>
      </c>
      <c r="AF1539" t="s">
        <v>7101</v>
      </c>
      <c r="AG1539" t="s">
        <v>3745</v>
      </c>
      <c r="AH1539">
        <v>4</v>
      </c>
      <c r="AI1539">
        <v>1</v>
      </c>
      <c r="AJ1539">
        <v>0</v>
      </c>
      <c r="AK1539">
        <v>267.71</v>
      </c>
      <c r="AL1539" t="s">
        <v>561</v>
      </c>
      <c r="AM1539" t="s">
        <v>7134</v>
      </c>
      <c r="AN1539" t="s">
        <v>7138</v>
      </c>
      <c r="AO1539">
        <v>32500</v>
      </c>
      <c r="AU1539">
        <v>4.65</v>
      </c>
      <c r="AV1539" t="s">
        <v>561</v>
      </c>
      <c r="AW1539" t="s">
        <v>7344</v>
      </c>
    </row>
    <row r="1540" spans="1:50">
      <c r="A1540" s="1">
        <f>HYPERLINK("https://lsnyc.legalserver.org/matter/dynamic-profile/view/1873426","18-1873426")</f>
        <v>0</v>
      </c>
      <c r="B1540" t="s">
        <v>64</v>
      </c>
      <c r="C1540" t="s">
        <v>104</v>
      </c>
      <c r="D1540" t="s">
        <v>444</v>
      </c>
      <c r="E1540" t="s">
        <v>236</v>
      </c>
      <c r="F1540" t="s">
        <v>790</v>
      </c>
      <c r="G1540" t="s">
        <v>2329</v>
      </c>
      <c r="H1540" t="s">
        <v>3194</v>
      </c>
      <c r="I1540" t="s">
        <v>3294</v>
      </c>
      <c r="J1540" t="s">
        <v>3604</v>
      </c>
      <c r="K1540">
        <v>10034</v>
      </c>
      <c r="L1540" t="s">
        <v>3610</v>
      </c>
      <c r="M1540" t="s">
        <v>3611</v>
      </c>
      <c r="O1540" t="s">
        <v>4210</v>
      </c>
      <c r="P1540" t="s">
        <v>4241</v>
      </c>
      <c r="Q1540" t="s">
        <v>4248</v>
      </c>
      <c r="R1540" t="s">
        <v>4258</v>
      </c>
      <c r="S1540" t="s">
        <v>3611</v>
      </c>
      <c r="U1540" t="s">
        <v>4268</v>
      </c>
      <c r="W1540" t="s">
        <v>444</v>
      </c>
      <c r="X1540">
        <v>1286</v>
      </c>
      <c r="Y1540" t="s">
        <v>4351</v>
      </c>
      <c r="Z1540" t="s">
        <v>4359</v>
      </c>
      <c r="AA1540" t="s">
        <v>4374</v>
      </c>
      <c r="AB1540" t="s">
        <v>5596</v>
      </c>
      <c r="AE1540">
        <v>0</v>
      </c>
      <c r="AF1540" t="s">
        <v>7101</v>
      </c>
      <c r="AH1540">
        <v>23</v>
      </c>
      <c r="AI1540">
        <v>3</v>
      </c>
      <c r="AJ1540">
        <v>1</v>
      </c>
      <c r="AK1540">
        <v>269.32</v>
      </c>
      <c r="AL1540" t="s">
        <v>561</v>
      </c>
      <c r="AM1540" t="s">
        <v>7134</v>
      </c>
      <c r="AN1540" t="s">
        <v>7139</v>
      </c>
      <c r="AO1540">
        <v>67600</v>
      </c>
      <c r="AU1540">
        <v>9.050000000000001</v>
      </c>
      <c r="AV1540" t="s">
        <v>236</v>
      </c>
      <c r="AW1540" t="s">
        <v>64</v>
      </c>
    </row>
    <row r="1541" spans="1:50">
      <c r="A1541" s="1">
        <f>HYPERLINK("https://lsnyc.legalserver.org/matter/dynamic-profile/view/0826261","17-0826261")</f>
        <v>0</v>
      </c>
      <c r="B1541" t="s">
        <v>63</v>
      </c>
      <c r="C1541" t="s">
        <v>105</v>
      </c>
      <c r="D1541" t="s">
        <v>394</v>
      </c>
      <c r="F1541" t="s">
        <v>983</v>
      </c>
      <c r="G1541" t="s">
        <v>2330</v>
      </c>
      <c r="H1541" t="s">
        <v>2637</v>
      </c>
      <c r="I1541" t="s">
        <v>3365</v>
      </c>
      <c r="J1541" t="s">
        <v>3604</v>
      </c>
      <c r="K1541">
        <v>10034</v>
      </c>
      <c r="L1541" t="s">
        <v>3610</v>
      </c>
      <c r="M1541" t="s">
        <v>3609</v>
      </c>
      <c r="N1541" t="s">
        <v>3721</v>
      </c>
      <c r="O1541" t="s">
        <v>4213</v>
      </c>
      <c r="P1541" t="s">
        <v>4241</v>
      </c>
      <c r="R1541" t="s">
        <v>4258</v>
      </c>
      <c r="S1541" t="s">
        <v>3610</v>
      </c>
      <c r="U1541" t="s">
        <v>4268</v>
      </c>
      <c r="W1541" t="s">
        <v>4307</v>
      </c>
      <c r="X1541">
        <v>1375</v>
      </c>
      <c r="Y1541" t="s">
        <v>4351</v>
      </c>
      <c r="Z1541" t="s">
        <v>4364</v>
      </c>
      <c r="AB1541" t="s">
        <v>5597</v>
      </c>
      <c r="AD1541" t="s">
        <v>6938</v>
      </c>
      <c r="AE1541">
        <v>44</v>
      </c>
      <c r="AF1541" t="s">
        <v>7101</v>
      </c>
      <c r="AG1541" t="s">
        <v>3745</v>
      </c>
      <c r="AH1541">
        <v>8</v>
      </c>
      <c r="AI1541">
        <v>1</v>
      </c>
      <c r="AJ1541">
        <v>1</v>
      </c>
      <c r="AK1541">
        <v>269.33</v>
      </c>
      <c r="AL1541" t="s">
        <v>7130</v>
      </c>
      <c r="AN1541" t="s">
        <v>7138</v>
      </c>
      <c r="AO1541">
        <v>43147.44</v>
      </c>
      <c r="AU1541">
        <v>0.1</v>
      </c>
      <c r="AV1541" t="s">
        <v>542</v>
      </c>
      <c r="AW1541" t="s">
        <v>63</v>
      </c>
    </row>
    <row r="1542" spans="1:50">
      <c r="A1542" s="1">
        <f>HYPERLINK("https://lsnyc.legalserver.org/matter/dynamic-profile/view/1903263","19-1903263")</f>
        <v>0</v>
      </c>
      <c r="B1542" t="s">
        <v>63</v>
      </c>
      <c r="C1542" t="s">
        <v>104</v>
      </c>
      <c r="D1542" t="s">
        <v>396</v>
      </c>
      <c r="E1542" t="s">
        <v>396</v>
      </c>
      <c r="F1542" t="s">
        <v>1016</v>
      </c>
      <c r="G1542" t="s">
        <v>2331</v>
      </c>
      <c r="H1542" t="s">
        <v>2671</v>
      </c>
      <c r="I1542">
        <v>33</v>
      </c>
      <c r="J1542" t="s">
        <v>3604</v>
      </c>
      <c r="K1542">
        <v>10034</v>
      </c>
      <c r="L1542" t="s">
        <v>3610</v>
      </c>
      <c r="M1542" t="s">
        <v>3609</v>
      </c>
      <c r="O1542" t="s">
        <v>4219</v>
      </c>
      <c r="P1542" t="s">
        <v>4245</v>
      </c>
      <c r="Q1542" t="s">
        <v>4249</v>
      </c>
      <c r="R1542" t="s">
        <v>4258</v>
      </c>
      <c r="S1542" t="s">
        <v>3611</v>
      </c>
      <c r="U1542" t="s">
        <v>4268</v>
      </c>
      <c r="W1542" t="s">
        <v>396</v>
      </c>
      <c r="X1542">
        <v>905.47</v>
      </c>
      <c r="Y1542" t="s">
        <v>4351</v>
      </c>
      <c r="Z1542" t="s">
        <v>4357</v>
      </c>
      <c r="AA1542" t="s">
        <v>4384</v>
      </c>
      <c r="AB1542" t="s">
        <v>5598</v>
      </c>
      <c r="AD1542" t="s">
        <v>6939</v>
      </c>
      <c r="AE1542">
        <v>20</v>
      </c>
      <c r="AF1542" t="s">
        <v>7101</v>
      </c>
      <c r="AG1542" t="s">
        <v>3745</v>
      </c>
      <c r="AH1542">
        <v>48</v>
      </c>
      <c r="AI1542">
        <v>3</v>
      </c>
      <c r="AJ1542">
        <v>0</v>
      </c>
      <c r="AK1542">
        <v>269.97</v>
      </c>
      <c r="AN1542" t="s">
        <v>7138</v>
      </c>
      <c r="AO1542">
        <v>57584</v>
      </c>
      <c r="AU1542">
        <v>0.1</v>
      </c>
      <c r="AV1542" t="s">
        <v>396</v>
      </c>
      <c r="AW1542" t="s">
        <v>7342</v>
      </c>
      <c r="AX1542" t="s">
        <v>7377</v>
      </c>
    </row>
    <row r="1543" spans="1:50">
      <c r="A1543" s="1">
        <f>HYPERLINK("https://lsnyc.legalserver.org/matter/dynamic-profile/view/1896439","19-1896439")</f>
        <v>0</v>
      </c>
      <c r="B1543" t="s">
        <v>90</v>
      </c>
      <c r="C1543" t="s">
        <v>105</v>
      </c>
      <c r="D1543" t="s">
        <v>340</v>
      </c>
      <c r="F1543" t="s">
        <v>1016</v>
      </c>
      <c r="G1543" t="s">
        <v>2331</v>
      </c>
      <c r="H1543" t="s">
        <v>2671</v>
      </c>
      <c r="I1543">
        <v>33</v>
      </c>
      <c r="J1543" t="s">
        <v>3604</v>
      </c>
      <c r="K1543">
        <v>10034</v>
      </c>
      <c r="L1543" t="s">
        <v>3610</v>
      </c>
      <c r="M1543" t="s">
        <v>3610</v>
      </c>
      <c r="O1543" t="s">
        <v>4219</v>
      </c>
      <c r="P1543" t="s">
        <v>4244</v>
      </c>
      <c r="R1543" t="s">
        <v>4258</v>
      </c>
      <c r="S1543" t="s">
        <v>3610</v>
      </c>
      <c r="U1543" t="s">
        <v>4268</v>
      </c>
      <c r="W1543" t="s">
        <v>253</v>
      </c>
      <c r="X1543">
        <v>905.47</v>
      </c>
      <c r="Y1543" t="s">
        <v>4351</v>
      </c>
      <c r="Z1543" t="s">
        <v>4352</v>
      </c>
      <c r="AB1543" t="s">
        <v>5598</v>
      </c>
      <c r="AD1543" t="s">
        <v>6939</v>
      </c>
      <c r="AE1543">
        <v>20</v>
      </c>
      <c r="AF1543" t="s">
        <v>7101</v>
      </c>
      <c r="AH1543">
        <v>48</v>
      </c>
      <c r="AI1543">
        <v>3</v>
      </c>
      <c r="AJ1543">
        <v>0</v>
      </c>
      <c r="AK1543">
        <v>270.04</v>
      </c>
      <c r="AL1543" t="s">
        <v>369</v>
      </c>
      <c r="AM1543" t="s">
        <v>7133</v>
      </c>
      <c r="AN1543" t="s">
        <v>7138</v>
      </c>
      <c r="AO1543">
        <v>57600</v>
      </c>
      <c r="AU1543">
        <v>0</v>
      </c>
      <c r="AW1543" t="s">
        <v>7340</v>
      </c>
    </row>
    <row r="1544" spans="1:50">
      <c r="A1544" s="1">
        <f>HYPERLINK("https://lsnyc.legalserver.org/matter/dynamic-profile/view/1879014","18-1879014")</f>
        <v>0</v>
      </c>
      <c r="B1544" t="s">
        <v>59</v>
      </c>
      <c r="C1544" t="s">
        <v>104</v>
      </c>
      <c r="D1544" t="s">
        <v>302</v>
      </c>
      <c r="E1544" t="s">
        <v>335</v>
      </c>
      <c r="F1544" t="s">
        <v>733</v>
      </c>
      <c r="G1544" t="s">
        <v>2332</v>
      </c>
      <c r="H1544" t="s">
        <v>3195</v>
      </c>
      <c r="I1544" t="s">
        <v>3408</v>
      </c>
      <c r="J1544" t="s">
        <v>3604</v>
      </c>
      <c r="K1544">
        <v>10031</v>
      </c>
      <c r="L1544" t="s">
        <v>3610</v>
      </c>
      <c r="M1544" t="s">
        <v>3610</v>
      </c>
      <c r="N1544" t="s">
        <v>4156</v>
      </c>
      <c r="O1544" t="s">
        <v>4221</v>
      </c>
      <c r="P1544" t="s">
        <v>4242</v>
      </c>
      <c r="Q1544" t="s">
        <v>4250</v>
      </c>
      <c r="R1544" t="s">
        <v>4258</v>
      </c>
      <c r="S1544" t="s">
        <v>3611</v>
      </c>
      <c r="U1544" t="s">
        <v>4268</v>
      </c>
      <c r="W1544" t="s">
        <v>302</v>
      </c>
      <c r="X1544">
        <v>2318</v>
      </c>
      <c r="Y1544" t="s">
        <v>4351</v>
      </c>
      <c r="Z1544" t="s">
        <v>4354</v>
      </c>
      <c r="AA1544" t="s">
        <v>4373</v>
      </c>
      <c r="AB1544" t="s">
        <v>5599</v>
      </c>
      <c r="AD1544" t="s">
        <v>6940</v>
      </c>
      <c r="AE1544">
        <v>0</v>
      </c>
      <c r="AF1544" t="s">
        <v>7105</v>
      </c>
      <c r="AH1544">
        <v>13</v>
      </c>
      <c r="AI1544">
        <v>5</v>
      </c>
      <c r="AJ1544">
        <v>2</v>
      </c>
      <c r="AK1544">
        <v>270.52</v>
      </c>
      <c r="AN1544" t="s">
        <v>7139</v>
      </c>
      <c r="AO1544">
        <v>102960</v>
      </c>
      <c r="AU1544">
        <v>0.1</v>
      </c>
      <c r="AV1544" t="s">
        <v>335</v>
      </c>
      <c r="AW1544" t="s">
        <v>7341</v>
      </c>
    </row>
    <row r="1545" spans="1:50">
      <c r="A1545" s="1">
        <f>HYPERLINK("https://lsnyc.legalserver.org/matter/dynamic-profile/view/1897696","19-1897696")</f>
        <v>0</v>
      </c>
      <c r="B1545" t="s">
        <v>62</v>
      </c>
      <c r="C1545" t="s">
        <v>105</v>
      </c>
      <c r="D1545" t="s">
        <v>146</v>
      </c>
      <c r="F1545" t="s">
        <v>1462</v>
      </c>
      <c r="G1545" t="s">
        <v>2333</v>
      </c>
      <c r="H1545" t="s">
        <v>3196</v>
      </c>
      <c r="I1545">
        <v>402</v>
      </c>
      <c r="J1545" t="s">
        <v>3604</v>
      </c>
      <c r="K1545">
        <v>10033</v>
      </c>
      <c r="L1545" t="s">
        <v>3610</v>
      </c>
      <c r="M1545" t="s">
        <v>3610</v>
      </c>
      <c r="N1545" t="s">
        <v>4157</v>
      </c>
      <c r="O1545" t="s">
        <v>4219</v>
      </c>
      <c r="P1545" t="s">
        <v>4246</v>
      </c>
      <c r="R1545" t="s">
        <v>4258</v>
      </c>
      <c r="S1545" t="s">
        <v>3611</v>
      </c>
      <c r="U1545" t="s">
        <v>4268</v>
      </c>
      <c r="W1545" t="s">
        <v>146</v>
      </c>
      <c r="X1545">
        <v>877.1</v>
      </c>
      <c r="Y1545" t="s">
        <v>4351</v>
      </c>
      <c r="Z1545" t="s">
        <v>4354</v>
      </c>
      <c r="AB1545" t="s">
        <v>5600</v>
      </c>
      <c r="AE1545">
        <v>52</v>
      </c>
      <c r="AF1545" t="s">
        <v>7101</v>
      </c>
      <c r="AG1545" t="s">
        <v>7118</v>
      </c>
      <c r="AH1545">
        <v>9</v>
      </c>
      <c r="AI1545">
        <v>5</v>
      </c>
      <c r="AJ1545">
        <v>1</v>
      </c>
      <c r="AK1545">
        <v>271.75</v>
      </c>
      <c r="AN1545" t="s">
        <v>7139</v>
      </c>
      <c r="AO1545">
        <v>94000</v>
      </c>
      <c r="AU1545">
        <v>4.4</v>
      </c>
      <c r="AV1545" t="s">
        <v>7337</v>
      </c>
      <c r="AW1545" t="s">
        <v>7342</v>
      </c>
    </row>
    <row r="1546" spans="1:50">
      <c r="A1546" s="1">
        <f>HYPERLINK("https://lsnyc.legalserver.org/matter/dynamic-profile/view/1889297","19-1889297")</f>
        <v>0</v>
      </c>
      <c r="B1546" t="s">
        <v>61</v>
      </c>
      <c r="C1546" t="s">
        <v>105</v>
      </c>
      <c r="D1546" t="s">
        <v>155</v>
      </c>
      <c r="F1546" t="s">
        <v>727</v>
      </c>
      <c r="G1546" t="s">
        <v>2240</v>
      </c>
      <c r="H1546" t="s">
        <v>2556</v>
      </c>
      <c r="I1546">
        <v>34</v>
      </c>
      <c r="J1546" t="s">
        <v>3604</v>
      </c>
      <c r="K1546">
        <v>10034</v>
      </c>
      <c r="L1546" t="s">
        <v>3610</v>
      </c>
      <c r="M1546" t="s">
        <v>3610</v>
      </c>
      <c r="N1546" t="s">
        <v>3739</v>
      </c>
      <c r="O1546" t="s">
        <v>4213</v>
      </c>
      <c r="P1546" t="s">
        <v>4241</v>
      </c>
      <c r="R1546" t="s">
        <v>4258</v>
      </c>
      <c r="S1546" t="s">
        <v>3610</v>
      </c>
      <c r="U1546" t="s">
        <v>4268</v>
      </c>
      <c r="W1546" t="s">
        <v>155</v>
      </c>
      <c r="X1546">
        <v>967.59</v>
      </c>
      <c r="Y1546" t="s">
        <v>4351</v>
      </c>
      <c r="Z1546" t="s">
        <v>4354</v>
      </c>
      <c r="AB1546" t="s">
        <v>5601</v>
      </c>
      <c r="AD1546" t="s">
        <v>6941</v>
      </c>
      <c r="AE1546">
        <v>25</v>
      </c>
      <c r="AF1546" t="s">
        <v>7101</v>
      </c>
      <c r="AG1546" t="s">
        <v>3745</v>
      </c>
      <c r="AH1546">
        <v>35</v>
      </c>
      <c r="AI1546">
        <v>3</v>
      </c>
      <c r="AJ1546">
        <v>0</v>
      </c>
      <c r="AK1546">
        <v>271.8</v>
      </c>
      <c r="AN1546" t="s">
        <v>7139</v>
      </c>
      <c r="AO1546">
        <v>57975.48</v>
      </c>
      <c r="AU1546">
        <v>0</v>
      </c>
      <c r="AW1546" t="s">
        <v>7342</v>
      </c>
    </row>
    <row r="1547" spans="1:50">
      <c r="A1547" s="1">
        <f>HYPERLINK("https://lsnyc.legalserver.org/matter/dynamic-profile/view/1864498","18-1864498")</f>
        <v>0</v>
      </c>
      <c r="B1547" t="s">
        <v>53</v>
      </c>
      <c r="C1547" t="s">
        <v>105</v>
      </c>
      <c r="D1547" t="s">
        <v>157</v>
      </c>
      <c r="F1547" t="s">
        <v>1463</v>
      </c>
      <c r="G1547" t="s">
        <v>2334</v>
      </c>
      <c r="H1547" t="s">
        <v>2508</v>
      </c>
      <c r="I1547">
        <v>702</v>
      </c>
      <c r="J1547" t="s">
        <v>3604</v>
      </c>
      <c r="K1547">
        <v>10029</v>
      </c>
      <c r="L1547" t="s">
        <v>3610</v>
      </c>
      <c r="M1547" t="s">
        <v>3610</v>
      </c>
      <c r="N1547" t="s">
        <v>3642</v>
      </c>
      <c r="O1547" t="s">
        <v>4213</v>
      </c>
      <c r="P1547" t="s">
        <v>4241</v>
      </c>
      <c r="R1547" t="s">
        <v>4258</v>
      </c>
      <c r="S1547" t="s">
        <v>3610</v>
      </c>
      <c r="U1547" t="s">
        <v>4268</v>
      </c>
      <c r="V1547" t="s">
        <v>4274</v>
      </c>
      <c r="W1547" t="s">
        <v>157</v>
      </c>
      <c r="X1547">
        <v>0</v>
      </c>
      <c r="Y1547" t="s">
        <v>4351</v>
      </c>
      <c r="Z1547" t="s">
        <v>4352</v>
      </c>
      <c r="AB1547" t="s">
        <v>5602</v>
      </c>
      <c r="AD1547" t="s">
        <v>6942</v>
      </c>
      <c r="AE1547">
        <v>108</v>
      </c>
      <c r="AF1547" t="s">
        <v>7106</v>
      </c>
      <c r="AG1547" t="s">
        <v>7116</v>
      </c>
      <c r="AH1547">
        <v>9</v>
      </c>
      <c r="AI1547">
        <v>1</v>
      </c>
      <c r="AJ1547">
        <v>0</v>
      </c>
      <c r="AK1547">
        <v>271.83</v>
      </c>
      <c r="AN1547" t="s">
        <v>7138</v>
      </c>
      <c r="AO1547">
        <v>33000</v>
      </c>
      <c r="AU1547">
        <v>0.25</v>
      </c>
      <c r="AV1547" t="s">
        <v>688</v>
      </c>
      <c r="AW1547" t="s">
        <v>7341</v>
      </c>
    </row>
    <row r="1548" spans="1:50">
      <c r="A1548" s="1">
        <f>HYPERLINK("https://lsnyc.legalserver.org/matter/dynamic-profile/view/1898606","19-1898606")</f>
        <v>0</v>
      </c>
      <c r="B1548" t="s">
        <v>60</v>
      </c>
      <c r="C1548" t="s">
        <v>105</v>
      </c>
      <c r="D1548" t="s">
        <v>591</v>
      </c>
      <c r="F1548" t="s">
        <v>940</v>
      </c>
      <c r="G1548" t="s">
        <v>2335</v>
      </c>
      <c r="H1548" t="s">
        <v>2691</v>
      </c>
      <c r="I1548" t="s">
        <v>3357</v>
      </c>
      <c r="J1548" t="s">
        <v>3604</v>
      </c>
      <c r="K1548">
        <v>10034</v>
      </c>
      <c r="L1548" t="s">
        <v>3610</v>
      </c>
      <c r="M1548" t="s">
        <v>3610</v>
      </c>
      <c r="P1548" t="s">
        <v>4242</v>
      </c>
      <c r="R1548" t="s">
        <v>4258</v>
      </c>
      <c r="S1548" t="s">
        <v>3611</v>
      </c>
      <c r="U1548" t="s">
        <v>4268</v>
      </c>
      <c r="W1548" t="s">
        <v>591</v>
      </c>
      <c r="X1548">
        <v>4200</v>
      </c>
      <c r="Y1548" t="s">
        <v>4351</v>
      </c>
      <c r="Z1548" t="s">
        <v>4354</v>
      </c>
      <c r="AB1548" t="s">
        <v>5603</v>
      </c>
      <c r="AD1548" t="s">
        <v>6943</v>
      </c>
      <c r="AE1548">
        <v>0</v>
      </c>
      <c r="AF1548" t="s">
        <v>7101</v>
      </c>
      <c r="AG1548" t="s">
        <v>3745</v>
      </c>
      <c r="AH1548">
        <v>1</v>
      </c>
      <c r="AI1548">
        <v>1</v>
      </c>
      <c r="AJ1548">
        <v>3</v>
      </c>
      <c r="AK1548">
        <v>271.84</v>
      </c>
      <c r="AN1548" t="s">
        <v>7138</v>
      </c>
      <c r="AO1548">
        <v>70000</v>
      </c>
      <c r="AU1548">
        <v>2.65</v>
      </c>
      <c r="AV1548" t="s">
        <v>625</v>
      </c>
      <c r="AW1548" t="s">
        <v>7342</v>
      </c>
    </row>
    <row r="1549" spans="1:50">
      <c r="A1549" s="1">
        <f>HYPERLINK("https://lsnyc.legalserver.org/matter/dynamic-profile/view/1901171","19-1901171")</f>
        <v>0</v>
      </c>
      <c r="B1549" t="s">
        <v>63</v>
      </c>
      <c r="C1549" t="s">
        <v>104</v>
      </c>
      <c r="D1549" t="s">
        <v>637</v>
      </c>
      <c r="E1549" t="s">
        <v>512</v>
      </c>
      <c r="F1549" t="s">
        <v>1377</v>
      </c>
      <c r="G1549" t="s">
        <v>2323</v>
      </c>
      <c r="H1549" t="s">
        <v>3197</v>
      </c>
      <c r="I1549" t="s">
        <v>3279</v>
      </c>
      <c r="J1549" t="s">
        <v>3604</v>
      </c>
      <c r="K1549">
        <v>10033</v>
      </c>
      <c r="L1549" t="s">
        <v>3610</v>
      </c>
      <c r="M1549" t="s">
        <v>3609</v>
      </c>
      <c r="P1549" t="s">
        <v>4245</v>
      </c>
      <c r="Q1549" t="s">
        <v>4249</v>
      </c>
      <c r="R1549" t="s">
        <v>4258</v>
      </c>
      <c r="S1549" t="s">
        <v>3611</v>
      </c>
      <c r="U1549" t="s">
        <v>4268</v>
      </c>
      <c r="W1549" t="s">
        <v>637</v>
      </c>
      <c r="X1549">
        <v>1800</v>
      </c>
      <c r="Y1549" t="s">
        <v>4351</v>
      </c>
      <c r="Z1549" t="s">
        <v>4354</v>
      </c>
      <c r="AA1549" t="s">
        <v>4384</v>
      </c>
      <c r="AB1549" t="s">
        <v>5604</v>
      </c>
      <c r="AD1549" t="s">
        <v>6944</v>
      </c>
      <c r="AE1549">
        <v>95</v>
      </c>
      <c r="AF1549" t="s">
        <v>7101</v>
      </c>
      <c r="AG1549" t="s">
        <v>3745</v>
      </c>
      <c r="AH1549">
        <v>9</v>
      </c>
      <c r="AI1549">
        <v>1</v>
      </c>
      <c r="AJ1549">
        <v>0</v>
      </c>
      <c r="AK1549">
        <v>272.22</v>
      </c>
      <c r="AN1549" t="s">
        <v>7138</v>
      </c>
      <c r="AO1549">
        <v>34000</v>
      </c>
      <c r="AU1549">
        <v>0.1</v>
      </c>
      <c r="AV1549" t="s">
        <v>512</v>
      </c>
      <c r="AW1549" t="s">
        <v>7342</v>
      </c>
      <c r="AX1549" t="s">
        <v>7377</v>
      </c>
    </row>
    <row r="1550" spans="1:50">
      <c r="A1550" s="1">
        <f>HYPERLINK("https://lsnyc.legalserver.org/matter/dynamic-profile/view/1872236","18-1872236")</f>
        <v>0</v>
      </c>
      <c r="B1550" t="s">
        <v>54</v>
      </c>
      <c r="C1550" t="s">
        <v>104</v>
      </c>
      <c r="D1550" t="s">
        <v>528</v>
      </c>
      <c r="E1550" t="s">
        <v>673</v>
      </c>
      <c r="F1550" t="s">
        <v>1181</v>
      </c>
      <c r="G1550" t="s">
        <v>2336</v>
      </c>
      <c r="H1550" t="s">
        <v>3198</v>
      </c>
      <c r="I1550">
        <v>36</v>
      </c>
      <c r="J1550" t="s">
        <v>3604</v>
      </c>
      <c r="K1550">
        <v>10031</v>
      </c>
      <c r="L1550" t="s">
        <v>3610</v>
      </c>
      <c r="M1550" t="s">
        <v>3610</v>
      </c>
      <c r="N1550" t="s">
        <v>4158</v>
      </c>
      <c r="O1550" t="s">
        <v>4210</v>
      </c>
      <c r="P1550" t="s">
        <v>4242</v>
      </c>
      <c r="Q1550" t="s">
        <v>4250</v>
      </c>
      <c r="R1550" t="s">
        <v>4258</v>
      </c>
      <c r="S1550" t="s">
        <v>3611</v>
      </c>
      <c r="U1550" t="s">
        <v>4268</v>
      </c>
      <c r="V1550" t="s">
        <v>4274</v>
      </c>
      <c r="W1550" t="s">
        <v>528</v>
      </c>
      <c r="X1550">
        <v>1514.5</v>
      </c>
      <c r="Y1550" t="s">
        <v>4351</v>
      </c>
      <c r="Z1550" t="s">
        <v>4354</v>
      </c>
      <c r="AA1550" t="s">
        <v>4373</v>
      </c>
      <c r="AB1550" t="s">
        <v>5605</v>
      </c>
      <c r="AE1550">
        <v>39</v>
      </c>
      <c r="AF1550" t="s">
        <v>7101</v>
      </c>
      <c r="AG1550" t="s">
        <v>3745</v>
      </c>
      <c r="AH1550">
        <v>14</v>
      </c>
      <c r="AI1550">
        <v>2</v>
      </c>
      <c r="AJ1550">
        <v>0</v>
      </c>
      <c r="AK1550">
        <v>273.15</v>
      </c>
      <c r="AN1550" t="s">
        <v>7139</v>
      </c>
      <c r="AO1550">
        <v>44960.04</v>
      </c>
      <c r="AU1550">
        <v>0.1</v>
      </c>
      <c r="AV1550" t="s">
        <v>673</v>
      </c>
      <c r="AW1550" t="s">
        <v>7344</v>
      </c>
    </row>
    <row r="1551" spans="1:50">
      <c r="A1551" s="1">
        <f>HYPERLINK("https://lsnyc.legalserver.org/matter/dynamic-profile/view/1847509","17-1847509")</f>
        <v>0</v>
      </c>
      <c r="B1551" t="s">
        <v>72</v>
      </c>
      <c r="C1551" t="s">
        <v>104</v>
      </c>
      <c r="D1551" t="s">
        <v>609</v>
      </c>
      <c r="E1551" t="s">
        <v>501</v>
      </c>
      <c r="F1551" t="s">
        <v>1326</v>
      </c>
      <c r="G1551" t="s">
        <v>1853</v>
      </c>
      <c r="H1551" t="s">
        <v>3199</v>
      </c>
      <c r="I1551">
        <v>9</v>
      </c>
      <c r="J1551" t="s">
        <v>3604</v>
      </c>
      <c r="K1551">
        <v>10029</v>
      </c>
      <c r="L1551" t="s">
        <v>3610</v>
      </c>
      <c r="M1551" t="s">
        <v>3609</v>
      </c>
      <c r="O1551" t="s">
        <v>4211</v>
      </c>
      <c r="P1551" t="s">
        <v>4242</v>
      </c>
      <c r="Q1551" t="s">
        <v>4250</v>
      </c>
      <c r="R1551" t="s">
        <v>4258</v>
      </c>
      <c r="S1551" t="s">
        <v>3610</v>
      </c>
      <c r="U1551" t="s">
        <v>4268</v>
      </c>
      <c r="W1551" t="s">
        <v>609</v>
      </c>
      <c r="X1551">
        <v>101</v>
      </c>
      <c r="Y1551" t="s">
        <v>4351</v>
      </c>
      <c r="Z1551" t="s">
        <v>4361</v>
      </c>
      <c r="AA1551" t="s">
        <v>4373</v>
      </c>
      <c r="AB1551" t="s">
        <v>5606</v>
      </c>
      <c r="AD1551" t="s">
        <v>6945</v>
      </c>
      <c r="AE1551">
        <v>24</v>
      </c>
      <c r="AF1551" t="s">
        <v>7104</v>
      </c>
      <c r="AG1551" t="s">
        <v>3745</v>
      </c>
      <c r="AH1551">
        <v>30</v>
      </c>
      <c r="AI1551">
        <v>2</v>
      </c>
      <c r="AJ1551">
        <v>0</v>
      </c>
      <c r="AK1551">
        <v>273.4</v>
      </c>
      <c r="AL1551" t="s">
        <v>7130</v>
      </c>
      <c r="AN1551" t="s">
        <v>7139</v>
      </c>
      <c r="AO1551">
        <v>44400</v>
      </c>
      <c r="AU1551">
        <v>2.1</v>
      </c>
      <c r="AV1551" t="s">
        <v>211</v>
      </c>
      <c r="AW1551" t="s">
        <v>7341</v>
      </c>
    </row>
    <row r="1552" spans="1:50">
      <c r="A1552" s="1">
        <f>HYPERLINK("https://lsnyc.legalserver.org/matter/dynamic-profile/view/0831083","17-0831083")</f>
        <v>0</v>
      </c>
      <c r="B1552" t="s">
        <v>64</v>
      </c>
      <c r="C1552" t="s">
        <v>105</v>
      </c>
      <c r="D1552" t="s">
        <v>638</v>
      </c>
      <c r="F1552" t="s">
        <v>1464</v>
      </c>
      <c r="G1552" t="s">
        <v>2337</v>
      </c>
      <c r="H1552" t="s">
        <v>2576</v>
      </c>
      <c r="I1552" t="s">
        <v>3279</v>
      </c>
      <c r="J1552" t="s">
        <v>3604</v>
      </c>
      <c r="K1552">
        <v>10040</v>
      </c>
      <c r="L1552" t="s">
        <v>3610</v>
      </c>
      <c r="M1552" t="s">
        <v>3609</v>
      </c>
      <c r="N1552" t="s">
        <v>4038</v>
      </c>
      <c r="O1552" t="s">
        <v>4213</v>
      </c>
      <c r="P1552" t="s">
        <v>4241</v>
      </c>
      <c r="R1552" t="s">
        <v>4258</v>
      </c>
      <c r="S1552" t="s">
        <v>3610</v>
      </c>
      <c r="U1552" t="s">
        <v>4268</v>
      </c>
      <c r="W1552" t="s">
        <v>332</v>
      </c>
      <c r="X1552">
        <v>1850</v>
      </c>
      <c r="Y1552" t="s">
        <v>4351</v>
      </c>
      <c r="Z1552" t="s">
        <v>4352</v>
      </c>
      <c r="AB1552" t="s">
        <v>5607</v>
      </c>
      <c r="AD1552" t="s">
        <v>6946</v>
      </c>
      <c r="AE1552">
        <v>83</v>
      </c>
      <c r="AF1552" t="s">
        <v>7101</v>
      </c>
      <c r="AG1552" t="s">
        <v>3745</v>
      </c>
      <c r="AH1552">
        <v>3</v>
      </c>
      <c r="AI1552">
        <v>2</v>
      </c>
      <c r="AJ1552">
        <v>4</v>
      </c>
      <c r="AK1552">
        <v>273.67</v>
      </c>
      <c r="AL1552" t="s">
        <v>7130</v>
      </c>
      <c r="AN1552" t="s">
        <v>7138</v>
      </c>
      <c r="AO1552">
        <v>90200</v>
      </c>
      <c r="AU1552">
        <v>0</v>
      </c>
      <c r="AV1552" t="s">
        <v>191</v>
      </c>
      <c r="AW1552" t="s">
        <v>7341</v>
      </c>
    </row>
    <row r="1553" spans="1:50">
      <c r="A1553" s="1">
        <f>HYPERLINK("https://lsnyc.legalserver.org/matter/dynamic-profile/view/0831091","17-0831091")</f>
        <v>0</v>
      </c>
      <c r="B1553" t="s">
        <v>64</v>
      </c>
      <c r="C1553" t="s">
        <v>105</v>
      </c>
      <c r="D1553" t="s">
        <v>638</v>
      </c>
      <c r="F1553" t="s">
        <v>1464</v>
      </c>
      <c r="G1553" t="s">
        <v>2337</v>
      </c>
      <c r="H1553" t="s">
        <v>2576</v>
      </c>
      <c r="I1553" t="s">
        <v>3279</v>
      </c>
      <c r="J1553" t="s">
        <v>3604</v>
      </c>
      <c r="K1553">
        <v>10040</v>
      </c>
      <c r="L1553" t="s">
        <v>3610</v>
      </c>
      <c r="M1553" t="s">
        <v>3609</v>
      </c>
      <c r="O1553" t="s">
        <v>4211</v>
      </c>
      <c r="P1553" t="s">
        <v>4244</v>
      </c>
      <c r="R1553" t="s">
        <v>4258</v>
      </c>
      <c r="S1553" t="s">
        <v>3610</v>
      </c>
      <c r="U1553" t="s">
        <v>4268</v>
      </c>
      <c r="W1553" t="s">
        <v>332</v>
      </c>
      <c r="X1553">
        <v>1850</v>
      </c>
      <c r="Y1553" t="s">
        <v>4351</v>
      </c>
      <c r="AB1553" t="s">
        <v>5607</v>
      </c>
      <c r="AD1553" t="s">
        <v>6946</v>
      </c>
      <c r="AE1553">
        <v>83</v>
      </c>
      <c r="AF1553" t="s">
        <v>7101</v>
      </c>
      <c r="AG1553" t="s">
        <v>3745</v>
      </c>
      <c r="AH1553">
        <v>3</v>
      </c>
      <c r="AI1553">
        <v>2</v>
      </c>
      <c r="AJ1553">
        <v>4</v>
      </c>
      <c r="AK1553">
        <v>273.67</v>
      </c>
      <c r="AL1553" t="s">
        <v>518</v>
      </c>
      <c r="AN1553" t="s">
        <v>7138</v>
      </c>
      <c r="AO1553">
        <v>124000</v>
      </c>
      <c r="AU1553">
        <v>0</v>
      </c>
      <c r="AW1553" t="s">
        <v>7341</v>
      </c>
    </row>
    <row r="1554" spans="1:50">
      <c r="A1554" s="1">
        <f>HYPERLINK("https://lsnyc.legalserver.org/matter/dynamic-profile/view/0830813","17-0830813")</f>
        <v>0</v>
      </c>
      <c r="B1554" t="s">
        <v>64</v>
      </c>
      <c r="C1554" t="s">
        <v>105</v>
      </c>
      <c r="D1554" t="s">
        <v>243</v>
      </c>
      <c r="F1554" t="s">
        <v>922</v>
      </c>
      <c r="G1554" t="s">
        <v>1596</v>
      </c>
      <c r="H1554" t="s">
        <v>2496</v>
      </c>
      <c r="I1554">
        <v>25</v>
      </c>
      <c r="J1554" t="s">
        <v>3604</v>
      </c>
      <c r="K1554">
        <v>10032</v>
      </c>
      <c r="L1554" t="s">
        <v>3609</v>
      </c>
      <c r="M1554" t="s">
        <v>3609</v>
      </c>
      <c r="N1554" t="s">
        <v>4159</v>
      </c>
      <c r="O1554" t="s">
        <v>4213</v>
      </c>
      <c r="P1554" t="s">
        <v>4241</v>
      </c>
      <c r="R1554" t="s">
        <v>4258</v>
      </c>
      <c r="S1554" t="s">
        <v>3610</v>
      </c>
      <c r="U1554" t="s">
        <v>4268</v>
      </c>
      <c r="W1554" t="s">
        <v>4321</v>
      </c>
      <c r="X1554">
        <v>1021.83</v>
      </c>
      <c r="Y1554" t="s">
        <v>4351</v>
      </c>
      <c r="Z1554" t="s">
        <v>4352</v>
      </c>
      <c r="AB1554" t="s">
        <v>5608</v>
      </c>
      <c r="AD1554" t="s">
        <v>6947</v>
      </c>
      <c r="AE1554">
        <v>35</v>
      </c>
      <c r="AF1554" t="s">
        <v>7101</v>
      </c>
      <c r="AG1554" t="s">
        <v>3745</v>
      </c>
      <c r="AH1554">
        <v>35</v>
      </c>
      <c r="AI1554">
        <v>4</v>
      </c>
      <c r="AJ1554">
        <v>0</v>
      </c>
      <c r="AK1554">
        <v>274.8</v>
      </c>
      <c r="AL1554" t="s">
        <v>4319</v>
      </c>
      <c r="AN1554" t="s">
        <v>7139</v>
      </c>
      <c r="AO1554">
        <v>67600</v>
      </c>
      <c r="AU1554">
        <v>3.85</v>
      </c>
      <c r="AV1554" t="s">
        <v>664</v>
      </c>
      <c r="AW1554" t="s">
        <v>7341</v>
      </c>
    </row>
    <row r="1555" spans="1:50">
      <c r="A1555" s="1">
        <f>HYPERLINK("https://lsnyc.legalserver.org/matter/dynamic-profile/view/0830814","17-0830814")</f>
        <v>0</v>
      </c>
      <c r="B1555" t="s">
        <v>64</v>
      </c>
      <c r="C1555" t="s">
        <v>104</v>
      </c>
      <c r="D1555" t="s">
        <v>243</v>
      </c>
      <c r="E1555" t="s">
        <v>280</v>
      </c>
      <c r="F1555" t="s">
        <v>922</v>
      </c>
      <c r="G1555" t="s">
        <v>1596</v>
      </c>
      <c r="H1555" t="s">
        <v>2496</v>
      </c>
      <c r="I1555">
        <v>25</v>
      </c>
      <c r="J1555" t="s">
        <v>3604</v>
      </c>
      <c r="K1555">
        <v>10032</v>
      </c>
      <c r="L1555" t="s">
        <v>3609</v>
      </c>
      <c r="M1555" t="s">
        <v>3609</v>
      </c>
      <c r="O1555" t="s">
        <v>4211</v>
      </c>
      <c r="P1555" t="s">
        <v>4244</v>
      </c>
      <c r="Q1555" t="s">
        <v>4254</v>
      </c>
      <c r="R1555" t="s">
        <v>4258</v>
      </c>
      <c r="S1555" t="s">
        <v>3610</v>
      </c>
      <c r="U1555" t="s">
        <v>4268</v>
      </c>
      <c r="W1555" t="s">
        <v>238</v>
      </c>
      <c r="X1555">
        <v>1021.83</v>
      </c>
      <c r="Y1555" t="s">
        <v>4351</v>
      </c>
      <c r="Z1555" t="s">
        <v>4352</v>
      </c>
      <c r="AA1555" t="s">
        <v>4377</v>
      </c>
      <c r="AB1555" t="s">
        <v>5608</v>
      </c>
      <c r="AD1555" t="s">
        <v>6947</v>
      </c>
      <c r="AE1555">
        <v>35</v>
      </c>
      <c r="AF1555" t="s">
        <v>7101</v>
      </c>
      <c r="AG1555" t="s">
        <v>3745</v>
      </c>
      <c r="AH1555">
        <v>35</v>
      </c>
      <c r="AI1555">
        <v>4</v>
      </c>
      <c r="AJ1555">
        <v>0</v>
      </c>
      <c r="AK1555">
        <v>274.8</v>
      </c>
      <c r="AL1555" t="s">
        <v>7130</v>
      </c>
      <c r="AN1555" t="s">
        <v>7139</v>
      </c>
      <c r="AO1555">
        <v>83200</v>
      </c>
      <c r="AU1555">
        <v>1.35</v>
      </c>
      <c r="AV1555" t="s">
        <v>280</v>
      </c>
      <c r="AW1555" t="s">
        <v>7341</v>
      </c>
    </row>
    <row r="1556" spans="1:50">
      <c r="A1556" s="1">
        <f>HYPERLINK("https://lsnyc.legalserver.org/matter/dynamic-profile/view/1884394","18-1884394")</f>
        <v>0</v>
      </c>
      <c r="B1556" t="s">
        <v>63</v>
      </c>
      <c r="C1556" t="s">
        <v>104</v>
      </c>
      <c r="D1556" t="s">
        <v>175</v>
      </c>
      <c r="E1556" t="s">
        <v>663</v>
      </c>
      <c r="F1556" t="s">
        <v>738</v>
      </c>
      <c r="G1556" t="s">
        <v>1594</v>
      </c>
      <c r="H1556" t="s">
        <v>2556</v>
      </c>
      <c r="I1556">
        <v>53</v>
      </c>
      <c r="J1556" t="s">
        <v>3604</v>
      </c>
      <c r="K1556">
        <v>10034</v>
      </c>
      <c r="L1556" t="s">
        <v>3610</v>
      </c>
      <c r="M1556" t="s">
        <v>3610</v>
      </c>
      <c r="O1556" t="s">
        <v>4211</v>
      </c>
      <c r="P1556" t="s">
        <v>4244</v>
      </c>
      <c r="Q1556" t="s">
        <v>4249</v>
      </c>
      <c r="R1556" t="s">
        <v>4258</v>
      </c>
      <c r="S1556" t="s">
        <v>3611</v>
      </c>
      <c r="T1556" t="s">
        <v>4258</v>
      </c>
      <c r="U1556" t="s">
        <v>4268</v>
      </c>
      <c r="W1556" t="s">
        <v>663</v>
      </c>
      <c r="X1556">
        <v>1100</v>
      </c>
      <c r="Y1556" t="s">
        <v>4351</v>
      </c>
      <c r="AA1556" t="s">
        <v>4374</v>
      </c>
      <c r="AB1556" t="s">
        <v>5609</v>
      </c>
      <c r="AD1556" t="s">
        <v>6948</v>
      </c>
      <c r="AE1556">
        <v>25</v>
      </c>
      <c r="AF1556" t="s">
        <v>7104</v>
      </c>
      <c r="AG1556" t="s">
        <v>3745</v>
      </c>
      <c r="AH1556">
        <v>11</v>
      </c>
      <c r="AI1556">
        <v>4</v>
      </c>
      <c r="AJ1556">
        <v>0</v>
      </c>
      <c r="AK1556">
        <v>275.54</v>
      </c>
      <c r="AN1556" t="s">
        <v>7139</v>
      </c>
      <c r="AO1556">
        <v>69160</v>
      </c>
      <c r="AU1556">
        <v>1.2</v>
      </c>
      <c r="AV1556" t="s">
        <v>637</v>
      </c>
      <c r="AW1556" t="s">
        <v>7343</v>
      </c>
      <c r="AX1556" t="s">
        <v>7377</v>
      </c>
    </row>
    <row r="1557" spans="1:50">
      <c r="A1557" s="1">
        <f>HYPERLINK("https://lsnyc.legalserver.org/matter/dynamic-profile/view/1867146","18-1867146")</f>
        <v>0</v>
      </c>
      <c r="B1557" t="s">
        <v>79</v>
      </c>
      <c r="C1557" t="s">
        <v>104</v>
      </c>
      <c r="D1557" t="s">
        <v>240</v>
      </c>
      <c r="E1557" t="s">
        <v>669</v>
      </c>
      <c r="F1557" t="s">
        <v>1302</v>
      </c>
      <c r="G1557" t="s">
        <v>2338</v>
      </c>
      <c r="H1557" t="s">
        <v>3200</v>
      </c>
      <c r="I1557" t="s">
        <v>3570</v>
      </c>
      <c r="J1557" t="s">
        <v>3604</v>
      </c>
      <c r="K1557">
        <v>10037</v>
      </c>
      <c r="L1557" t="s">
        <v>3610</v>
      </c>
      <c r="M1557" t="s">
        <v>3609</v>
      </c>
      <c r="N1557" t="s">
        <v>4160</v>
      </c>
      <c r="O1557" t="s">
        <v>4209</v>
      </c>
      <c r="P1557" t="s">
        <v>4242</v>
      </c>
      <c r="Q1557" t="s">
        <v>4250</v>
      </c>
      <c r="R1557" t="s">
        <v>4258</v>
      </c>
      <c r="U1557" t="s">
        <v>4268</v>
      </c>
      <c r="W1557" t="s">
        <v>240</v>
      </c>
      <c r="X1557">
        <v>885</v>
      </c>
      <c r="Y1557" t="s">
        <v>4351</v>
      </c>
      <c r="Z1557" t="s">
        <v>4357</v>
      </c>
      <c r="AA1557" t="s">
        <v>4373</v>
      </c>
      <c r="AB1557" t="s">
        <v>5610</v>
      </c>
      <c r="AD1557" t="s">
        <v>6949</v>
      </c>
      <c r="AE1557">
        <v>0</v>
      </c>
      <c r="AF1557" t="s">
        <v>7105</v>
      </c>
      <c r="AG1557" t="s">
        <v>3745</v>
      </c>
      <c r="AH1557">
        <v>41</v>
      </c>
      <c r="AI1557">
        <v>1</v>
      </c>
      <c r="AJ1557">
        <v>0</v>
      </c>
      <c r="AK1557">
        <v>277.27</v>
      </c>
      <c r="AN1557" t="s">
        <v>7138</v>
      </c>
      <c r="AO1557">
        <v>33660</v>
      </c>
      <c r="AU1557">
        <v>1.6</v>
      </c>
      <c r="AV1557" t="s">
        <v>669</v>
      </c>
      <c r="AW1557" t="s">
        <v>7350</v>
      </c>
    </row>
    <row r="1558" spans="1:50">
      <c r="A1558" s="1">
        <f>HYPERLINK("https://lsnyc.legalserver.org/matter/dynamic-profile/view/1838567","17-1838567")</f>
        <v>0</v>
      </c>
      <c r="B1558" t="s">
        <v>64</v>
      </c>
      <c r="C1558" t="s">
        <v>104</v>
      </c>
      <c r="D1558" t="s">
        <v>189</v>
      </c>
      <c r="E1558" t="s">
        <v>280</v>
      </c>
      <c r="F1558" t="s">
        <v>1465</v>
      </c>
      <c r="G1558" t="s">
        <v>1594</v>
      </c>
      <c r="H1558" t="s">
        <v>3201</v>
      </c>
      <c r="I1558" t="s">
        <v>3571</v>
      </c>
      <c r="J1558" t="s">
        <v>3604</v>
      </c>
      <c r="K1558">
        <v>10040</v>
      </c>
      <c r="L1558" t="s">
        <v>3610</v>
      </c>
      <c r="M1558" t="s">
        <v>3609</v>
      </c>
      <c r="N1558" t="s">
        <v>4161</v>
      </c>
      <c r="O1558" t="s">
        <v>4209</v>
      </c>
      <c r="P1558" t="s">
        <v>4241</v>
      </c>
      <c r="Q1558" t="s">
        <v>4248</v>
      </c>
      <c r="R1558" t="s">
        <v>4258</v>
      </c>
      <c r="S1558" t="s">
        <v>3611</v>
      </c>
      <c r="U1558" t="s">
        <v>4268</v>
      </c>
      <c r="W1558" t="s">
        <v>4282</v>
      </c>
      <c r="X1558">
        <v>987.4</v>
      </c>
      <c r="Y1558" t="s">
        <v>4351</v>
      </c>
      <c r="Z1558" t="s">
        <v>4354</v>
      </c>
      <c r="AA1558" t="s">
        <v>4374</v>
      </c>
      <c r="AB1558" t="s">
        <v>5611</v>
      </c>
      <c r="AD1558" t="s">
        <v>6950</v>
      </c>
      <c r="AE1558">
        <v>68</v>
      </c>
      <c r="AF1558" t="s">
        <v>7101</v>
      </c>
      <c r="AG1558" t="s">
        <v>3745</v>
      </c>
      <c r="AH1558">
        <v>16</v>
      </c>
      <c r="AI1558">
        <v>3</v>
      </c>
      <c r="AJ1558">
        <v>1</v>
      </c>
      <c r="AK1558">
        <v>278.98</v>
      </c>
      <c r="AL1558" t="s">
        <v>7130</v>
      </c>
      <c r="AN1558" t="s">
        <v>7139</v>
      </c>
      <c r="AO1558">
        <v>68629.75</v>
      </c>
      <c r="AU1558">
        <v>25.2</v>
      </c>
      <c r="AV1558" t="s">
        <v>198</v>
      </c>
      <c r="AW1558" t="s">
        <v>7341</v>
      </c>
    </row>
    <row r="1559" spans="1:50">
      <c r="A1559" s="1">
        <f>HYPERLINK("https://lsnyc.legalserver.org/matter/dynamic-profile/view/1853640","17-1853640")</f>
        <v>0</v>
      </c>
      <c r="B1559" t="s">
        <v>56</v>
      </c>
      <c r="C1559" t="s">
        <v>104</v>
      </c>
      <c r="D1559" t="s">
        <v>217</v>
      </c>
      <c r="E1559" t="s">
        <v>665</v>
      </c>
      <c r="F1559" t="s">
        <v>1465</v>
      </c>
      <c r="G1559" t="s">
        <v>1594</v>
      </c>
      <c r="H1559" t="s">
        <v>3201</v>
      </c>
      <c r="I1559" t="s">
        <v>3571</v>
      </c>
      <c r="J1559" t="s">
        <v>3604</v>
      </c>
      <c r="K1559">
        <v>10040</v>
      </c>
      <c r="L1559" t="s">
        <v>3610</v>
      </c>
      <c r="M1559" t="s">
        <v>3610</v>
      </c>
      <c r="O1559" t="s">
        <v>4219</v>
      </c>
      <c r="P1559" t="s">
        <v>4242</v>
      </c>
      <c r="Q1559" t="s">
        <v>4250</v>
      </c>
      <c r="R1559" t="s">
        <v>4258</v>
      </c>
      <c r="S1559" t="s">
        <v>3611</v>
      </c>
      <c r="T1559" t="s">
        <v>4259</v>
      </c>
      <c r="U1559" t="s">
        <v>4268</v>
      </c>
      <c r="W1559" t="s">
        <v>507</v>
      </c>
      <c r="X1559">
        <v>1294.3</v>
      </c>
      <c r="Y1559" t="s">
        <v>4351</v>
      </c>
      <c r="Z1559" t="s">
        <v>4357</v>
      </c>
      <c r="AA1559" t="s">
        <v>4373</v>
      </c>
      <c r="AB1559" t="s">
        <v>5611</v>
      </c>
      <c r="AD1559" t="s">
        <v>6950</v>
      </c>
      <c r="AE1559">
        <v>100</v>
      </c>
      <c r="AF1559" t="s">
        <v>7101</v>
      </c>
      <c r="AG1559" t="s">
        <v>3745</v>
      </c>
      <c r="AH1559">
        <v>7</v>
      </c>
      <c r="AI1559">
        <v>3</v>
      </c>
      <c r="AJ1559">
        <v>1</v>
      </c>
      <c r="AK1559">
        <v>278.98</v>
      </c>
      <c r="AN1559" t="s">
        <v>7139</v>
      </c>
      <c r="AO1559">
        <v>119059.5</v>
      </c>
      <c r="AU1559">
        <v>1.15</v>
      </c>
      <c r="AV1559" t="s">
        <v>665</v>
      </c>
      <c r="AW1559" t="s">
        <v>7342</v>
      </c>
    </row>
    <row r="1560" spans="1:50">
      <c r="A1560" s="1">
        <f>HYPERLINK("https://lsnyc.legalserver.org/matter/dynamic-profile/view/1850100","17-1850100")</f>
        <v>0</v>
      </c>
      <c r="B1560" t="s">
        <v>61</v>
      </c>
      <c r="C1560" t="s">
        <v>105</v>
      </c>
      <c r="D1560" t="s">
        <v>295</v>
      </c>
      <c r="F1560" t="s">
        <v>1466</v>
      </c>
      <c r="G1560" t="s">
        <v>1847</v>
      </c>
      <c r="H1560" t="s">
        <v>3202</v>
      </c>
      <c r="I1560" t="s">
        <v>3305</v>
      </c>
      <c r="J1560" t="s">
        <v>3604</v>
      </c>
      <c r="K1560">
        <v>10034</v>
      </c>
      <c r="L1560" t="s">
        <v>3610</v>
      </c>
      <c r="M1560" t="s">
        <v>3609</v>
      </c>
      <c r="N1560" t="s">
        <v>4162</v>
      </c>
      <c r="O1560" t="s">
        <v>4210</v>
      </c>
      <c r="P1560" t="s">
        <v>4245</v>
      </c>
      <c r="R1560" t="s">
        <v>4258</v>
      </c>
      <c r="S1560" t="s">
        <v>3611</v>
      </c>
      <c r="U1560" t="s">
        <v>4268</v>
      </c>
      <c r="W1560" t="s">
        <v>379</v>
      </c>
      <c r="X1560">
        <v>894</v>
      </c>
      <c r="Y1560" t="s">
        <v>4351</v>
      </c>
      <c r="Z1560" t="s">
        <v>4354</v>
      </c>
      <c r="AB1560" t="s">
        <v>5612</v>
      </c>
      <c r="AD1560" t="s">
        <v>6951</v>
      </c>
      <c r="AE1560">
        <v>180</v>
      </c>
      <c r="AF1560" t="s">
        <v>7102</v>
      </c>
      <c r="AG1560" t="s">
        <v>3745</v>
      </c>
      <c r="AH1560">
        <v>40</v>
      </c>
      <c r="AI1560">
        <v>1</v>
      </c>
      <c r="AJ1560">
        <v>0</v>
      </c>
      <c r="AK1560">
        <v>279.6</v>
      </c>
      <c r="AL1560" t="s">
        <v>508</v>
      </c>
      <c r="AN1560" t="s">
        <v>7138</v>
      </c>
      <c r="AO1560">
        <v>33720</v>
      </c>
      <c r="AU1560">
        <v>14.7</v>
      </c>
      <c r="AV1560" t="s">
        <v>111</v>
      </c>
      <c r="AW1560" t="s">
        <v>7342</v>
      </c>
    </row>
    <row r="1561" spans="1:50">
      <c r="A1561" s="1">
        <f>HYPERLINK("https://lsnyc.legalserver.org/matter/dynamic-profile/view/1870821","18-1870821")</f>
        <v>0</v>
      </c>
      <c r="B1561" t="s">
        <v>79</v>
      </c>
      <c r="C1561" t="s">
        <v>105</v>
      </c>
      <c r="D1561" t="s">
        <v>552</v>
      </c>
      <c r="F1561" t="s">
        <v>1467</v>
      </c>
      <c r="G1561" t="s">
        <v>2339</v>
      </c>
      <c r="H1561" t="s">
        <v>3203</v>
      </c>
      <c r="I1561" t="s">
        <v>3279</v>
      </c>
      <c r="J1561" t="s">
        <v>3604</v>
      </c>
      <c r="K1561">
        <v>10029</v>
      </c>
      <c r="L1561" t="s">
        <v>3610</v>
      </c>
      <c r="M1561" t="s">
        <v>3610</v>
      </c>
      <c r="N1561" t="s">
        <v>4163</v>
      </c>
      <c r="O1561" t="s">
        <v>4210</v>
      </c>
      <c r="P1561" t="s">
        <v>4241</v>
      </c>
      <c r="R1561" t="s">
        <v>4258</v>
      </c>
      <c r="S1561" t="s">
        <v>3611</v>
      </c>
      <c r="U1561" t="s">
        <v>4268</v>
      </c>
      <c r="V1561" t="s">
        <v>4274</v>
      </c>
      <c r="W1561" t="s">
        <v>4293</v>
      </c>
      <c r="X1561">
        <v>101</v>
      </c>
      <c r="Y1561" t="s">
        <v>4351</v>
      </c>
      <c r="Z1561" t="s">
        <v>4360</v>
      </c>
      <c r="AA1561" t="s">
        <v>4389</v>
      </c>
      <c r="AB1561" t="s">
        <v>5613</v>
      </c>
      <c r="AD1561" t="s">
        <v>6952</v>
      </c>
      <c r="AE1561">
        <v>23</v>
      </c>
      <c r="AF1561" t="s">
        <v>7104</v>
      </c>
      <c r="AG1561" t="s">
        <v>3745</v>
      </c>
      <c r="AH1561">
        <v>36</v>
      </c>
      <c r="AI1561">
        <v>1</v>
      </c>
      <c r="AJ1561">
        <v>0</v>
      </c>
      <c r="AK1561">
        <v>280.07</v>
      </c>
      <c r="AL1561" t="s">
        <v>7131</v>
      </c>
      <c r="AM1561" t="s">
        <v>7134</v>
      </c>
      <c r="AN1561" t="s">
        <v>7138</v>
      </c>
      <c r="AO1561">
        <v>34000</v>
      </c>
      <c r="AU1561">
        <v>18.4</v>
      </c>
      <c r="AV1561" t="s">
        <v>501</v>
      </c>
      <c r="AW1561" t="s">
        <v>7346</v>
      </c>
    </row>
    <row r="1562" spans="1:50">
      <c r="A1562" s="1">
        <f>HYPERLINK("https://lsnyc.legalserver.org/matter/dynamic-profile/view/1836016","17-1836016")</f>
        <v>0</v>
      </c>
      <c r="B1562" t="s">
        <v>53</v>
      </c>
      <c r="C1562" t="s">
        <v>104</v>
      </c>
      <c r="D1562" t="s">
        <v>449</v>
      </c>
      <c r="E1562" t="s">
        <v>260</v>
      </c>
      <c r="F1562" t="s">
        <v>725</v>
      </c>
      <c r="G1562" t="s">
        <v>2340</v>
      </c>
      <c r="H1562" t="s">
        <v>2734</v>
      </c>
      <c r="I1562" t="s">
        <v>3294</v>
      </c>
      <c r="J1562" t="s">
        <v>3604</v>
      </c>
      <c r="K1562">
        <v>10040</v>
      </c>
      <c r="L1562" t="s">
        <v>3610</v>
      </c>
      <c r="M1562" t="s">
        <v>3609</v>
      </c>
      <c r="N1562" t="s">
        <v>4164</v>
      </c>
      <c r="O1562" t="s">
        <v>4209</v>
      </c>
      <c r="P1562" t="s">
        <v>4241</v>
      </c>
      <c r="Q1562" t="s">
        <v>4248</v>
      </c>
      <c r="R1562" t="s">
        <v>4258</v>
      </c>
      <c r="S1562" t="s">
        <v>3610</v>
      </c>
      <c r="U1562" t="s">
        <v>4268</v>
      </c>
      <c r="W1562" t="s">
        <v>4282</v>
      </c>
      <c r="X1562">
        <v>1586</v>
      </c>
      <c r="Y1562" t="s">
        <v>4351</v>
      </c>
      <c r="Z1562" t="s">
        <v>4352</v>
      </c>
      <c r="AA1562" t="s">
        <v>4375</v>
      </c>
      <c r="AB1562" t="s">
        <v>5614</v>
      </c>
      <c r="AD1562" t="s">
        <v>6953</v>
      </c>
      <c r="AE1562">
        <v>43</v>
      </c>
      <c r="AF1562" t="s">
        <v>7101</v>
      </c>
      <c r="AG1562" t="s">
        <v>3745</v>
      </c>
      <c r="AH1562">
        <v>7</v>
      </c>
      <c r="AI1562">
        <v>3</v>
      </c>
      <c r="AJ1562">
        <v>2</v>
      </c>
      <c r="AK1562">
        <v>281.45</v>
      </c>
      <c r="AL1562" t="s">
        <v>7130</v>
      </c>
      <c r="AN1562" t="s">
        <v>7139</v>
      </c>
      <c r="AO1562">
        <v>81000</v>
      </c>
      <c r="AU1562">
        <v>22.5</v>
      </c>
      <c r="AV1562" t="s">
        <v>240</v>
      </c>
      <c r="AW1562" t="s">
        <v>7341</v>
      </c>
    </row>
    <row r="1563" spans="1:50">
      <c r="A1563" s="1">
        <f>HYPERLINK("https://lsnyc.legalserver.org/matter/dynamic-profile/view/1856879","18-1856879")</f>
        <v>0</v>
      </c>
      <c r="B1563" t="s">
        <v>93</v>
      </c>
      <c r="C1563" t="s">
        <v>104</v>
      </c>
      <c r="D1563" t="s">
        <v>333</v>
      </c>
      <c r="E1563" t="s">
        <v>385</v>
      </c>
      <c r="F1563" t="s">
        <v>854</v>
      </c>
      <c r="G1563" t="s">
        <v>2341</v>
      </c>
      <c r="H1563" t="s">
        <v>3135</v>
      </c>
      <c r="J1563" t="s">
        <v>3604</v>
      </c>
      <c r="K1563">
        <v>10029</v>
      </c>
      <c r="L1563" t="s">
        <v>3610</v>
      </c>
      <c r="M1563" t="s">
        <v>3610</v>
      </c>
      <c r="N1563" t="s">
        <v>4165</v>
      </c>
      <c r="O1563" t="s">
        <v>4210</v>
      </c>
      <c r="P1563" t="s">
        <v>4242</v>
      </c>
      <c r="Q1563" t="s">
        <v>4250</v>
      </c>
      <c r="R1563" t="s">
        <v>4258</v>
      </c>
      <c r="S1563" t="s">
        <v>3611</v>
      </c>
      <c r="U1563" t="s">
        <v>4268</v>
      </c>
      <c r="V1563" t="s">
        <v>4274</v>
      </c>
      <c r="W1563" t="s">
        <v>333</v>
      </c>
      <c r="X1563">
        <v>854</v>
      </c>
      <c r="Y1563" t="s">
        <v>4351</v>
      </c>
      <c r="Z1563" t="s">
        <v>4228</v>
      </c>
      <c r="AA1563" t="s">
        <v>4373</v>
      </c>
      <c r="AB1563" t="s">
        <v>5615</v>
      </c>
      <c r="AD1563" t="s">
        <v>6954</v>
      </c>
      <c r="AE1563">
        <v>8</v>
      </c>
      <c r="AF1563" t="s">
        <v>7101</v>
      </c>
      <c r="AG1563" t="s">
        <v>3745</v>
      </c>
      <c r="AH1563">
        <v>23</v>
      </c>
      <c r="AI1563">
        <v>3</v>
      </c>
      <c r="AJ1563">
        <v>1</v>
      </c>
      <c r="AK1563">
        <v>281.5</v>
      </c>
      <c r="AL1563" t="s">
        <v>7130</v>
      </c>
      <c r="AN1563" t="s">
        <v>7139</v>
      </c>
      <c r="AO1563">
        <v>69248</v>
      </c>
      <c r="AU1563">
        <v>0.5</v>
      </c>
      <c r="AV1563" t="s">
        <v>444</v>
      </c>
      <c r="AW1563" t="s">
        <v>7341</v>
      </c>
    </row>
    <row r="1564" spans="1:50">
      <c r="A1564" s="1">
        <f>HYPERLINK("https://lsnyc.legalserver.org/matter/dynamic-profile/view/1858255","18-1858255")</f>
        <v>0</v>
      </c>
      <c r="B1564" t="s">
        <v>53</v>
      </c>
      <c r="C1564" t="s">
        <v>104</v>
      </c>
      <c r="D1564" t="s">
        <v>316</v>
      </c>
      <c r="E1564" t="s">
        <v>335</v>
      </c>
      <c r="F1564" t="s">
        <v>801</v>
      </c>
      <c r="G1564" t="s">
        <v>1917</v>
      </c>
      <c r="H1564" t="s">
        <v>2711</v>
      </c>
      <c r="I1564">
        <v>27</v>
      </c>
      <c r="J1564" t="s">
        <v>3604</v>
      </c>
      <c r="K1564">
        <v>10034</v>
      </c>
      <c r="L1564" t="s">
        <v>3610</v>
      </c>
      <c r="M1564" t="s">
        <v>3609</v>
      </c>
      <c r="N1564" t="s">
        <v>4166</v>
      </c>
      <c r="O1564" t="s">
        <v>4210</v>
      </c>
      <c r="P1564" t="s">
        <v>4241</v>
      </c>
      <c r="Q1564" t="s">
        <v>4248</v>
      </c>
      <c r="R1564" t="s">
        <v>4258</v>
      </c>
      <c r="S1564" t="s">
        <v>3611</v>
      </c>
      <c r="U1564" t="s">
        <v>4268</v>
      </c>
      <c r="W1564" t="s">
        <v>316</v>
      </c>
      <c r="X1564">
        <v>959.05</v>
      </c>
      <c r="Y1564" t="s">
        <v>4351</v>
      </c>
      <c r="Z1564" t="s">
        <v>4354</v>
      </c>
      <c r="AA1564" t="s">
        <v>4374</v>
      </c>
      <c r="AB1564" t="s">
        <v>5431</v>
      </c>
      <c r="AD1564" t="s">
        <v>6955</v>
      </c>
      <c r="AE1564">
        <v>44</v>
      </c>
      <c r="AF1564" t="s">
        <v>7101</v>
      </c>
      <c r="AG1564" t="s">
        <v>3745</v>
      </c>
      <c r="AH1564">
        <v>22</v>
      </c>
      <c r="AI1564">
        <v>3</v>
      </c>
      <c r="AJ1564">
        <v>0</v>
      </c>
      <c r="AK1564">
        <v>283.6</v>
      </c>
      <c r="AL1564" t="s">
        <v>7130</v>
      </c>
      <c r="AN1564" t="s">
        <v>7138</v>
      </c>
      <c r="AO1564">
        <v>57912</v>
      </c>
      <c r="AU1564">
        <v>3.75</v>
      </c>
      <c r="AV1564" t="s">
        <v>410</v>
      </c>
      <c r="AW1564" t="s">
        <v>7342</v>
      </c>
    </row>
    <row r="1565" spans="1:50">
      <c r="A1565" s="1">
        <f>HYPERLINK("https://lsnyc.legalserver.org/matter/dynamic-profile/view/1869745","18-1869745")</f>
        <v>0</v>
      </c>
      <c r="B1565" t="s">
        <v>63</v>
      </c>
      <c r="C1565" t="s">
        <v>104</v>
      </c>
      <c r="D1565" t="s">
        <v>588</v>
      </c>
      <c r="E1565" t="s">
        <v>263</v>
      </c>
      <c r="F1565" t="s">
        <v>1468</v>
      </c>
      <c r="G1565" t="s">
        <v>1961</v>
      </c>
      <c r="H1565" t="s">
        <v>3204</v>
      </c>
      <c r="I1565" t="s">
        <v>3348</v>
      </c>
      <c r="J1565" t="s">
        <v>3604</v>
      </c>
      <c r="K1565">
        <v>10034</v>
      </c>
      <c r="L1565" t="s">
        <v>3610</v>
      </c>
      <c r="M1565" t="s">
        <v>3609</v>
      </c>
      <c r="O1565" t="s">
        <v>4220</v>
      </c>
      <c r="P1565" t="s">
        <v>4245</v>
      </c>
      <c r="Q1565" t="s">
        <v>4249</v>
      </c>
      <c r="R1565" t="s">
        <v>4258</v>
      </c>
      <c r="S1565" t="s">
        <v>3611</v>
      </c>
      <c r="U1565" t="s">
        <v>4268</v>
      </c>
      <c r="W1565" t="s">
        <v>588</v>
      </c>
      <c r="X1565">
        <v>1300</v>
      </c>
      <c r="Y1565" t="s">
        <v>4351</v>
      </c>
      <c r="Z1565" t="s">
        <v>4354</v>
      </c>
      <c r="AA1565" t="s">
        <v>4373</v>
      </c>
      <c r="AB1565" t="s">
        <v>5616</v>
      </c>
      <c r="AD1565" t="s">
        <v>6956</v>
      </c>
      <c r="AE1565">
        <v>0</v>
      </c>
      <c r="AF1565" t="s">
        <v>7101</v>
      </c>
      <c r="AG1565" t="s">
        <v>3745</v>
      </c>
      <c r="AH1565">
        <v>6</v>
      </c>
      <c r="AI1565">
        <v>2</v>
      </c>
      <c r="AJ1565">
        <v>0</v>
      </c>
      <c r="AK1565">
        <v>284.33</v>
      </c>
      <c r="AN1565" t="s">
        <v>7139</v>
      </c>
      <c r="AO1565">
        <v>46800</v>
      </c>
      <c r="AU1565">
        <v>0.2</v>
      </c>
      <c r="AV1565" t="s">
        <v>435</v>
      </c>
      <c r="AW1565" t="s">
        <v>7342</v>
      </c>
    </row>
    <row r="1566" spans="1:50">
      <c r="A1566" s="1">
        <f>HYPERLINK("https://lsnyc.legalserver.org/matter/dynamic-profile/view/1854865","17-1854865")</f>
        <v>0</v>
      </c>
      <c r="B1566" t="s">
        <v>59</v>
      </c>
      <c r="C1566" t="s">
        <v>104</v>
      </c>
      <c r="D1566" t="s">
        <v>480</v>
      </c>
      <c r="E1566" t="s">
        <v>687</v>
      </c>
      <c r="F1566" t="s">
        <v>1469</v>
      </c>
      <c r="G1566" t="s">
        <v>2342</v>
      </c>
      <c r="H1566" t="s">
        <v>3205</v>
      </c>
      <c r="I1566">
        <v>6</v>
      </c>
      <c r="J1566" t="s">
        <v>3604</v>
      </c>
      <c r="K1566">
        <v>10075</v>
      </c>
      <c r="L1566" t="s">
        <v>3610</v>
      </c>
      <c r="M1566" t="s">
        <v>3609</v>
      </c>
      <c r="N1566" t="s">
        <v>4167</v>
      </c>
      <c r="O1566" t="s">
        <v>4210</v>
      </c>
      <c r="P1566" t="s">
        <v>4245</v>
      </c>
      <c r="Q1566" t="s">
        <v>4250</v>
      </c>
      <c r="R1566" t="s">
        <v>4258</v>
      </c>
      <c r="S1566" t="s">
        <v>3611</v>
      </c>
      <c r="T1566" t="s">
        <v>4259</v>
      </c>
      <c r="U1566" t="s">
        <v>4268</v>
      </c>
      <c r="W1566" t="s">
        <v>428</v>
      </c>
      <c r="X1566">
        <v>1800</v>
      </c>
      <c r="Y1566" t="s">
        <v>4351</v>
      </c>
      <c r="Z1566" t="s">
        <v>4354</v>
      </c>
      <c r="AA1566" t="s">
        <v>4373</v>
      </c>
      <c r="AB1566" t="s">
        <v>5617</v>
      </c>
      <c r="AD1566" t="s">
        <v>6957</v>
      </c>
      <c r="AE1566">
        <v>30</v>
      </c>
      <c r="AF1566" t="s">
        <v>7103</v>
      </c>
      <c r="AG1566" t="s">
        <v>3745</v>
      </c>
      <c r="AH1566">
        <v>8</v>
      </c>
      <c r="AI1566">
        <v>1</v>
      </c>
      <c r="AJ1566">
        <v>0</v>
      </c>
      <c r="AK1566">
        <v>284.58</v>
      </c>
      <c r="AL1566" t="s">
        <v>7130</v>
      </c>
      <c r="AN1566" t="s">
        <v>7138</v>
      </c>
      <c r="AO1566">
        <v>34320</v>
      </c>
      <c r="AU1566">
        <v>0.4</v>
      </c>
      <c r="AV1566" t="s">
        <v>376</v>
      </c>
      <c r="AW1566" t="s">
        <v>7344</v>
      </c>
    </row>
    <row r="1567" spans="1:50">
      <c r="A1567" s="1">
        <f>HYPERLINK("https://lsnyc.legalserver.org/matter/dynamic-profile/view/1848339","17-1848339")</f>
        <v>0</v>
      </c>
      <c r="B1567" t="s">
        <v>56</v>
      </c>
      <c r="C1567" t="s">
        <v>104</v>
      </c>
      <c r="D1567" t="s">
        <v>623</v>
      </c>
      <c r="E1567" t="s">
        <v>669</v>
      </c>
      <c r="F1567" t="s">
        <v>1021</v>
      </c>
      <c r="G1567" t="s">
        <v>1983</v>
      </c>
      <c r="H1567" t="s">
        <v>2655</v>
      </c>
      <c r="I1567">
        <v>33</v>
      </c>
      <c r="J1567" t="s">
        <v>3604</v>
      </c>
      <c r="K1567">
        <v>10034</v>
      </c>
      <c r="L1567" t="s">
        <v>3610</v>
      </c>
      <c r="M1567" t="s">
        <v>3610</v>
      </c>
      <c r="N1567" t="s">
        <v>4168</v>
      </c>
      <c r="O1567" t="s">
        <v>4210</v>
      </c>
      <c r="P1567" t="s">
        <v>4241</v>
      </c>
      <c r="Q1567" t="s">
        <v>4248</v>
      </c>
      <c r="R1567" t="s">
        <v>4258</v>
      </c>
      <c r="S1567" t="s">
        <v>3611</v>
      </c>
      <c r="U1567" t="s">
        <v>4268</v>
      </c>
      <c r="W1567" t="s">
        <v>349</v>
      </c>
      <c r="X1567">
        <v>1250</v>
      </c>
      <c r="Y1567" t="s">
        <v>4351</v>
      </c>
      <c r="Z1567" t="s">
        <v>4354</v>
      </c>
      <c r="AA1567" t="s">
        <v>4384</v>
      </c>
      <c r="AB1567" t="s">
        <v>5618</v>
      </c>
      <c r="AD1567" t="s">
        <v>6958</v>
      </c>
      <c r="AE1567">
        <v>25</v>
      </c>
      <c r="AF1567" t="s">
        <v>7101</v>
      </c>
      <c r="AG1567" t="s">
        <v>3745</v>
      </c>
      <c r="AH1567">
        <v>3</v>
      </c>
      <c r="AI1567">
        <v>2</v>
      </c>
      <c r="AJ1567">
        <v>0</v>
      </c>
      <c r="AK1567">
        <v>285.15</v>
      </c>
      <c r="AL1567" t="s">
        <v>7130</v>
      </c>
      <c r="AN1567" t="s">
        <v>7138</v>
      </c>
      <c r="AO1567">
        <v>46308</v>
      </c>
      <c r="AU1567">
        <v>89.8</v>
      </c>
      <c r="AV1567" t="s">
        <v>262</v>
      </c>
      <c r="AW1567" t="s">
        <v>7342</v>
      </c>
    </row>
    <row r="1568" spans="1:50">
      <c r="A1568" s="1">
        <f>HYPERLINK("https://lsnyc.legalserver.org/matter/dynamic-profile/view/0831153","17-0831153")</f>
        <v>0</v>
      </c>
      <c r="B1568" t="s">
        <v>64</v>
      </c>
      <c r="C1568" t="s">
        <v>104</v>
      </c>
      <c r="D1568" t="s">
        <v>638</v>
      </c>
      <c r="E1568" t="s">
        <v>521</v>
      </c>
      <c r="F1568" t="s">
        <v>738</v>
      </c>
      <c r="G1568" t="s">
        <v>1656</v>
      </c>
      <c r="H1568" t="s">
        <v>2576</v>
      </c>
      <c r="I1568" t="s">
        <v>3342</v>
      </c>
      <c r="J1568" t="s">
        <v>3604</v>
      </c>
      <c r="K1568">
        <v>10040</v>
      </c>
      <c r="L1568" t="s">
        <v>3609</v>
      </c>
      <c r="M1568" t="s">
        <v>3609</v>
      </c>
      <c r="N1568" t="s">
        <v>4038</v>
      </c>
      <c r="O1568" t="s">
        <v>4213</v>
      </c>
      <c r="P1568" t="s">
        <v>4241</v>
      </c>
      <c r="Q1568" t="s">
        <v>4248</v>
      </c>
      <c r="R1568" t="s">
        <v>4258</v>
      </c>
      <c r="S1568" t="s">
        <v>3610</v>
      </c>
      <c r="U1568" t="s">
        <v>4268</v>
      </c>
      <c r="W1568" t="s">
        <v>565</v>
      </c>
      <c r="X1568">
        <v>1296.53</v>
      </c>
      <c r="Y1568" t="s">
        <v>4351</v>
      </c>
      <c r="Z1568" t="s">
        <v>4352</v>
      </c>
      <c r="AA1568" t="s">
        <v>4379</v>
      </c>
      <c r="AB1568" t="s">
        <v>5619</v>
      </c>
      <c r="AD1568" t="s">
        <v>6959</v>
      </c>
      <c r="AE1568">
        <v>83</v>
      </c>
      <c r="AF1568" t="s">
        <v>7101</v>
      </c>
      <c r="AG1568" t="s">
        <v>7118</v>
      </c>
      <c r="AH1568">
        <v>22</v>
      </c>
      <c r="AI1568">
        <v>2</v>
      </c>
      <c r="AJ1568">
        <v>0</v>
      </c>
      <c r="AK1568">
        <v>286.03</v>
      </c>
      <c r="AL1568" t="s">
        <v>7130</v>
      </c>
      <c r="AN1568" t="s">
        <v>7138</v>
      </c>
      <c r="AO1568">
        <v>46452</v>
      </c>
      <c r="AU1568">
        <v>0</v>
      </c>
      <c r="AV1568" t="s">
        <v>191</v>
      </c>
      <c r="AW1568" t="s">
        <v>7341</v>
      </c>
    </row>
    <row r="1569" spans="1:50">
      <c r="A1569" s="1">
        <f>HYPERLINK("https://lsnyc.legalserver.org/matter/dynamic-profile/view/0831160","17-0831160")</f>
        <v>0</v>
      </c>
      <c r="B1569" t="s">
        <v>64</v>
      </c>
      <c r="C1569" t="s">
        <v>104</v>
      </c>
      <c r="D1569" t="s">
        <v>638</v>
      </c>
      <c r="E1569" t="s">
        <v>521</v>
      </c>
      <c r="F1569" t="s">
        <v>738</v>
      </c>
      <c r="G1569" t="s">
        <v>1656</v>
      </c>
      <c r="H1569" t="s">
        <v>2576</v>
      </c>
      <c r="I1569" t="s">
        <v>3342</v>
      </c>
      <c r="J1569" t="s">
        <v>3604</v>
      </c>
      <c r="K1569">
        <v>10040</v>
      </c>
      <c r="L1569" t="s">
        <v>3610</v>
      </c>
      <c r="M1569" t="s">
        <v>3609</v>
      </c>
      <c r="O1569" t="s">
        <v>4211</v>
      </c>
      <c r="P1569" t="s">
        <v>4244</v>
      </c>
      <c r="Q1569" t="s">
        <v>4254</v>
      </c>
      <c r="R1569" t="s">
        <v>4258</v>
      </c>
      <c r="S1569" t="s">
        <v>3610</v>
      </c>
      <c r="U1569" t="s">
        <v>4268</v>
      </c>
      <c r="W1569" t="s">
        <v>565</v>
      </c>
      <c r="X1569">
        <v>1296.53</v>
      </c>
      <c r="Y1569" t="s">
        <v>4351</v>
      </c>
      <c r="Z1569" t="s">
        <v>4352</v>
      </c>
      <c r="AA1569" t="s">
        <v>4379</v>
      </c>
      <c r="AB1569" t="s">
        <v>5619</v>
      </c>
      <c r="AD1569" t="s">
        <v>6959</v>
      </c>
      <c r="AE1569">
        <v>83</v>
      </c>
      <c r="AF1569" t="s">
        <v>7101</v>
      </c>
      <c r="AG1569" t="s">
        <v>7118</v>
      </c>
      <c r="AH1569">
        <v>22</v>
      </c>
      <c r="AI1569">
        <v>2</v>
      </c>
      <c r="AJ1569">
        <v>0</v>
      </c>
      <c r="AK1569">
        <v>286.03</v>
      </c>
      <c r="AL1569" t="s">
        <v>7130</v>
      </c>
      <c r="AN1569" t="s">
        <v>7138</v>
      </c>
      <c r="AO1569">
        <v>57312</v>
      </c>
      <c r="AU1569">
        <v>0.1</v>
      </c>
      <c r="AV1569" t="s">
        <v>521</v>
      </c>
      <c r="AW1569" t="s">
        <v>7341</v>
      </c>
    </row>
    <row r="1570" spans="1:50">
      <c r="A1570" s="1">
        <f>HYPERLINK("https://lsnyc.legalserver.org/matter/dynamic-profile/view/1866650","18-1866650")</f>
        <v>0</v>
      </c>
      <c r="B1570" t="s">
        <v>61</v>
      </c>
      <c r="C1570" t="s">
        <v>104</v>
      </c>
      <c r="D1570" t="s">
        <v>413</v>
      </c>
      <c r="E1570" t="s">
        <v>662</v>
      </c>
      <c r="F1570" t="s">
        <v>1470</v>
      </c>
      <c r="G1570" t="s">
        <v>1587</v>
      </c>
      <c r="H1570" t="s">
        <v>2960</v>
      </c>
      <c r="I1570" t="s">
        <v>3344</v>
      </c>
      <c r="J1570" t="s">
        <v>3604</v>
      </c>
      <c r="K1570">
        <v>10040</v>
      </c>
      <c r="L1570" t="s">
        <v>3610</v>
      </c>
      <c r="M1570" t="s">
        <v>3609</v>
      </c>
      <c r="O1570" t="s">
        <v>4219</v>
      </c>
      <c r="P1570" t="s">
        <v>4245</v>
      </c>
      <c r="Q1570" t="s">
        <v>4249</v>
      </c>
      <c r="R1570" t="s">
        <v>4258</v>
      </c>
      <c r="S1570" t="s">
        <v>3611</v>
      </c>
      <c r="U1570" t="s">
        <v>4268</v>
      </c>
      <c r="W1570" t="s">
        <v>413</v>
      </c>
      <c r="X1570">
        <v>1475</v>
      </c>
      <c r="Y1570" t="s">
        <v>4351</v>
      </c>
      <c r="Z1570" t="s">
        <v>4359</v>
      </c>
      <c r="AA1570" t="s">
        <v>4377</v>
      </c>
      <c r="AB1570" t="s">
        <v>5620</v>
      </c>
      <c r="AD1570" t="s">
        <v>6960</v>
      </c>
      <c r="AE1570">
        <v>0</v>
      </c>
      <c r="AF1570" t="s">
        <v>7101</v>
      </c>
      <c r="AG1570" t="s">
        <v>3745</v>
      </c>
      <c r="AH1570">
        <v>5</v>
      </c>
      <c r="AI1570">
        <v>2</v>
      </c>
      <c r="AJ1570">
        <v>0</v>
      </c>
      <c r="AK1570">
        <v>286.34</v>
      </c>
      <c r="AL1570" t="s">
        <v>7130</v>
      </c>
      <c r="AN1570" t="s">
        <v>7139</v>
      </c>
      <c r="AO1570">
        <v>47132</v>
      </c>
      <c r="AU1570">
        <v>3.3</v>
      </c>
      <c r="AV1570" t="s">
        <v>670</v>
      </c>
      <c r="AW1570" t="s">
        <v>7342</v>
      </c>
    </row>
    <row r="1571" spans="1:50">
      <c r="A1571" s="1">
        <f>HYPERLINK("https://lsnyc.legalserver.org/matter/dynamic-profile/view/1864170","18-1864170")</f>
        <v>0</v>
      </c>
      <c r="B1571" t="s">
        <v>62</v>
      </c>
      <c r="C1571" t="s">
        <v>105</v>
      </c>
      <c r="D1571" t="s">
        <v>161</v>
      </c>
      <c r="F1571" t="s">
        <v>1050</v>
      </c>
      <c r="G1571" t="s">
        <v>2343</v>
      </c>
      <c r="H1571" t="s">
        <v>2482</v>
      </c>
      <c r="I1571" t="s">
        <v>3572</v>
      </c>
      <c r="J1571" t="s">
        <v>3604</v>
      </c>
      <c r="K1571">
        <v>10034</v>
      </c>
      <c r="L1571" t="s">
        <v>3610</v>
      </c>
      <c r="M1571" t="s">
        <v>3609</v>
      </c>
      <c r="O1571" t="s">
        <v>4213</v>
      </c>
      <c r="P1571" t="s">
        <v>4245</v>
      </c>
      <c r="R1571" t="s">
        <v>4258</v>
      </c>
      <c r="S1571" t="s">
        <v>3611</v>
      </c>
      <c r="T1571" t="s">
        <v>4259</v>
      </c>
      <c r="U1571" t="s">
        <v>4268</v>
      </c>
      <c r="W1571" t="s">
        <v>161</v>
      </c>
      <c r="X1571">
        <v>960</v>
      </c>
      <c r="Y1571" t="s">
        <v>4351</v>
      </c>
      <c r="Z1571" t="s">
        <v>4354</v>
      </c>
      <c r="AB1571" t="s">
        <v>5621</v>
      </c>
      <c r="AD1571" t="s">
        <v>6961</v>
      </c>
      <c r="AE1571">
        <v>228</v>
      </c>
      <c r="AF1571" t="s">
        <v>7101</v>
      </c>
      <c r="AG1571" t="s">
        <v>3745</v>
      </c>
      <c r="AH1571">
        <v>18</v>
      </c>
      <c r="AI1571">
        <v>1</v>
      </c>
      <c r="AJ1571">
        <v>0</v>
      </c>
      <c r="AK1571">
        <v>288.3</v>
      </c>
      <c r="AL1571" t="s">
        <v>7130</v>
      </c>
      <c r="AN1571" t="s">
        <v>7138</v>
      </c>
      <c r="AO1571">
        <v>35000</v>
      </c>
      <c r="AU1571">
        <v>12</v>
      </c>
      <c r="AV1571" t="s">
        <v>426</v>
      </c>
      <c r="AW1571" t="s">
        <v>7342</v>
      </c>
    </row>
    <row r="1572" spans="1:50">
      <c r="A1572" s="1">
        <f>HYPERLINK("https://lsnyc.legalserver.org/matter/dynamic-profile/view/1870541","18-1870541")</f>
        <v>0</v>
      </c>
      <c r="B1572" t="s">
        <v>63</v>
      </c>
      <c r="C1572" t="s">
        <v>104</v>
      </c>
      <c r="D1572" t="s">
        <v>141</v>
      </c>
      <c r="E1572" t="s">
        <v>377</v>
      </c>
      <c r="F1572" t="s">
        <v>872</v>
      </c>
      <c r="G1572" t="s">
        <v>2344</v>
      </c>
      <c r="H1572" t="s">
        <v>2494</v>
      </c>
      <c r="I1572" t="s">
        <v>3341</v>
      </c>
      <c r="J1572" t="s">
        <v>3604</v>
      </c>
      <c r="K1572">
        <v>10032</v>
      </c>
      <c r="L1572" t="s">
        <v>3610</v>
      </c>
      <c r="M1572" t="s">
        <v>3609</v>
      </c>
      <c r="O1572" t="s">
        <v>4220</v>
      </c>
      <c r="P1572" t="s">
        <v>4245</v>
      </c>
      <c r="Q1572" t="s">
        <v>4250</v>
      </c>
      <c r="R1572" t="s">
        <v>4258</v>
      </c>
      <c r="S1572" t="s">
        <v>3610</v>
      </c>
      <c r="U1572" t="s">
        <v>4268</v>
      </c>
      <c r="W1572" t="s">
        <v>4284</v>
      </c>
      <c r="X1572">
        <v>913.63</v>
      </c>
      <c r="Y1572" t="s">
        <v>4351</v>
      </c>
      <c r="Z1572" t="s">
        <v>4354</v>
      </c>
      <c r="AA1572" t="s">
        <v>4378</v>
      </c>
      <c r="AD1572" t="s">
        <v>6962</v>
      </c>
      <c r="AE1572">
        <v>49</v>
      </c>
      <c r="AF1572" t="s">
        <v>7101</v>
      </c>
      <c r="AG1572" t="s">
        <v>3745</v>
      </c>
      <c r="AH1572">
        <v>17</v>
      </c>
      <c r="AI1572">
        <v>1</v>
      </c>
      <c r="AJ1572">
        <v>0</v>
      </c>
      <c r="AK1572">
        <v>288.3</v>
      </c>
      <c r="AN1572" t="s">
        <v>7139</v>
      </c>
      <c r="AO1572">
        <v>35000</v>
      </c>
      <c r="AU1572">
        <v>0</v>
      </c>
      <c r="AV1572" t="s">
        <v>552</v>
      </c>
      <c r="AW1572" t="s">
        <v>7342</v>
      </c>
    </row>
    <row r="1573" spans="1:50">
      <c r="A1573" s="1">
        <f>HYPERLINK("https://lsnyc.legalserver.org/matter/dynamic-profile/view/1870538","18-1870538")</f>
        <v>0</v>
      </c>
      <c r="B1573" t="s">
        <v>63</v>
      </c>
      <c r="C1573" t="s">
        <v>104</v>
      </c>
      <c r="D1573" t="s">
        <v>141</v>
      </c>
      <c r="E1573" t="s">
        <v>377</v>
      </c>
      <c r="F1573" t="s">
        <v>872</v>
      </c>
      <c r="G1573" t="s">
        <v>2344</v>
      </c>
      <c r="H1573" t="s">
        <v>2494</v>
      </c>
      <c r="I1573" t="s">
        <v>3341</v>
      </c>
      <c r="J1573" t="s">
        <v>3604</v>
      </c>
      <c r="K1573">
        <v>10032</v>
      </c>
      <c r="L1573" t="s">
        <v>3610</v>
      </c>
      <c r="M1573" t="s">
        <v>3609</v>
      </c>
      <c r="O1573" t="s">
        <v>4219</v>
      </c>
      <c r="P1573" t="s">
        <v>4242</v>
      </c>
      <c r="Q1573" t="s">
        <v>4250</v>
      </c>
      <c r="R1573" t="s">
        <v>4258</v>
      </c>
      <c r="S1573" t="s">
        <v>3610</v>
      </c>
      <c r="U1573" t="s">
        <v>4268</v>
      </c>
      <c r="W1573" t="s">
        <v>4284</v>
      </c>
      <c r="X1573">
        <v>913.63</v>
      </c>
      <c r="Y1573" t="s">
        <v>4351</v>
      </c>
      <c r="Z1573" t="s">
        <v>4370</v>
      </c>
      <c r="AA1573" t="s">
        <v>4379</v>
      </c>
      <c r="AD1573" t="s">
        <v>6962</v>
      </c>
      <c r="AE1573">
        <v>49</v>
      </c>
      <c r="AF1573" t="s">
        <v>7101</v>
      </c>
      <c r="AG1573" t="s">
        <v>3745</v>
      </c>
      <c r="AH1573">
        <v>17</v>
      </c>
      <c r="AI1573">
        <v>1</v>
      </c>
      <c r="AJ1573">
        <v>0</v>
      </c>
      <c r="AK1573">
        <v>288.3</v>
      </c>
      <c r="AN1573" t="s">
        <v>7139</v>
      </c>
      <c r="AO1573">
        <v>35000</v>
      </c>
      <c r="AU1573">
        <v>0</v>
      </c>
      <c r="AV1573" t="s">
        <v>552</v>
      </c>
      <c r="AW1573" t="s">
        <v>7342</v>
      </c>
    </row>
    <row r="1574" spans="1:50">
      <c r="A1574" s="1">
        <f>HYPERLINK("https://lsnyc.legalserver.org/matter/dynamic-profile/view/1859316","18-1859316")</f>
        <v>0</v>
      </c>
      <c r="B1574" t="s">
        <v>64</v>
      </c>
      <c r="C1574" t="s">
        <v>104</v>
      </c>
      <c r="D1574" t="s">
        <v>237</v>
      </c>
      <c r="E1574" t="s">
        <v>664</v>
      </c>
      <c r="F1574" t="s">
        <v>820</v>
      </c>
      <c r="G1574" t="s">
        <v>1769</v>
      </c>
      <c r="H1574" t="s">
        <v>2671</v>
      </c>
      <c r="I1574">
        <v>21</v>
      </c>
      <c r="J1574" t="s">
        <v>3604</v>
      </c>
      <c r="K1574">
        <v>10034</v>
      </c>
      <c r="L1574" t="s">
        <v>3610</v>
      </c>
      <c r="M1574" t="s">
        <v>3609</v>
      </c>
      <c r="O1574" t="s">
        <v>4219</v>
      </c>
      <c r="P1574" t="s">
        <v>4244</v>
      </c>
      <c r="Q1574" t="s">
        <v>4254</v>
      </c>
      <c r="R1574" t="s">
        <v>4258</v>
      </c>
      <c r="S1574" t="s">
        <v>3611</v>
      </c>
      <c r="U1574" t="s">
        <v>4268</v>
      </c>
      <c r="W1574" t="s">
        <v>237</v>
      </c>
      <c r="X1574">
        <v>1395.35</v>
      </c>
      <c r="Y1574" t="s">
        <v>4351</v>
      </c>
      <c r="Z1574" t="s">
        <v>4354</v>
      </c>
      <c r="AA1574" t="s">
        <v>4377</v>
      </c>
      <c r="AB1574" t="s">
        <v>5114</v>
      </c>
      <c r="AD1574" t="s">
        <v>6486</v>
      </c>
      <c r="AE1574">
        <v>20</v>
      </c>
      <c r="AF1574" t="s">
        <v>7101</v>
      </c>
      <c r="AG1574" t="s">
        <v>3745</v>
      </c>
      <c r="AH1574">
        <v>22</v>
      </c>
      <c r="AI1574">
        <v>3</v>
      </c>
      <c r="AJ1574">
        <v>2</v>
      </c>
      <c r="AK1574">
        <v>289.09</v>
      </c>
      <c r="AL1574" t="s">
        <v>7130</v>
      </c>
      <c r="AN1574" t="s">
        <v>7139</v>
      </c>
      <c r="AO1574">
        <v>83200</v>
      </c>
      <c r="AU1574">
        <v>26.4</v>
      </c>
      <c r="AV1574" t="s">
        <v>260</v>
      </c>
      <c r="AW1574" t="s">
        <v>7342</v>
      </c>
    </row>
    <row r="1575" spans="1:50">
      <c r="A1575" s="1">
        <f>HYPERLINK("https://lsnyc.legalserver.org/matter/dynamic-profile/view/1890018","19-1890018")</f>
        <v>0</v>
      </c>
      <c r="B1575" t="s">
        <v>63</v>
      </c>
      <c r="C1575" t="s">
        <v>104</v>
      </c>
      <c r="D1575" t="s">
        <v>299</v>
      </c>
      <c r="E1575" t="s">
        <v>396</v>
      </c>
      <c r="F1575" t="s">
        <v>1146</v>
      </c>
      <c r="G1575" t="s">
        <v>1445</v>
      </c>
      <c r="H1575" t="s">
        <v>3206</v>
      </c>
      <c r="I1575" t="s">
        <v>3342</v>
      </c>
      <c r="J1575" t="s">
        <v>3604</v>
      </c>
      <c r="K1575">
        <v>10032</v>
      </c>
      <c r="L1575" t="s">
        <v>3610</v>
      </c>
      <c r="M1575" t="s">
        <v>3610</v>
      </c>
      <c r="O1575" t="s">
        <v>4210</v>
      </c>
      <c r="P1575" t="s">
        <v>4242</v>
      </c>
      <c r="Q1575" t="s">
        <v>4250</v>
      </c>
      <c r="R1575" t="s">
        <v>4258</v>
      </c>
      <c r="S1575" t="s">
        <v>3611</v>
      </c>
      <c r="U1575" t="s">
        <v>4268</v>
      </c>
      <c r="W1575" t="s">
        <v>299</v>
      </c>
      <c r="X1575">
        <v>909.6799999999999</v>
      </c>
      <c r="Y1575" t="s">
        <v>4351</v>
      </c>
      <c r="Z1575" t="s">
        <v>4354</v>
      </c>
      <c r="AA1575" t="s">
        <v>4373</v>
      </c>
      <c r="AB1575" t="s">
        <v>5622</v>
      </c>
      <c r="AD1575" t="s">
        <v>6963</v>
      </c>
      <c r="AE1575">
        <v>42</v>
      </c>
      <c r="AF1575" t="s">
        <v>7101</v>
      </c>
      <c r="AG1575" t="s">
        <v>3745</v>
      </c>
      <c r="AH1575">
        <v>37</v>
      </c>
      <c r="AI1575">
        <v>3</v>
      </c>
      <c r="AJ1575">
        <v>0</v>
      </c>
      <c r="AK1575">
        <v>290.67</v>
      </c>
      <c r="AN1575" t="s">
        <v>7139</v>
      </c>
      <c r="AO1575">
        <v>62000</v>
      </c>
      <c r="AU1575">
        <v>0.45</v>
      </c>
      <c r="AV1575" t="s">
        <v>438</v>
      </c>
      <c r="AW1575" t="s">
        <v>7342</v>
      </c>
      <c r="AX1575" t="s">
        <v>7377</v>
      </c>
    </row>
    <row r="1576" spans="1:50">
      <c r="A1576" s="1">
        <f>HYPERLINK("https://lsnyc.legalserver.org/matter/dynamic-profile/view/1872492","18-1872492")</f>
        <v>0</v>
      </c>
      <c r="B1576" t="s">
        <v>67</v>
      </c>
      <c r="C1576" t="s">
        <v>104</v>
      </c>
      <c r="D1576" t="s">
        <v>137</v>
      </c>
      <c r="E1576" t="s">
        <v>209</v>
      </c>
      <c r="F1576" t="s">
        <v>1471</v>
      </c>
      <c r="G1576" t="s">
        <v>2345</v>
      </c>
      <c r="H1576" t="s">
        <v>3207</v>
      </c>
      <c r="I1576" t="s">
        <v>3573</v>
      </c>
      <c r="J1576" t="s">
        <v>3604</v>
      </c>
      <c r="K1576">
        <v>10029</v>
      </c>
      <c r="L1576" t="s">
        <v>3610</v>
      </c>
      <c r="M1576" t="s">
        <v>3610</v>
      </c>
      <c r="N1576" t="s">
        <v>4169</v>
      </c>
      <c r="O1576" t="s">
        <v>4209</v>
      </c>
      <c r="P1576" t="s">
        <v>4242</v>
      </c>
      <c r="Q1576" t="s">
        <v>4250</v>
      </c>
      <c r="R1576" t="s">
        <v>4258</v>
      </c>
      <c r="S1576" t="s">
        <v>3611</v>
      </c>
      <c r="U1576" t="s">
        <v>4268</v>
      </c>
      <c r="V1576" t="s">
        <v>4274</v>
      </c>
      <c r="W1576" t="s">
        <v>144</v>
      </c>
      <c r="X1576">
        <v>2200</v>
      </c>
      <c r="Y1576" t="s">
        <v>4351</v>
      </c>
      <c r="Z1576" t="s">
        <v>4228</v>
      </c>
      <c r="AA1576" t="s">
        <v>4373</v>
      </c>
      <c r="AB1576" t="s">
        <v>5347</v>
      </c>
      <c r="AD1576" t="s">
        <v>6964</v>
      </c>
      <c r="AE1576">
        <v>6</v>
      </c>
      <c r="AF1576" t="s">
        <v>7103</v>
      </c>
      <c r="AG1576" t="s">
        <v>3745</v>
      </c>
      <c r="AH1576">
        <v>3</v>
      </c>
      <c r="AI1576">
        <v>2</v>
      </c>
      <c r="AJ1576">
        <v>0</v>
      </c>
      <c r="AK1576">
        <v>291.62</v>
      </c>
      <c r="AL1576" t="s">
        <v>561</v>
      </c>
      <c r="AM1576" t="s">
        <v>7134</v>
      </c>
      <c r="AN1576" t="s">
        <v>7138</v>
      </c>
      <c r="AO1576">
        <v>48000</v>
      </c>
      <c r="AU1576">
        <v>1.2</v>
      </c>
      <c r="AV1576" t="s">
        <v>440</v>
      </c>
      <c r="AW1576" t="s">
        <v>7357</v>
      </c>
    </row>
    <row r="1577" spans="1:50">
      <c r="A1577" s="1">
        <f>HYPERLINK("https://lsnyc.legalserver.org/matter/dynamic-profile/view/1865227","18-1865227")</f>
        <v>0</v>
      </c>
      <c r="B1577" t="s">
        <v>59</v>
      </c>
      <c r="C1577" t="s">
        <v>104</v>
      </c>
      <c r="D1577" t="s">
        <v>117</v>
      </c>
      <c r="E1577" t="s">
        <v>216</v>
      </c>
      <c r="F1577" t="s">
        <v>1472</v>
      </c>
      <c r="G1577" t="s">
        <v>1624</v>
      </c>
      <c r="H1577" t="s">
        <v>3208</v>
      </c>
      <c r="I1577" t="s">
        <v>3348</v>
      </c>
      <c r="J1577" t="s">
        <v>3604</v>
      </c>
      <c r="K1577">
        <v>10027</v>
      </c>
      <c r="L1577" t="s">
        <v>3610</v>
      </c>
      <c r="M1577" t="s">
        <v>3610</v>
      </c>
      <c r="O1577" t="s">
        <v>4219</v>
      </c>
      <c r="P1577" t="s">
        <v>4242</v>
      </c>
      <c r="Q1577" t="s">
        <v>4250</v>
      </c>
      <c r="R1577" t="s">
        <v>4258</v>
      </c>
      <c r="S1577" t="s">
        <v>3610</v>
      </c>
      <c r="T1577" t="s">
        <v>4259</v>
      </c>
      <c r="U1577" t="s">
        <v>4268</v>
      </c>
      <c r="W1577" t="s">
        <v>117</v>
      </c>
      <c r="X1577">
        <v>810</v>
      </c>
      <c r="Y1577" t="s">
        <v>4351</v>
      </c>
      <c r="Z1577" t="s">
        <v>4357</v>
      </c>
      <c r="AA1577" t="s">
        <v>4373</v>
      </c>
      <c r="AB1577" t="s">
        <v>5623</v>
      </c>
      <c r="AD1577" t="s">
        <v>6965</v>
      </c>
      <c r="AE1577">
        <v>0</v>
      </c>
      <c r="AF1577" t="s">
        <v>7101</v>
      </c>
      <c r="AG1577" t="s">
        <v>3745</v>
      </c>
      <c r="AH1577">
        <v>3</v>
      </c>
      <c r="AI1577">
        <v>1</v>
      </c>
      <c r="AJ1577">
        <v>1</v>
      </c>
      <c r="AK1577">
        <v>291.62</v>
      </c>
      <c r="AL1577" t="s">
        <v>7130</v>
      </c>
      <c r="AN1577" t="s">
        <v>7138</v>
      </c>
      <c r="AO1577">
        <v>48000</v>
      </c>
      <c r="AU1577">
        <v>0.5</v>
      </c>
      <c r="AV1577" t="s">
        <v>557</v>
      </c>
      <c r="AW1577" t="s">
        <v>7344</v>
      </c>
    </row>
    <row r="1578" spans="1:50">
      <c r="A1578" s="1">
        <f>HYPERLINK("https://lsnyc.legalserver.org/matter/dynamic-profile/view/1901228","19-1901228")</f>
        <v>0</v>
      </c>
      <c r="B1578" t="s">
        <v>72</v>
      </c>
      <c r="C1578" t="s">
        <v>104</v>
      </c>
      <c r="D1578" t="s">
        <v>426</v>
      </c>
      <c r="E1578" t="s">
        <v>131</v>
      </c>
      <c r="F1578" t="s">
        <v>1473</v>
      </c>
      <c r="G1578" t="s">
        <v>2346</v>
      </c>
      <c r="H1578" t="s">
        <v>2976</v>
      </c>
      <c r="I1578">
        <v>2014</v>
      </c>
      <c r="J1578" t="s">
        <v>3604</v>
      </c>
      <c r="K1578">
        <v>10033</v>
      </c>
      <c r="L1578" t="s">
        <v>3610</v>
      </c>
      <c r="M1578" t="s">
        <v>3609</v>
      </c>
      <c r="O1578" t="s">
        <v>4219</v>
      </c>
      <c r="P1578" t="s">
        <v>4245</v>
      </c>
      <c r="Q1578" t="s">
        <v>4249</v>
      </c>
      <c r="R1578" t="s">
        <v>4258</v>
      </c>
      <c r="S1578" t="s">
        <v>3611</v>
      </c>
      <c r="U1578" t="s">
        <v>4268</v>
      </c>
      <c r="W1578" t="s">
        <v>426</v>
      </c>
      <c r="X1578">
        <v>1500</v>
      </c>
      <c r="Y1578" t="s">
        <v>4351</v>
      </c>
      <c r="Z1578" t="s">
        <v>4354</v>
      </c>
      <c r="AA1578" t="s">
        <v>4377</v>
      </c>
      <c r="AB1578" t="s">
        <v>5619</v>
      </c>
      <c r="AE1578">
        <v>480</v>
      </c>
      <c r="AF1578" t="s">
        <v>7101</v>
      </c>
      <c r="AG1578" t="s">
        <v>3745</v>
      </c>
      <c r="AH1578">
        <v>0</v>
      </c>
      <c r="AI1578">
        <v>1</v>
      </c>
      <c r="AJ1578">
        <v>0</v>
      </c>
      <c r="AK1578">
        <v>292.36</v>
      </c>
      <c r="AN1578" t="s">
        <v>7138</v>
      </c>
      <c r="AO1578">
        <v>36516</v>
      </c>
      <c r="AU1578">
        <v>0.75</v>
      </c>
      <c r="AV1578" t="s">
        <v>426</v>
      </c>
      <c r="AW1578" t="s">
        <v>7342</v>
      </c>
      <c r="AX1578" t="s">
        <v>7377</v>
      </c>
    </row>
    <row r="1579" spans="1:50">
      <c r="A1579" s="1">
        <f>HYPERLINK("https://lsnyc.legalserver.org/matter/dynamic-profile/view/1840198","17-1840198")</f>
        <v>0</v>
      </c>
      <c r="B1579" t="s">
        <v>53</v>
      </c>
      <c r="C1579" t="s">
        <v>104</v>
      </c>
      <c r="D1579" t="s">
        <v>258</v>
      </c>
      <c r="E1579" t="s">
        <v>548</v>
      </c>
      <c r="F1579" t="s">
        <v>1474</v>
      </c>
      <c r="G1579" t="s">
        <v>2347</v>
      </c>
      <c r="H1579" t="s">
        <v>2833</v>
      </c>
      <c r="I1579">
        <v>23</v>
      </c>
      <c r="J1579" t="s">
        <v>3604</v>
      </c>
      <c r="K1579">
        <v>10040</v>
      </c>
      <c r="L1579" t="s">
        <v>3610</v>
      </c>
      <c r="M1579" t="s">
        <v>3610</v>
      </c>
      <c r="N1579" t="s">
        <v>3883</v>
      </c>
      <c r="O1579" t="s">
        <v>4213</v>
      </c>
      <c r="P1579" t="s">
        <v>4241</v>
      </c>
      <c r="Q1579" t="s">
        <v>4248</v>
      </c>
      <c r="R1579" t="s">
        <v>4258</v>
      </c>
      <c r="S1579" t="s">
        <v>3610</v>
      </c>
      <c r="U1579" t="s">
        <v>4268</v>
      </c>
      <c r="W1579" t="s">
        <v>354</v>
      </c>
      <c r="X1579">
        <v>1813.36</v>
      </c>
      <c r="Y1579" t="s">
        <v>4351</v>
      </c>
      <c r="Z1579" t="s">
        <v>4352</v>
      </c>
      <c r="AA1579" t="s">
        <v>4379</v>
      </c>
      <c r="AB1579" t="s">
        <v>5624</v>
      </c>
      <c r="AD1579" t="s">
        <v>6966</v>
      </c>
      <c r="AE1579">
        <v>45</v>
      </c>
      <c r="AF1579" t="s">
        <v>7101</v>
      </c>
      <c r="AG1579" t="s">
        <v>3745</v>
      </c>
      <c r="AH1579">
        <v>8</v>
      </c>
      <c r="AI1579">
        <v>1</v>
      </c>
      <c r="AJ1579">
        <v>2</v>
      </c>
      <c r="AK1579">
        <v>293.83</v>
      </c>
      <c r="AL1579" t="s">
        <v>183</v>
      </c>
      <c r="AN1579" t="s">
        <v>7138</v>
      </c>
      <c r="AO1579">
        <v>60000</v>
      </c>
      <c r="AU1579">
        <v>1.4</v>
      </c>
      <c r="AV1579" t="s">
        <v>548</v>
      </c>
      <c r="AW1579" t="s">
        <v>7342</v>
      </c>
    </row>
    <row r="1580" spans="1:50">
      <c r="A1580" s="1">
        <f>HYPERLINK("https://lsnyc.legalserver.org/matter/dynamic-profile/view/1863628","18-1863628")</f>
        <v>0</v>
      </c>
      <c r="B1580" t="s">
        <v>53</v>
      </c>
      <c r="C1580" t="s">
        <v>104</v>
      </c>
      <c r="D1580" t="s">
        <v>242</v>
      </c>
      <c r="E1580" t="s">
        <v>657</v>
      </c>
      <c r="F1580" t="s">
        <v>1475</v>
      </c>
      <c r="G1580" t="s">
        <v>2348</v>
      </c>
      <c r="H1580" t="s">
        <v>3209</v>
      </c>
      <c r="I1580" t="s">
        <v>3314</v>
      </c>
      <c r="J1580" t="s">
        <v>3604</v>
      </c>
      <c r="K1580">
        <v>10034</v>
      </c>
      <c r="L1580" t="s">
        <v>3610</v>
      </c>
      <c r="M1580" t="s">
        <v>3610</v>
      </c>
      <c r="O1580" t="s">
        <v>4211</v>
      </c>
      <c r="P1580" t="s">
        <v>4244</v>
      </c>
      <c r="Q1580" t="s">
        <v>4254</v>
      </c>
      <c r="R1580" t="s">
        <v>4258</v>
      </c>
      <c r="S1580" t="s">
        <v>3611</v>
      </c>
      <c r="U1580" t="s">
        <v>4268</v>
      </c>
      <c r="V1580" t="s">
        <v>4274</v>
      </c>
      <c r="W1580" t="s">
        <v>242</v>
      </c>
      <c r="X1580">
        <v>819.97</v>
      </c>
      <c r="Y1580" t="s">
        <v>4351</v>
      </c>
      <c r="Z1580" t="s">
        <v>4354</v>
      </c>
      <c r="AA1580" t="s">
        <v>4374</v>
      </c>
      <c r="AB1580" t="s">
        <v>5625</v>
      </c>
      <c r="AD1580" t="s">
        <v>6967</v>
      </c>
      <c r="AE1580">
        <v>40</v>
      </c>
      <c r="AF1580" t="s">
        <v>7101</v>
      </c>
      <c r="AG1580" t="s">
        <v>3745</v>
      </c>
      <c r="AH1580">
        <v>47</v>
      </c>
      <c r="AI1580">
        <v>2</v>
      </c>
      <c r="AJ1580">
        <v>0</v>
      </c>
      <c r="AK1580">
        <v>294.39</v>
      </c>
      <c r="AL1580" t="s">
        <v>7130</v>
      </c>
      <c r="AN1580" t="s">
        <v>7138</v>
      </c>
      <c r="AO1580">
        <v>48456</v>
      </c>
      <c r="AU1580">
        <v>5.85</v>
      </c>
      <c r="AV1580" t="s">
        <v>445</v>
      </c>
      <c r="AW1580" t="s">
        <v>7342</v>
      </c>
    </row>
    <row r="1581" spans="1:50">
      <c r="A1581" s="1">
        <f>HYPERLINK("https://lsnyc.legalserver.org/matter/dynamic-profile/view/1874301","18-1874301")</f>
        <v>0</v>
      </c>
      <c r="B1581" t="s">
        <v>56</v>
      </c>
      <c r="C1581" t="s">
        <v>104</v>
      </c>
      <c r="D1581" t="s">
        <v>435</v>
      </c>
      <c r="E1581" t="s">
        <v>320</v>
      </c>
      <c r="F1581" t="s">
        <v>732</v>
      </c>
      <c r="G1581" t="s">
        <v>1603</v>
      </c>
      <c r="H1581" t="s">
        <v>2495</v>
      </c>
      <c r="I1581" t="s">
        <v>3279</v>
      </c>
      <c r="J1581" t="s">
        <v>3604</v>
      </c>
      <c r="K1581">
        <v>10032</v>
      </c>
      <c r="L1581" t="s">
        <v>3610</v>
      </c>
      <c r="M1581" t="s">
        <v>3610</v>
      </c>
      <c r="N1581" t="s">
        <v>4170</v>
      </c>
      <c r="O1581" t="s">
        <v>4210</v>
      </c>
      <c r="P1581" t="s">
        <v>4241</v>
      </c>
      <c r="Q1581" t="s">
        <v>4253</v>
      </c>
      <c r="R1581" t="s">
        <v>4258</v>
      </c>
      <c r="S1581" t="s">
        <v>3611</v>
      </c>
      <c r="U1581" t="s">
        <v>4268</v>
      </c>
      <c r="W1581" t="s">
        <v>435</v>
      </c>
      <c r="X1581">
        <v>799.9</v>
      </c>
      <c r="Y1581" t="s">
        <v>4351</v>
      </c>
      <c r="Z1581" t="s">
        <v>4354</v>
      </c>
      <c r="AA1581" t="s">
        <v>4374</v>
      </c>
      <c r="AB1581" t="s">
        <v>5626</v>
      </c>
      <c r="AD1581" t="s">
        <v>6968</v>
      </c>
      <c r="AE1581">
        <v>115</v>
      </c>
      <c r="AF1581" t="s">
        <v>7101</v>
      </c>
      <c r="AG1581" t="s">
        <v>3745</v>
      </c>
      <c r="AH1581">
        <v>28</v>
      </c>
      <c r="AI1581">
        <v>4</v>
      </c>
      <c r="AJ1581">
        <v>0</v>
      </c>
      <c r="AK1581">
        <v>294.82</v>
      </c>
      <c r="AL1581" t="s">
        <v>573</v>
      </c>
      <c r="AM1581" t="s">
        <v>7134</v>
      </c>
      <c r="AN1581" t="s">
        <v>7139</v>
      </c>
      <c r="AO1581">
        <v>74000</v>
      </c>
      <c r="AU1581">
        <v>37.95</v>
      </c>
      <c r="AV1581" t="s">
        <v>7298</v>
      </c>
      <c r="AW1581" t="s">
        <v>7342</v>
      </c>
    </row>
    <row r="1582" spans="1:50">
      <c r="A1582" s="1">
        <f>HYPERLINK("https://lsnyc.legalserver.org/matter/dynamic-profile/view/1888294","19-1888294")</f>
        <v>0</v>
      </c>
      <c r="B1582" t="s">
        <v>56</v>
      </c>
      <c r="C1582" t="s">
        <v>105</v>
      </c>
      <c r="D1582" t="s">
        <v>387</v>
      </c>
      <c r="F1582" t="s">
        <v>732</v>
      </c>
      <c r="G1582" t="s">
        <v>1603</v>
      </c>
      <c r="H1582" t="s">
        <v>2495</v>
      </c>
      <c r="I1582" t="s">
        <v>3279</v>
      </c>
      <c r="J1582" t="s">
        <v>3604</v>
      </c>
      <c r="K1582">
        <v>10032</v>
      </c>
      <c r="L1582" t="s">
        <v>3610</v>
      </c>
      <c r="M1582" t="s">
        <v>3610</v>
      </c>
      <c r="O1582" t="s">
        <v>4209</v>
      </c>
      <c r="P1582" t="s">
        <v>4241</v>
      </c>
      <c r="R1582" t="s">
        <v>4258</v>
      </c>
      <c r="S1582" t="s">
        <v>3611</v>
      </c>
      <c r="U1582" t="s">
        <v>4268</v>
      </c>
      <c r="W1582" t="s">
        <v>174</v>
      </c>
      <c r="X1582">
        <v>799.9</v>
      </c>
      <c r="Y1582" t="s">
        <v>4351</v>
      </c>
      <c r="Z1582" t="s">
        <v>4357</v>
      </c>
      <c r="AB1582" t="s">
        <v>5626</v>
      </c>
      <c r="AD1582" t="s">
        <v>6968</v>
      </c>
      <c r="AE1582">
        <v>115</v>
      </c>
      <c r="AF1582" t="s">
        <v>7101</v>
      </c>
      <c r="AG1582" t="s">
        <v>3745</v>
      </c>
      <c r="AH1582">
        <v>29</v>
      </c>
      <c r="AI1582">
        <v>4</v>
      </c>
      <c r="AJ1582">
        <v>0</v>
      </c>
      <c r="AK1582">
        <v>294.82</v>
      </c>
      <c r="AL1582" t="s">
        <v>573</v>
      </c>
      <c r="AM1582" t="s">
        <v>7134</v>
      </c>
      <c r="AN1582" t="s">
        <v>7139</v>
      </c>
      <c r="AO1582">
        <v>74000</v>
      </c>
      <c r="AU1582">
        <v>62.1</v>
      </c>
      <c r="AV1582" t="s">
        <v>685</v>
      </c>
      <c r="AW1582" t="s">
        <v>7342</v>
      </c>
    </row>
    <row r="1583" spans="1:50">
      <c r="A1583" s="1">
        <f>HYPERLINK("https://lsnyc.legalserver.org/matter/dynamic-profile/view/1839971","17-1839971")</f>
        <v>0</v>
      </c>
      <c r="B1583" t="s">
        <v>59</v>
      </c>
      <c r="C1583" t="s">
        <v>104</v>
      </c>
      <c r="D1583" t="s">
        <v>268</v>
      </c>
      <c r="E1583" t="s">
        <v>636</v>
      </c>
      <c r="F1583" t="s">
        <v>1476</v>
      </c>
      <c r="G1583" t="s">
        <v>1596</v>
      </c>
      <c r="H1583" t="s">
        <v>3210</v>
      </c>
      <c r="I1583" t="s">
        <v>3574</v>
      </c>
      <c r="J1583" t="s">
        <v>3604</v>
      </c>
      <c r="K1583">
        <v>10033</v>
      </c>
      <c r="L1583" t="s">
        <v>3610</v>
      </c>
      <c r="M1583" t="s">
        <v>3610</v>
      </c>
      <c r="N1583" t="s">
        <v>4171</v>
      </c>
      <c r="O1583" t="s">
        <v>4210</v>
      </c>
      <c r="P1583" t="s">
        <v>4245</v>
      </c>
      <c r="Q1583" t="s">
        <v>4250</v>
      </c>
      <c r="R1583" t="s">
        <v>4258</v>
      </c>
      <c r="S1583" t="s">
        <v>3611</v>
      </c>
      <c r="U1583" t="s">
        <v>4268</v>
      </c>
      <c r="W1583" t="s">
        <v>276</v>
      </c>
      <c r="X1583">
        <v>877.51</v>
      </c>
      <c r="Y1583" t="s">
        <v>4351</v>
      </c>
      <c r="Z1583" t="s">
        <v>4353</v>
      </c>
      <c r="AA1583" t="s">
        <v>4373</v>
      </c>
      <c r="AB1583" t="s">
        <v>5627</v>
      </c>
      <c r="AD1583" t="s">
        <v>6969</v>
      </c>
      <c r="AE1583">
        <v>94</v>
      </c>
      <c r="AF1583" t="s">
        <v>7105</v>
      </c>
      <c r="AH1583">
        <v>15</v>
      </c>
      <c r="AI1583">
        <v>2</v>
      </c>
      <c r="AJ1583">
        <v>0</v>
      </c>
      <c r="AK1583">
        <v>295.57</v>
      </c>
      <c r="AL1583" t="s">
        <v>7130</v>
      </c>
      <c r="AM1583" t="s">
        <v>7134</v>
      </c>
      <c r="AN1583" t="s">
        <v>7138</v>
      </c>
      <c r="AO1583">
        <v>48000</v>
      </c>
      <c r="AU1583">
        <v>0.8</v>
      </c>
      <c r="AV1583" t="s">
        <v>384</v>
      </c>
      <c r="AW1583" t="s">
        <v>99</v>
      </c>
    </row>
    <row r="1584" spans="1:50">
      <c r="A1584" s="1">
        <f>HYPERLINK("https://lsnyc.legalserver.org/matter/dynamic-profile/view/1891010","19-1891010")</f>
        <v>0</v>
      </c>
      <c r="B1584" t="s">
        <v>64</v>
      </c>
      <c r="C1584" t="s">
        <v>105</v>
      </c>
      <c r="D1584" t="s">
        <v>305</v>
      </c>
      <c r="F1584" t="s">
        <v>719</v>
      </c>
      <c r="G1584" t="s">
        <v>1730</v>
      </c>
      <c r="H1584" t="s">
        <v>3211</v>
      </c>
      <c r="I1584" t="s">
        <v>3430</v>
      </c>
      <c r="J1584" t="s">
        <v>3604</v>
      </c>
      <c r="K1584">
        <v>10034</v>
      </c>
      <c r="L1584" t="s">
        <v>3610</v>
      </c>
      <c r="M1584" t="s">
        <v>3610</v>
      </c>
      <c r="O1584" t="s">
        <v>4225</v>
      </c>
      <c r="P1584" t="s">
        <v>4241</v>
      </c>
      <c r="R1584" t="s">
        <v>4258</v>
      </c>
      <c r="S1584" t="s">
        <v>3611</v>
      </c>
      <c r="U1584" t="s">
        <v>4268</v>
      </c>
      <c r="V1584" t="s">
        <v>4274</v>
      </c>
      <c r="W1584" t="s">
        <v>281</v>
      </c>
      <c r="X1584">
        <v>1321</v>
      </c>
      <c r="Y1584" t="s">
        <v>4351</v>
      </c>
      <c r="Z1584" t="s">
        <v>4354</v>
      </c>
      <c r="AB1584" t="s">
        <v>5628</v>
      </c>
      <c r="AD1584" t="s">
        <v>6970</v>
      </c>
      <c r="AE1584">
        <v>50</v>
      </c>
      <c r="AF1584" t="s">
        <v>7101</v>
      </c>
      <c r="AH1584">
        <v>40</v>
      </c>
      <c r="AI1584">
        <v>2</v>
      </c>
      <c r="AJ1584">
        <v>0</v>
      </c>
      <c r="AK1584">
        <v>295.68</v>
      </c>
      <c r="AN1584" t="s">
        <v>7139</v>
      </c>
      <c r="AO1584">
        <v>50000</v>
      </c>
      <c r="AU1584">
        <v>25.75</v>
      </c>
      <c r="AV1584" t="s">
        <v>685</v>
      </c>
      <c r="AW1584" t="s">
        <v>64</v>
      </c>
    </row>
    <row r="1585" spans="1:50">
      <c r="A1585" s="1">
        <f>HYPERLINK("https://lsnyc.legalserver.org/matter/dynamic-profile/view/1899738","19-1899738")</f>
        <v>0</v>
      </c>
      <c r="B1585" t="s">
        <v>52</v>
      </c>
      <c r="C1585" t="s">
        <v>105</v>
      </c>
      <c r="D1585" t="s">
        <v>285</v>
      </c>
      <c r="F1585" t="s">
        <v>1477</v>
      </c>
      <c r="G1585" t="s">
        <v>2349</v>
      </c>
      <c r="H1585" t="s">
        <v>3212</v>
      </c>
      <c r="I1585" t="s">
        <v>3375</v>
      </c>
      <c r="J1585" t="s">
        <v>3604</v>
      </c>
      <c r="K1585">
        <v>10034</v>
      </c>
      <c r="L1585" t="s">
        <v>3610</v>
      </c>
      <c r="M1585" t="s">
        <v>3609</v>
      </c>
      <c r="N1585" t="s">
        <v>4172</v>
      </c>
      <c r="O1585" t="s">
        <v>4209</v>
      </c>
      <c r="P1585" t="s">
        <v>4242</v>
      </c>
      <c r="R1585" t="s">
        <v>4258</v>
      </c>
      <c r="S1585" t="s">
        <v>3611</v>
      </c>
      <c r="U1585" t="s">
        <v>4268</v>
      </c>
      <c r="W1585" t="s">
        <v>285</v>
      </c>
      <c r="X1585">
        <v>1505.94</v>
      </c>
      <c r="Y1585" t="s">
        <v>4351</v>
      </c>
      <c r="Z1585" t="s">
        <v>4354</v>
      </c>
      <c r="AB1585" t="s">
        <v>5629</v>
      </c>
      <c r="AE1585">
        <v>52</v>
      </c>
      <c r="AF1585" t="s">
        <v>7101</v>
      </c>
      <c r="AG1585" t="s">
        <v>3745</v>
      </c>
      <c r="AH1585">
        <v>29</v>
      </c>
      <c r="AI1585">
        <v>2</v>
      </c>
      <c r="AJ1585">
        <v>0</v>
      </c>
      <c r="AK1585">
        <v>295.68</v>
      </c>
      <c r="AN1585" t="s">
        <v>7138</v>
      </c>
      <c r="AO1585">
        <v>50000</v>
      </c>
      <c r="AU1585">
        <v>0.7</v>
      </c>
      <c r="AV1585" t="s">
        <v>529</v>
      </c>
      <c r="AW1585" t="s">
        <v>7342</v>
      </c>
      <c r="AX1585" t="s">
        <v>7377</v>
      </c>
    </row>
    <row r="1586" spans="1:50">
      <c r="A1586" s="1">
        <f>HYPERLINK("https://lsnyc.legalserver.org/matter/dynamic-profile/view/1856478","18-1856478")</f>
        <v>0</v>
      </c>
      <c r="B1586" t="s">
        <v>55</v>
      </c>
      <c r="C1586" t="s">
        <v>104</v>
      </c>
      <c r="D1586" t="s">
        <v>314</v>
      </c>
      <c r="E1586" t="s">
        <v>329</v>
      </c>
      <c r="F1586" t="s">
        <v>1478</v>
      </c>
      <c r="G1586" t="s">
        <v>2350</v>
      </c>
      <c r="H1586" t="s">
        <v>2460</v>
      </c>
      <c r="I1586" t="s">
        <v>3356</v>
      </c>
      <c r="J1586" t="s">
        <v>3604</v>
      </c>
      <c r="K1586">
        <v>10065</v>
      </c>
      <c r="L1586" t="s">
        <v>3610</v>
      </c>
      <c r="M1586" t="s">
        <v>3610</v>
      </c>
      <c r="N1586" t="s">
        <v>4173</v>
      </c>
      <c r="O1586" t="s">
        <v>4209</v>
      </c>
      <c r="P1586" t="s">
        <v>4241</v>
      </c>
      <c r="Q1586" t="s">
        <v>4248</v>
      </c>
      <c r="R1586" t="s">
        <v>4258</v>
      </c>
      <c r="S1586" t="s">
        <v>3611</v>
      </c>
      <c r="U1586" t="s">
        <v>4268</v>
      </c>
      <c r="V1586" t="s">
        <v>4277</v>
      </c>
      <c r="W1586" t="s">
        <v>421</v>
      </c>
      <c r="X1586">
        <v>2275</v>
      </c>
      <c r="Y1586" t="s">
        <v>4351</v>
      </c>
      <c r="Z1586" t="s">
        <v>4358</v>
      </c>
      <c r="AA1586" t="s">
        <v>4374</v>
      </c>
      <c r="AB1586" t="s">
        <v>5630</v>
      </c>
      <c r="AE1586">
        <v>20</v>
      </c>
      <c r="AF1586" t="s">
        <v>7101</v>
      </c>
      <c r="AG1586" t="s">
        <v>3745</v>
      </c>
      <c r="AH1586">
        <v>1</v>
      </c>
      <c r="AI1586">
        <v>1</v>
      </c>
      <c r="AJ1586">
        <v>0</v>
      </c>
      <c r="AK1586">
        <v>296.54</v>
      </c>
      <c r="AL1586" t="s">
        <v>7130</v>
      </c>
      <c r="AN1586" t="s">
        <v>7142</v>
      </c>
      <c r="AO1586">
        <v>36000</v>
      </c>
      <c r="AP1586" t="s">
        <v>7193</v>
      </c>
      <c r="AU1586">
        <v>10.7</v>
      </c>
      <c r="AV1586" t="s">
        <v>618</v>
      </c>
      <c r="AW1586" t="s">
        <v>51</v>
      </c>
    </row>
    <row r="1587" spans="1:50">
      <c r="A1587" s="1">
        <f>HYPERLINK("https://lsnyc.legalserver.org/matter/dynamic-profile/view/1886680","18-1886680")</f>
        <v>0</v>
      </c>
      <c r="B1587" t="s">
        <v>68</v>
      </c>
      <c r="C1587" t="s">
        <v>105</v>
      </c>
      <c r="D1587" t="s">
        <v>488</v>
      </c>
      <c r="F1587" t="s">
        <v>1159</v>
      </c>
      <c r="G1587" t="s">
        <v>2351</v>
      </c>
      <c r="H1587" t="s">
        <v>2722</v>
      </c>
      <c r="I1587" t="s">
        <v>3575</v>
      </c>
      <c r="J1587" t="s">
        <v>3604</v>
      </c>
      <c r="K1587">
        <v>10029</v>
      </c>
      <c r="L1587" t="s">
        <v>3610</v>
      </c>
      <c r="M1587" t="s">
        <v>3610</v>
      </c>
      <c r="O1587" t="s">
        <v>4213</v>
      </c>
      <c r="P1587" t="s">
        <v>4246</v>
      </c>
      <c r="R1587" t="s">
        <v>4258</v>
      </c>
      <c r="S1587" t="s">
        <v>3610</v>
      </c>
      <c r="U1587" t="s">
        <v>4268</v>
      </c>
      <c r="V1587" t="s">
        <v>4274</v>
      </c>
      <c r="W1587" t="s">
        <v>488</v>
      </c>
      <c r="X1587">
        <v>1160</v>
      </c>
      <c r="Y1587" t="s">
        <v>4351</v>
      </c>
      <c r="Z1587" t="s">
        <v>4352</v>
      </c>
      <c r="AB1587" t="s">
        <v>5631</v>
      </c>
      <c r="AD1587" t="s">
        <v>6971</v>
      </c>
      <c r="AE1587">
        <v>0</v>
      </c>
      <c r="AF1587" t="s">
        <v>7101</v>
      </c>
      <c r="AG1587" t="s">
        <v>3745</v>
      </c>
      <c r="AH1587">
        <v>22</v>
      </c>
      <c r="AI1587">
        <v>5</v>
      </c>
      <c r="AJ1587">
        <v>0</v>
      </c>
      <c r="AK1587">
        <v>300.48</v>
      </c>
      <c r="AN1587" t="s">
        <v>7138</v>
      </c>
      <c r="AO1587">
        <v>88400</v>
      </c>
      <c r="AU1587">
        <v>0</v>
      </c>
      <c r="AW1587" t="s">
        <v>7341</v>
      </c>
      <c r="AX1587" t="s">
        <v>7377</v>
      </c>
    </row>
    <row r="1588" spans="1:50">
      <c r="A1588" s="1">
        <f>HYPERLINK("https://lsnyc.legalserver.org/matter/dynamic-profile/view/0832237","17-0832237")</f>
        <v>0</v>
      </c>
      <c r="B1588" t="s">
        <v>58</v>
      </c>
      <c r="C1588" t="s">
        <v>105</v>
      </c>
      <c r="D1588" t="s">
        <v>621</v>
      </c>
      <c r="F1588" t="s">
        <v>733</v>
      </c>
      <c r="G1588" t="s">
        <v>2133</v>
      </c>
      <c r="H1588" t="s">
        <v>3213</v>
      </c>
      <c r="I1588">
        <v>1</v>
      </c>
      <c r="J1588" t="s">
        <v>3604</v>
      </c>
      <c r="K1588">
        <v>10032</v>
      </c>
      <c r="L1588" t="s">
        <v>3610</v>
      </c>
      <c r="M1588" t="s">
        <v>3609</v>
      </c>
      <c r="O1588" t="s">
        <v>4210</v>
      </c>
      <c r="P1588" t="s">
        <v>4241</v>
      </c>
      <c r="R1588" t="s">
        <v>4258</v>
      </c>
      <c r="T1588" t="s">
        <v>4259</v>
      </c>
      <c r="U1588" t="s">
        <v>4268</v>
      </c>
      <c r="W1588" t="s">
        <v>278</v>
      </c>
      <c r="X1588">
        <v>0</v>
      </c>
      <c r="Y1588" t="s">
        <v>4351</v>
      </c>
      <c r="Z1588" t="s">
        <v>4354</v>
      </c>
      <c r="AB1588" t="s">
        <v>5632</v>
      </c>
      <c r="AD1588" t="s">
        <v>6972</v>
      </c>
      <c r="AE1588">
        <v>0</v>
      </c>
      <c r="AH1588">
        <v>5</v>
      </c>
      <c r="AI1588">
        <v>3</v>
      </c>
      <c r="AJ1588">
        <v>0</v>
      </c>
      <c r="AK1588">
        <v>300.49</v>
      </c>
      <c r="AL1588" t="s">
        <v>7130</v>
      </c>
      <c r="AN1588" t="s">
        <v>7138</v>
      </c>
      <c r="AO1588">
        <v>61360</v>
      </c>
      <c r="AU1588">
        <v>11.1</v>
      </c>
      <c r="AV1588" t="s">
        <v>372</v>
      </c>
      <c r="AW1588" t="s">
        <v>7345</v>
      </c>
    </row>
    <row r="1589" spans="1:50">
      <c r="A1589" s="1">
        <f>HYPERLINK("https://lsnyc.legalserver.org/matter/dynamic-profile/view/1858673","18-1858673")</f>
        <v>0</v>
      </c>
      <c r="B1589" t="s">
        <v>54</v>
      </c>
      <c r="C1589" t="s">
        <v>104</v>
      </c>
      <c r="D1589" t="s">
        <v>639</v>
      </c>
      <c r="E1589" t="s">
        <v>488</v>
      </c>
      <c r="F1589" t="s">
        <v>1479</v>
      </c>
      <c r="G1589" t="s">
        <v>2352</v>
      </c>
      <c r="H1589" t="s">
        <v>3214</v>
      </c>
      <c r="I1589">
        <v>4</v>
      </c>
      <c r="J1589" t="s">
        <v>3604</v>
      </c>
      <c r="K1589">
        <v>10027</v>
      </c>
      <c r="L1589" t="s">
        <v>3610</v>
      </c>
      <c r="M1589" t="s">
        <v>3609</v>
      </c>
      <c r="O1589" t="s">
        <v>4211</v>
      </c>
      <c r="P1589" t="s">
        <v>4242</v>
      </c>
      <c r="Q1589" t="s">
        <v>4250</v>
      </c>
      <c r="R1589" t="s">
        <v>4258</v>
      </c>
      <c r="S1589" t="s">
        <v>3611</v>
      </c>
      <c r="U1589" t="s">
        <v>4268</v>
      </c>
      <c r="W1589" t="s">
        <v>428</v>
      </c>
      <c r="X1589">
        <v>1428</v>
      </c>
      <c r="Y1589" t="s">
        <v>4351</v>
      </c>
      <c r="Z1589" t="s">
        <v>4357</v>
      </c>
      <c r="AA1589" t="s">
        <v>4373</v>
      </c>
      <c r="AB1589" t="s">
        <v>5633</v>
      </c>
      <c r="AD1589" t="s">
        <v>6973</v>
      </c>
      <c r="AE1589">
        <v>0</v>
      </c>
      <c r="AF1589" t="s">
        <v>7101</v>
      </c>
      <c r="AG1589" t="s">
        <v>3745</v>
      </c>
      <c r="AH1589">
        <v>15</v>
      </c>
      <c r="AI1589">
        <v>1</v>
      </c>
      <c r="AJ1589">
        <v>0</v>
      </c>
      <c r="AK1589">
        <v>301.82</v>
      </c>
      <c r="AN1589" t="s">
        <v>7138</v>
      </c>
      <c r="AO1589">
        <v>36400</v>
      </c>
      <c r="AU1589">
        <v>0.15</v>
      </c>
      <c r="AV1589" t="s">
        <v>7320</v>
      </c>
      <c r="AW1589" t="s">
        <v>7344</v>
      </c>
    </row>
    <row r="1590" spans="1:50">
      <c r="A1590" s="1">
        <f>HYPERLINK("https://lsnyc.legalserver.org/matter/dynamic-profile/view/1886103","18-1886103")</f>
        <v>0</v>
      </c>
      <c r="B1590" t="s">
        <v>81</v>
      </c>
      <c r="C1590" t="s">
        <v>105</v>
      </c>
      <c r="D1590" t="s">
        <v>109</v>
      </c>
      <c r="F1590" t="s">
        <v>1480</v>
      </c>
      <c r="G1590" t="s">
        <v>2353</v>
      </c>
      <c r="H1590" t="s">
        <v>3215</v>
      </c>
      <c r="I1590">
        <v>202</v>
      </c>
      <c r="J1590" t="s">
        <v>3604</v>
      </c>
      <c r="K1590">
        <v>10027</v>
      </c>
      <c r="L1590" t="s">
        <v>3610</v>
      </c>
      <c r="M1590" t="s">
        <v>3610</v>
      </c>
      <c r="N1590" t="s">
        <v>4174</v>
      </c>
      <c r="O1590" t="s">
        <v>4210</v>
      </c>
      <c r="P1590" t="s">
        <v>4241</v>
      </c>
      <c r="R1590" t="s">
        <v>4258</v>
      </c>
      <c r="S1590" t="s">
        <v>3611</v>
      </c>
      <c r="U1590" t="s">
        <v>4268</v>
      </c>
      <c r="V1590" t="s">
        <v>4278</v>
      </c>
      <c r="W1590" t="s">
        <v>109</v>
      </c>
      <c r="X1590">
        <v>734</v>
      </c>
      <c r="Y1590" t="s">
        <v>4351</v>
      </c>
      <c r="Z1590" t="s">
        <v>4366</v>
      </c>
      <c r="AB1590" t="s">
        <v>5634</v>
      </c>
      <c r="AD1590" t="s">
        <v>6974</v>
      </c>
      <c r="AE1590">
        <v>27</v>
      </c>
      <c r="AF1590" t="s">
        <v>7101</v>
      </c>
      <c r="AG1590" t="s">
        <v>3745</v>
      </c>
      <c r="AH1590">
        <v>10</v>
      </c>
      <c r="AI1590">
        <v>1</v>
      </c>
      <c r="AJ1590">
        <v>3</v>
      </c>
      <c r="AK1590">
        <v>302.79</v>
      </c>
      <c r="AN1590" t="s">
        <v>7138</v>
      </c>
      <c r="AO1590">
        <v>76000</v>
      </c>
      <c r="AU1590">
        <v>5.75</v>
      </c>
      <c r="AV1590" t="s">
        <v>190</v>
      </c>
      <c r="AW1590" t="s">
        <v>7347</v>
      </c>
    </row>
    <row r="1591" spans="1:50">
      <c r="A1591" s="1">
        <f>HYPERLINK("https://lsnyc.legalserver.org/matter/dynamic-profile/view/1901231","19-1901231")</f>
        <v>0</v>
      </c>
      <c r="B1591" t="s">
        <v>98</v>
      </c>
      <c r="C1591" t="s">
        <v>104</v>
      </c>
      <c r="D1591" t="s">
        <v>426</v>
      </c>
      <c r="E1591" t="s">
        <v>612</v>
      </c>
      <c r="F1591" t="s">
        <v>1481</v>
      </c>
      <c r="G1591" t="s">
        <v>2354</v>
      </c>
      <c r="H1591" t="s">
        <v>3216</v>
      </c>
      <c r="I1591">
        <v>6</v>
      </c>
      <c r="J1591" t="s">
        <v>3604</v>
      </c>
      <c r="K1591">
        <v>10012</v>
      </c>
      <c r="L1591" t="s">
        <v>3610</v>
      </c>
      <c r="M1591" t="s">
        <v>3609</v>
      </c>
      <c r="N1591" t="s">
        <v>4175</v>
      </c>
      <c r="O1591" t="s">
        <v>4209</v>
      </c>
      <c r="P1591" t="s">
        <v>4242</v>
      </c>
      <c r="Q1591" t="s">
        <v>4250</v>
      </c>
      <c r="R1591" t="s">
        <v>4258</v>
      </c>
      <c r="S1591" t="s">
        <v>3611</v>
      </c>
      <c r="U1591" t="s">
        <v>4268</v>
      </c>
      <c r="W1591" t="s">
        <v>426</v>
      </c>
      <c r="X1591">
        <v>2933.14</v>
      </c>
      <c r="Y1591" t="s">
        <v>4351</v>
      </c>
      <c r="Z1591" t="s">
        <v>4364</v>
      </c>
      <c r="AA1591" t="s">
        <v>4373</v>
      </c>
      <c r="AB1591" t="s">
        <v>5635</v>
      </c>
      <c r="AD1591" t="s">
        <v>6975</v>
      </c>
      <c r="AE1591">
        <v>9</v>
      </c>
      <c r="AF1591" t="s">
        <v>7101</v>
      </c>
      <c r="AG1591" t="s">
        <v>3745</v>
      </c>
      <c r="AH1591">
        <v>22</v>
      </c>
      <c r="AI1591">
        <v>1</v>
      </c>
      <c r="AJ1591">
        <v>0</v>
      </c>
      <c r="AK1591">
        <v>304.24</v>
      </c>
      <c r="AN1591" t="s">
        <v>7138</v>
      </c>
      <c r="AO1591">
        <v>38000</v>
      </c>
      <c r="AU1591">
        <v>1</v>
      </c>
      <c r="AV1591" t="s">
        <v>426</v>
      </c>
      <c r="AW1591" t="s">
        <v>7347</v>
      </c>
      <c r="AX1591" t="s">
        <v>7377</v>
      </c>
    </row>
    <row r="1592" spans="1:50">
      <c r="A1592" s="1">
        <f>HYPERLINK("https://lsnyc.legalserver.org/matter/dynamic-profile/view/1896355","19-1896355")</f>
        <v>0</v>
      </c>
      <c r="B1592" t="s">
        <v>60</v>
      </c>
      <c r="C1592" t="s">
        <v>105</v>
      </c>
      <c r="D1592" t="s">
        <v>340</v>
      </c>
      <c r="F1592" t="s">
        <v>1482</v>
      </c>
      <c r="G1592" t="s">
        <v>2355</v>
      </c>
      <c r="H1592" t="s">
        <v>3008</v>
      </c>
      <c r="I1592" t="s">
        <v>3316</v>
      </c>
      <c r="J1592" t="s">
        <v>3604</v>
      </c>
      <c r="K1592">
        <v>10034</v>
      </c>
      <c r="L1592" t="s">
        <v>3609</v>
      </c>
      <c r="M1592" t="s">
        <v>3609</v>
      </c>
      <c r="N1592">
        <v>51766</v>
      </c>
      <c r="O1592" t="s">
        <v>4209</v>
      </c>
      <c r="P1592" t="s">
        <v>4246</v>
      </c>
      <c r="R1592" t="s">
        <v>4257</v>
      </c>
      <c r="U1592" t="s">
        <v>4268</v>
      </c>
      <c r="X1592">
        <v>1470</v>
      </c>
      <c r="Y1592" t="s">
        <v>4351</v>
      </c>
      <c r="AB1592" t="s">
        <v>5636</v>
      </c>
      <c r="AD1592" t="s">
        <v>6976</v>
      </c>
      <c r="AE1592">
        <v>0</v>
      </c>
      <c r="AH1592">
        <v>5</v>
      </c>
      <c r="AI1592">
        <v>2</v>
      </c>
      <c r="AJ1592">
        <v>2</v>
      </c>
      <c r="AK1592">
        <v>306.45</v>
      </c>
      <c r="AN1592" t="s">
        <v>7138</v>
      </c>
      <c r="AO1592">
        <v>78910</v>
      </c>
      <c r="AU1592">
        <v>1</v>
      </c>
      <c r="AV1592" t="s">
        <v>4302</v>
      </c>
      <c r="AW1592" t="s">
        <v>7340</v>
      </c>
    </row>
    <row r="1593" spans="1:50">
      <c r="A1593" s="1">
        <f>HYPERLINK("https://lsnyc.legalserver.org/matter/dynamic-profile/view/0826190","17-0826190")</f>
        <v>0</v>
      </c>
      <c r="B1593" t="s">
        <v>53</v>
      </c>
      <c r="C1593" t="s">
        <v>105</v>
      </c>
      <c r="D1593" t="s">
        <v>394</v>
      </c>
      <c r="F1593" t="s">
        <v>1483</v>
      </c>
      <c r="G1593" t="s">
        <v>2356</v>
      </c>
      <c r="H1593" t="s">
        <v>2652</v>
      </c>
      <c r="I1593" t="s">
        <v>3314</v>
      </c>
      <c r="J1593" t="s">
        <v>3604</v>
      </c>
      <c r="K1593">
        <v>10034</v>
      </c>
      <c r="L1593" t="s">
        <v>3610</v>
      </c>
      <c r="M1593" t="s">
        <v>3609</v>
      </c>
      <c r="O1593" t="s">
        <v>4220</v>
      </c>
      <c r="P1593" t="s">
        <v>4243</v>
      </c>
      <c r="R1593" t="s">
        <v>4258</v>
      </c>
      <c r="S1593" t="s">
        <v>3610</v>
      </c>
      <c r="U1593" t="s">
        <v>4268</v>
      </c>
      <c r="W1593" t="s">
        <v>565</v>
      </c>
      <c r="X1593">
        <v>769.23</v>
      </c>
      <c r="Y1593" t="s">
        <v>4351</v>
      </c>
      <c r="Z1593" t="s">
        <v>4352</v>
      </c>
      <c r="AB1593" t="s">
        <v>4942</v>
      </c>
      <c r="AD1593" t="s">
        <v>6977</v>
      </c>
      <c r="AE1593">
        <v>26</v>
      </c>
      <c r="AF1593" t="s">
        <v>7101</v>
      </c>
      <c r="AG1593" t="s">
        <v>3745</v>
      </c>
      <c r="AH1593">
        <v>39</v>
      </c>
      <c r="AI1593">
        <v>1</v>
      </c>
      <c r="AJ1593">
        <v>0</v>
      </c>
      <c r="AK1593">
        <v>306.97</v>
      </c>
      <c r="AL1593" t="s">
        <v>7130</v>
      </c>
      <c r="AN1593" t="s">
        <v>7139</v>
      </c>
      <c r="AO1593">
        <v>36468</v>
      </c>
      <c r="AU1593">
        <v>1</v>
      </c>
      <c r="AV1593" t="s">
        <v>362</v>
      </c>
      <c r="AW1593" t="s">
        <v>7341</v>
      </c>
    </row>
    <row r="1594" spans="1:50">
      <c r="A1594" s="1">
        <f>HYPERLINK("https://lsnyc.legalserver.org/matter/dynamic-profile/view/1841986","17-1841986")</f>
        <v>0</v>
      </c>
      <c r="B1594" t="s">
        <v>64</v>
      </c>
      <c r="C1594" t="s">
        <v>104</v>
      </c>
      <c r="D1594" t="s">
        <v>312</v>
      </c>
      <c r="E1594" t="s">
        <v>335</v>
      </c>
      <c r="F1594" t="s">
        <v>1448</v>
      </c>
      <c r="G1594" t="s">
        <v>2357</v>
      </c>
      <c r="H1594" t="s">
        <v>2828</v>
      </c>
      <c r="I1594" t="s">
        <v>3576</v>
      </c>
      <c r="J1594" t="s">
        <v>3604</v>
      </c>
      <c r="K1594">
        <v>10034</v>
      </c>
      <c r="L1594" t="s">
        <v>3610</v>
      </c>
      <c r="M1594" t="s">
        <v>3610</v>
      </c>
      <c r="O1594" t="s">
        <v>4213</v>
      </c>
      <c r="P1594" t="s">
        <v>4244</v>
      </c>
      <c r="Q1594" t="s">
        <v>4249</v>
      </c>
      <c r="R1594" t="s">
        <v>4258</v>
      </c>
      <c r="S1594" t="s">
        <v>3610</v>
      </c>
      <c r="U1594" t="s">
        <v>4268</v>
      </c>
      <c r="W1594" t="s">
        <v>133</v>
      </c>
      <c r="X1594">
        <v>1913.3</v>
      </c>
      <c r="Y1594" t="s">
        <v>4351</v>
      </c>
      <c r="Z1594" t="s">
        <v>4354</v>
      </c>
      <c r="AA1594" t="s">
        <v>4373</v>
      </c>
      <c r="AB1594" t="s">
        <v>5637</v>
      </c>
      <c r="AE1594">
        <v>65</v>
      </c>
      <c r="AF1594" t="s">
        <v>7101</v>
      </c>
      <c r="AG1594" t="s">
        <v>3745</v>
      </c>
      <c r="AH1594">
        <v>1</v>
      </c>
      <c r="AI1594">
        <v>2</v>
      </c>
      <c r="AJ1594">
        <v>0</v>
      </c>
      <c r="AK1594">
        <v>307.88</v>
      </c>
      <c r="AN1594" t="s">
        <v>7138</v>
      </c>
      <c r="AO1594">
        <v>50000</v>
      </c>
      <c r="AU1594">
        <v>0.3</v>
      </c>
      <c r="AV1594" t="s">
        <v>335</v>
      </c>
      <c r="AW1594" t="s">
        <v>7342</v>
      </c>
    </row>
    <row r="1595" spans="1:50">
      <c r="A1595" s="1">
        <f>HYPERLINK("https://lsnyc.legalserver.org/matter/dynamic-profile/view/1849799","17-1849799")</f>
        <v>0</v>
      </c>
      <c r="B1595" t="s">
        <v>64</v>
      </c>
      <c r="C1595" t="s">
        <v>105</v>
      </c>
      <c r="D1595" t="s">
        <v>281</v>
      </c>
      <c r="F1595" t="s">
        <v>719</v>
      </c>
      <c r="G1595" t="s">
        <v>1730</v>
      </c>
      <c r="H1595" t="s">
        <v>3211</v>
      </c>
      <c r="I1595" t="s">
        <v>3430</v>
      </c>
      <c r="J1595" t="s">
        <v>3604</v>
      </c>
      <c r="K1595">
        <v>10034</v>
      </c>
      <c r="L1595" t="s">
        <v>3610</v>
      </c>
      <c r="M1595" t="s">
        <v>3609</v>
      </c>
      <c r="O1595" t="s">
        <v>4213</v>
      </c>
      <c r="P1595" t="s">
        <v>4241</v>
      </c>
      <c r="R1595" t="s">
        <v>4258</v>
      </c>
      <c r="S1595" t="s">
        <v>3610</v>
      </c>
      <c r="U1595" t="s">
        <v>4268</v>
      </c>
      <c r="W1595" t="s">
        <v>281</v>
      </c>
      <c r="X1595">
        <v>1300</v>
      </c>
      <c r="Y1595" t="s">
        <v>4351</v>
      </c>
      <c r="Z1595" t="s">
        <v>4354</v>
      </c>
      <c r="AB1595" t="s">
        <v>5628</v>
      </c>
      <c r="AD1595" t="s">
        <v>6970</v>
      </c>
      <c r="AE1595">
        <v>50</v>
      </c>
      <c r="AF1595" t="s">
        <v>7101</v>
      </c>
      <c r="AG1595" t="s">
        <v>3745</v>
      </c>
      <c r="AH1595">
        <v>40</v>
      </c>
      <c r="AI1595">
        <v>2</v>
      </c>
      <c r="AJ1595">
        <v>0</v>
      </c>
      <c r="AK1595">
        <v>307.88</v>
      </c>
      <c r="AN1595" t="s">
        <v>7139</v>
      </c>
      <c r="AO1595">
        <v>50000</v>
      </c>
      <c r="AU1595">
        <v>12.5</v>
      </c>
      <c r="AV1595" t="s">
        <v>214</v>
      </c>
      <c r="AW1595" t="s">
        <v>7342</v>
      </c>
    </row>
    <row r="1596" spans="1:50">
      <c r="A1596" s="1">
        <f>HYPERLINK("https://lsnyc.legalserver.org/matter/dynamic-profile/view/1849246","17-1849246")</f>
        <v>0</v>
      </c>
      <c r="B1596" t="s">
        <v>59</v>
      </c>
      <c r="C1596" t="s">
        <v>105</v>
      </c>
      <c r="D1596" t="s">
        <v>546</v>
      </c>
      <c r="F1596" t="s">
        <v>1484</v>
      </c>
      <c r="G1596" t="s">
        <v>2358</v>
      </c>
      <c r="H1596" t="s">
        <v>3217</v>
      </c>
      <c r="I1596" t="s">
        <v>3577</v>
      </c>
      <c r="J1596" t="s">
        <v>3604</v>
      </c>
      <c r="K1596">
        <v>10019</v>
      </c>
      <c r="L1596" t="s">
        <v>3610</v>
      </c>
      <c r="M1596" t="s">
        <v>3609</v>
      </c>
      <c r="N1596" t="s">
        <v>4176</v>
      </c>
      <c r="O1596" t="s">
        <v>4210</v>
      </c>
      <c r="P1596" t="s">
        <v>4242</v>
      </c>
      <c r="R1596" t="s">
        <v>4258</v>
      </c>
      <c r="S1596" t="s">
        <v>3611</v>
      </c>
      <c r="T1596" t="s">
        <v>4259</v>
      </c>
      <c r="U1596" t="s">
        <v>4268</v>
      </c>
      <c r="W1596" t="s">
        <v>428</v>
      </c>
      <c r="X1596">
        <v>564</v>
      </c>
      <c r="Y1596" t="s">
        <v>4351</v>
      </c>
      <c r="Z1596" t="s">
        <v>4354</v>
      </c>
      <c r="AB1596" t="s">
        <v>5638</v>
      </c>
      <c r="AD1596" t="s">
        <v>6978</v>
      </c>
      <c r="AE1596">
        <v>597</v>
      </c>
      <c r="AF1596" t="s">
        <v>7101</v>
      </c>
      <c r="AG1596" t="s">
        <v>3745</v>
      </c>
      <c r="AH1596">
        <v>7</v>
      </c>
      <c r="AI1596">
        <v>1</v>
      </c>
      <c r="AJ1596">
        <v>1</v>
      </c>
      <c r="AK1596">
        <v>307.88</v>
      </c>
      <c r="AL1596" t="s">
        <v>7130</v>
      </c>
      <c r="AN1596" t="s">
        <v>7138</v>
      </c>
      <c r="AO1596">
        <v>50000</v>
      </c>
      <c r="AU1596">
        <v>0</v>
      </c>
      <c r="AW1596" t="s">
        <v>7344</v>
      </c>
    </row>
    <row r="1597" spans="1:50">
      <c r="A1597" s="1">
        <f>HYPERLINK("https://lsnyc.legalserver.org/matter/dynamic-profile/view/1886234","18-1886234")</f>
        <v>0</v>
      </c>
      <c r="B1597" t="s">
        <v>67</v>
      </c>
      <c r="C1597" t="s">
        <v>104</v>
      </c>
      <c r="D1597" t="s">
        <v>271</v>
      </c>
      <c r="E1597" t="s">
        <v>442</v>
      </c>
      <c r="F1597" t="s">
        <v>1485</v>
      </c>
      <c r="G1597" t="s">
        <v>1024</v>
      </c>
      <c r="H1597" t="s">
        <v>2624</v>
      </c>
      <c r="I1597">
        <v>201</v>
      </c>
      <c r="J1597" t="s">
        <v>3604</v>
      </c>
      <c r="K1597">
        <v>10029</v>
      </c>
      <c r="L1597" t="s">
        <v>3610</v>
      </c>
      <c r="M1597" t="s">
        <v>3610</v>
      </c>
      <c r="O1597" t="s">
        <v>4211</v>
      </c>
      <c r="P1597" t="s">
        <v>4242</v>
      </c>
      <c r="Q1597" t="s">
        <v>4250</v>
      </c>
      <c r="R1597" t="s">
        <v>4258</v>
      </c>
      <c r="S1597" t="s">
        <v>3611</v>
      </c>
      <c r="U1597" t="s">
        <v>4268</v>
      </c>
      <c r="V1597" t="s">
        <v>4274</v>
      </c>
      <c r="W1597" t="s">
        <v>271</v>
      </c>
      <c r="X1597">
        <v>398</v>
      </c>
      <c r="Y1597" t="s">
        <v>4351</v>
      </c>
      <c r="Z1597" t="s">
        <v>4352</v>
      </c>
      <c r="AA1597" t="s">
        <v>4373</v>
      </c>
      <c r="AB1597" t="s">
        <v>5639</v>
      </c>
      <c r="AD1597" t="s">
        <v>6979</v>
      </c>
      <c r="AE1597">
        <v>82</v>
      </c>
      <c r="AF1597" t="s">
        <v>7106</v>
      </c>
      <c r="AG1597" t="s">
        <v>7116</v>
      </c>
      <c r="AH1597">
        <v>32</v>
      </c>
      <c r="AI1597">
        <v>3</v>
      </c>
      <c r="AJ1597">
        <v>0</v>
      </c>
      <c r="AK1597">
        <v>309.05</v>
      </c>
      <c r="AN1597" t="s">
        <v>7138</v>
      </c>
      <c r="AO1597">
        <v>64220</v>
      </c>
      <c r="AU1597">
        <v>0.1</v>
      </c>
      <c r="AV1597" t="s">
        <v>671</v>
      </c>
      <c r="AW1597" t="s">
        <v>7341</v>
      </c>
    </row>
    <row r="1598" spans="1:50">
      <c r="A1598" s="1">
        <f>HYPERLINK("https://lsnyc.legalserver.org/matter/dynamic-profile/view/1836760","17-1836760")</f>
        <v>0</v>
      </c>
      <c r="B1598" t="s">
        <v>64</v>
      </c>
      <c r="C1598" t="s">
        <v>105</v>
      </c>
      <c r="D1598" t="s">
        <v>524</v>
      </c>
      <c r="F1598" t="s">
        <v>1273</v>
      </c>
      <c r="G1598" t="s">
        <v>1594</v>
      </c>
      <c r="H1598" t="s">
        <v>2576</v>
      </c>
      <c r="I1598" t="s">
        <v>3436</v>
      </c>
      <c r="J1598" t="s">
        <v>3604</v>
      </c>
      <c r="K1598">
        <v>10040</v>
      </c>
      <c r="L1598" t="s">
        <v>3610</v>
      </c>
      <c r="M1598" t="s">
        <v>3609</v>
      </c>
      <c r="N1598">
        <v>34134667</v>
      </c>
      <c r="O1598" t="s">
        <v>4213</v>
      </c>
      <c r="P1598" t="s">
        <v>4241</v>
      </c>
      <c r="R1598" t="s">
        <v>4258</v>
      </c>
      <c r="S1598" t="s">
        <v>3610</v>
      </c>
      <c r="U1598" t="s">
        <v>4268</v>
      </c>
      <c r="W1598" t="s">
        <v>133</v>
      </c>
      <c r="X1598">
        <v>1333.78</v>
      </c>
      <c r="Y1598" t="s">
        <v>4351</v>
      </c>
      <c r="Z1598" t="s">
        <v>4352</v>
      </c>
      <c r="AB1598" t="s">
        <v>5143</v>
      </c>
      <c r="AD1598" t="s">
        <v>6980</v>
      </c>
      <c r="AE1598">
        <v>83</v>
      </c>
      <c r="AF1598" t="s">
        <v>7101</v>
      </c>
      <c r="AG1598" t="s">
        <v>3745</v>
      </c>
      <c r="AH1598">
        <v>40</v>
      </c>
      <c r="AI1598">
        <v>2</v>
      </c>
      <c r="AJ1598">
        <v>0</v>
      </c>
      <c r="AK1598">
        <v>311.58</v>
      </c>
      <c r="AL1598" t="s">
        <v>518</v>
      </c>
      <c r="AN1598" t="s">
        <v>7139</v>
      </c>
      <c r="AO1598">
        <v>50600</v>
      </c>
      <c r="AU1598">
        <v>0</v>
      </c>
      <c r="AW1598" t="s">
        <v>7341</v>
      </c>
    </row>
    <row r="1599" spans="1:50">
      <c r="A1599" s="1">
        <f>HYPERLINK("https://lsnyc.legalserver.org/matter/dynamic-profile/view/1836752","17-1836752")</f>
        <v>0</v>
      </c>
      <c r="B1599" t="s">
        <v>64</v>
      </c>
      <c r="C1599" t="s">
        <v>104</v>
      </c>
      <c r="D1599" t="s">
        <v>524</v>
      </c>
      <c r="E1599" t="s">
        <v>280</v>
      </c>
      <c r="F1599" t="s">
        <v>1273</v>
      </c>
      <c r="G1599" t="s">
        <v>1594</v>
      </c>
      <c r="H1599" t="s">
        <v>2576</v>
      </c>
      <c r="I1599" t="s">
        <v>3436</v>
      </c>
      <c r="J1599" t="s">
        <v>3604</v>
      </c>
      <c r="K1599">
        <v>10040</v>
      </c>
      <c r="L1599" t="s">
        <v>3610</v>
      </c>
      <c r="M1599" t="s">
        <v>3609</v>
      </c>
      <c r="O1599" t="s">
        <v>4211</v>
      </c>
      <c r="P1599" t="s">
        <v>4244</v>
      </c>
      <c r="Q1599" t="s">
        <v>4254</v>
      </c>
      <c r="R1599" t="s">
        <v>4258</v>
      </c>
      <c r="S1599" t="s">
        <v>3610</v>
      </c>
      <c r="U1599" t="s">
        <v>4268</v>
      </c>
      <c r="W1599" t="s">
        <v>4282</v>
      </c>
      <c r="X1599">
        <v>1333.78</v>
      </c>
      <c r="Y1599" t="s">
        <v>4351</v>
      </c>
      <c r="Z1599" t="s">
        <v>4352</v>
      </c>
      <c r="AA1599" t="s">
        <v>4377</v>
      </c>
      <c r="AB1599" t="s">
        <v>5143</v>
      </c>
      <c r="AD1599" t="s">
        <v>6980</v>
      </c>
      <c r="AE1599">
        <v>83</v>
      </c>
      <c r="AF1599" t="s">
        <v>7101</v>
      </c>
      <c r="AG1599" t="s">
        <v>3745</v>
      </c>
      <c r="AH1599">
        <v>40</v>
      </c>
      <c r="AI1599">
        <v>2</v>
      </c>
      <c r="AJ1599">
        <v>0</v>
      </c>
      <c r="AK1599">
        <v>311.58</v>
      </c>
      <c r="AL1599" t="s">
        <v>7130</v>
      </c>
      <c r="AN1599" t="s">
        <v>7139</v>
      </c>
      <c r="AO1599">
        <v>50600</v>
      </c>
      <c r="AU1599">
        <v>0.2</v>
      </c>
      <c r="AV1599" t="s">
        <v>280</v>
      </c>
      <c r="AW1599" t="s">
        <v>7341</v>
      </c>
    </row>
    <row r="1600" spans="1:50">
      <c r="A1600" s="1">
        <f>HYPERLINK("https://lsnyc.legalserver.org/matter/dynamic-profile/view/0821759","16-0821759")</f>
        <v>0</v>
      </c>
      <c r="B1600" t="s">
        <v>64</v>
      </c>
      <c r="C1600" t="s">
        <v>104</v>
      </c>
      <c r="D1600" t="s">
        <v>640</v>
      </c>
      <c r="E1600" t="s">
        <v>378</v>
      </c>
      <c r="F1600" t="s">
        <v>1486</v>
      </c>
      <c r="G1600" t="s">
        <v>1751</v>
      </c>
      <c r="H1600" t="s">
        <v>2718</v>
      </c>
      <c r="I1600" t="s">
        <v>3295</v>
      </c>
      <c r="J1600" t="s">
        <v>3604</v>
      </c>
      <c r="K1600">
        <v>10034</v>
      </c>
      <c r="L1600" t="s">
        <v>3610</v>
      </c>
      <c r="M1600" t="s">
        <v>3609</v>
      </c>
      <c r="O1600" t="s">
        <v>4213</v>
      </c>
      <c r="P1600" t="s">
        <v>4241</v>
      </c>
      <c r="Q1600" t="s">
        <v>4248</v>
      </c>
      <c r="R1600" t="s">
        <v>4258</v>
      </c>
      <c r="S1600" t="s">
        <v>3610</v>
      </c>
      <c r="U1600" t="s">
        <v>4268</v>
      </c>
      <c r="W1600" t="s">
        <v>640</v>
      </c>
      <c r="X1600">
        <v>1049</v>
      </c>
      <c r="Y1600" t="s">
        <v>4351</v>
      </c>
      <c r="Z1600" t="s">
        <v>4352</v>
      </c>
      <c r="AA1600" t="s">
        <v>4379</v>
      </c>
      <c r="AB1600" t="s">
        <v>5640</v>
      </c>
      <c r="AD1600" t="s">
        <v>6981</v>
      </c>
      <c r="AE1600">
        <v>65</v>
      </c>
      <c r="AF1600" t="s">
        <v>7101</v>
      </c>
      <c r="AG1600" t="s">
        <v>7118</v>
      </c>
      <c r="AH1600">
        <v>6</v>
      </c>
      <c r="AI1600">
        <v>2</v>
      </c>
      <c r="AJ1600">
        <v>0</v>
      </c>
      <c r="AK1600">
        <v>312.11</v>
      </c>
      <c r="AL1600" t="s">
        <v>7130</v>
      </c>
      <c r="AN1600" t="s">
        <v>7139</v>
      </c>
      <c r="AO1600">
        <v>50000</v>
      </c>
      <c r="AU1600">
        <v>6.6</v>
      </c>
      <c r="AV1600" t="s">
        <v>211</v>
      </c>
      <c r="AW1600" t="s">
        <v>7341</v>
      </c>
    </row>
    <row r="1601" spans="1:50">
      <c r="A1601" s="1">
        <f>HYPERLINK("https://lsnyc.legalserver.org/matter/dynamic-profile/view/1857680","18-1857680")</f>
        <v>0</v>
      </c>
      <c r="B1601" t="s">
        <v>90</v>
      </c>
      <c r="C1601" t="s">
        <v>104</v>
      </c>
      <c r="D1601" t="s">
        <v>404</v>
      </c>
      <c r="E1601" t="s">
        <v>660</v>
      </c>
      <c r="F1601" t="s">
        <v>993</v>
      </c>
      <c r="G1601" t="s">
        <v>2359</v>
      </c>
      <c r="H1601" t="s">
        <v>3218</v>
      </c>
      <c r="I1601">
        <v>25</v>
      </c>
      <c r="J1601" t="s">
        <v>3604</v>
      </c>
      <c r="K1601">
        <v>10033</v>
      </c>
      <c r="L1601" t="s">
        <v>3610</v>
      </c>
      <c r="M1601" t="s">
        <v>3609</v>
      </c>
      <c r="O1601" t="s">
        <v>4221</v>
      </c>
      <c r="P1601" t="s">
        <v>4244</v>
      </c>
      <c r="Q1601" t="s">
        <v>4251</v>
      </c>
      <c r="R1601" t="s">
        <v>4258</v>
      </c>
      <c r="S1601" t="s">
        <v>3611</v>
      </c>
      <c r="T1601" t="s">
        <v>4259</v>
      </c>
      <c r="U1601" t="s">
        <v>4268</v>
      </c>
      <c r="W1601" t="s">
        <v>404</v>
      </c>
      <c r="X1601">
        <v>397.21</v>
      </c>
      <c r="Y1601" t="s">
        <v>4351</v>
      </c>
      <c r="Z1601" t="s">
        <v>4354</v>
      </c>
      <c r="AA1601" t="s">
        <v>4378</v>
      </c>
      <c r="AB1601" t="s">
        <v>5641</v>
      </c>
      <c r="AD1601" t="s">
        <v>6982</v>
      </c>
      <c r="AE1601">
        <v>37</v>
      </c>
      <c r="AF1601" t="s">
        <v>7104</v>
      </c>
      <c r="AG1601" t="s">
        <v>3745</v>
      </c>
      <c r="AH1601">
        <v>76</v>
      </c>
      <c r="AI1601">
        <v>1</v>
      </c>
      <c r="AJ1601">
        <v>0</v>
      </c>
      <c r="AK1601">
        <v>312.12</v>
      </c>
      <c r="AL1601" t="s">
        <v>7130</v>
      </c>
      <c r="AN1601" t="s">
        <v>7138</v>
      </c>
      <c r="AO1601">
        <v>37641.96</v>
      </c>
      <c r="AU1601">
        <v>12.05</v>
      </c>
      <c r="AV1601" t="s">
        <v>7335</v>
      </c>
      <c r="AW1601" t="s">
        <v>7342</v>
      </c>
      <c r="AX1601" t="s">
        <v>7377</v>
      </c>
    </row>
    <row r="1602" spans="1:50">
      <c r="A1602" s="1">
        <f>HYPERLINK("https://lsnyc.legalserver.org/matter/dynamic-profile/view/1892648","19-1892648")</f>
        <v>0</v>
      </c>
      <c r="B1602" t="s">
        <v>64</v>
      </c>
      <c r="C1602" t="s">
        <v>104</v>
      </c>
      <c r="D1602" t="s">
        <v>190</v>
      </c>
      <c r="E1602" t="s">
        <v>245</v>
      </c>
      <c r="F1602" t="s">
        <v>777</v>
      </c>
      <c r="G1602" t="s">
        <v>2360</v>
      </c>
      <c r="H1602" t="s">
        <v>3219</v>
      </c>
      <c r="I1602" t="s">
        <v>3578</v>
      </c>
      <c r="J1602" t="s">
        <v>3604</v>
      </c>
      <c r="K1602">
        <v>10040</v>
      </c>
      <c r="L1602" t="s">
        <v>3610</v>
      </c>
      <c r="M1602" t="s">
        <v>3610</v>
      </c>
      <c r="N1602" t="s">
        <v>4177</v>
      </c>
      <c r="O1602" t="s">
        <v>4209</v>
      </c>
      <c r="P1602" t="s">
        <v>4245</v>
      </c>
      <c r="Q1602" t="s">
        <v>4249</v>
      </c>
      <c r="R1602" t="s">
        <v>4258</v>
      </c>
      <c r="S1602" t="s">
        <v>3611</v>
      </c>
      <c r="U1602" t="s">
        <v>4268</v>
      </c>
      <c r="W1602" t="s">
        <v>190</v>
      </c>
      <c r="X1602">
        <v>802.88</v>
      </c>
      <c r="Y1602" t="s">
        <v>4351</v>
      </c>
      <c r="Z1602" t="s">
        <v>4354</v>
      </c>
      <c r="AA1602" t="s">
        <v>4384</v>
      </c>
      <c r="AB1602" t="s">
        <v>5642</v>
      </c>
      <c r="AE1602">
        <v>68</v>
      </c>
      <c r="AF1602" t="s">
        <v>7101</v>
      </c>
      <c r="AG1602" t="s">
        <v>3745</v>
      </c>
      <c r="AH1602">
        <v>30</v>
      </c>
      <c r="AI1602">
        <v>1</v>
      </c>
      <c r="AJ1602">
        <v>0</v>
      </c>
      <c r="AK1602">
        <v>312.25</v>
      </c>
      <c r="AN1602" t="s">
        <v>7139</v>
      </c>
      <c r="AO1602">
        <v>39000</v>
      </c>
      <c r="AU1602">
        <v>1.5</v>
      </c>
      <c r="AV1602" t="s">
        <v>245</v>
      </c>
      <c r="AW1602" t="s">
        <v>7342</v>
      </c>
    </row>
    <row r="1603" spans="1:50">
      <c r="A1603" s="1">
        <f>HYPERLINK("https://lsnyc.legalserver.org/matter/dynamic-profile/view/1865455","18-1865455")</f>
        <v>0</v>
      </c>
      <c r="B1603" t="s">
        <v>71</v>
      </c>
      <c r="C1603" t="s">
        <v>104</v>
      </c>
      <c r="D1603" t="s">
        <v>557</v>
      </c>
      <c r="E1603" t="s">
        <v>663</v>
      </c>
      <c r="F1603" t="s">
        <v>1487</v>
      </c>
      <c r="G1603" t="s">
        <v>2361</v>
      </c>
      <c r="H1603" t="s">
        <v>3208</v>
      </c>
      <c r="I1603" t="s">
        <v>3274</v>
      </c>
      <c r="J1603" t="s">
        <v>3604</v>
      </c>
      <c r="K1603">
        <v>10027</v>
      </c>
      <c r="L1603" t="s">
        <v>3610</v>
      </c>
      <c r="M1603" t="s">
        <v>3609</v>
      </c>
      <c r="N1603" t="s">
        <v>4178</v>
      </c>
      <c r="O1603" t="s">
        <v>4238</v>
      </c>
      <c r="P1603" t="s">
        <v>4241</v>
      </c>
      <c r="Q1603" t="s">
        <v>4248</v>
      </c>
      <c r="R1603" t="s">
        <v>4258</v>
      </c>
      <c r="S1603" t="s">
        <v>3610</v>
      </c>
      <c r="T1603" t="s">
        <v>4259</v>
      </c>
      <c r="U1603" t="s">
        <v>4268</v>
      </c>
      <c r="W1603" t="s">
        <v>557</v>
      </c>
      <c r="X1603">
        <v>0</v>
      </c>
      <c r="Y1603" t="s">
        <v>4351</v>
      </c>
      <c r="Z1603" t="s">
        <v>4357</v>
      </c>
      <c r="AA1603" t="s">
        <v>4374</v>
      </c>
      <c r="AB1603" t="s">
        <v>5643</v>
      </c>
      <c r="AD1603" t="s">
        <v>6983</v>
      </c>
      <c r="AE1603">
        <v>17</v>
      </c>
      <c r="AF1603" t="s">
        <v>7101</v>
      </c>
      <c r="AG1603" t="s">
        <v>3745</v>
      </c>
      <c r="AH1603">
        <v>25</v>
      </c>
      <c r="AI1603">
        <v>2</v>
      </c>
      <c r="AJ1603">
        <v>1</v>
      </c>
      <c r="AK1603">
        <v>312.8</v>
      </c>
      <c r="AL1603" t="s">
        <v>7130</v>
      </c>
      <c r="AN1603" t="s">
        <v>7138</v>
      </c>
      <c r="AO1603">
        <v>80600</v>
      </c>
      <c r="AU1603">
        <v>10.1</v>
      </c>
      <c r="AV1603" t="s">
        <v>122</v>
      </c>
      <c r="AW1603" t="s">
        <v>7344</v>
      </c>
    </row>
    <row r="1604" spans="1:50">
      <c r="A1604" s="1">
        <f>HYPERLINK("https://lsnyc.legalserver.org/matter/dynamic-profile/view/1881317","18-1881317")</f>
        <v>0</v>
      </c>
      <c r="B1604" t="s">
        <v>84</v>
      </c>
      <c r="C1604" t="s">
        <v>104</v>
      </c>
      <c r="D1604" t="s">
        <v>220</v>
      </c>
      <c r="E1604" t="s">
        <v>521</v>
      </c>
      <c r="F1604" t="s">
        <v>983</v>
      </c>
      <c r="G1604" t="s">
        <v>2362</v>
      </c>
      <c r="H1604" t="s">
        <v>3220</v>
      </c>
      <c r="I1604">
        <v>47</v>
      </c>
      <c r="J1604" t="s">
        <v>3604</v>
      </c>
      <c r="K1604">
        <v>10027</v>
      </c>
      <c r="L1604" t="s">
        <v>3610</v>
      </c>
      <c r="M1604" t="s">
        <v>3610</v>
      </c>
      <c r="N1604" t="s">
        <v>4179</v>
      </c>
      <c r="O1604" t="s">
        <v>4209</v>
      </c>
      <c r="P1604" t="s">
        <v>4242</v>
      </c>
      <c r="Q1604" t="s">
        <v>4250</v>
      </c>
      <c r="R1604" t="s">
        <v>4258</v>
      </c>
      <c r="S1604" t="s">
        <v>3611</v>
      </c>
      <c r="U1604" t="s">
        <v>4268</v>
      </c>
      <c r="V1604" t="s">
        <v>4274</v>
      </c>
      <c r="W1604" t="s">
        <v>4347</v>
      </c>
      <c r="X1604">
        <v>700</v>
      </c>
      <c r="Y1604" t="s">
        <v>4351</v>
      </c>
      <c r="Z1604" t="s">
        <v>4353</v>
      </c>
      <c r="AA1604" t="s">
        <v>4373</v>
      </c>
      <c r="AB1604" t="s">
        <v>4947</v>
      </c>
      <c r="AD1604" t="s">
        <v>6984</v>
      </c>
      <c r="AE1604">
        <v>0</v>
      </c>
      <c r="AF1604" t="s">
        <v>7105</v>
      </c>
      <c r="AG1604" t="s">
        <v>3745</v>
      </c>
      <c r="AH1604">
        <v>3</v>
      </c>
      <c r="AI1604">
        <v>1</v>
      </c>
      <c r="AJ1604">
        <v>0</v>
      </c>
      <c r="AK1604">
        <v>313.01</v>
      </c>
      <c r="AN1604" t="s">
        <v>7138</v>
      </c>
      <c r="AO1604">
        <v>38000</v>
      </c>
      <c r="AU1604">
        <v>1.5</v>
      </c>
      <c r="AV1604" t="s">
        <v>7284</v>
      </c>
      <c r="AW1604" t="s">
        <v>7344</v>
      </c>
    </row>
    <row r="1605" spans="1:50">
      <c r="A1605" s="1">
        <f>HYPERLINK("https://lsnyc.legalserver.org/matter/dynamic-profile/view/1897721","19-1897721")</f>
        <v>0</v>
      </c>
      <c r="B1605" t="s">
        <v>53</v>
      </c>
      <c r="C1605" t="s">
        <v>105</v>
      </c>
      <c r="D1605" t="s">
        <v>146</v>
      </c>
      <c r="F1605" t="s">
        <v>1488</v>
      </c>
      <c r="G1605" t="s">
        <v>2363</v>
      </c>
      <c r="H1605" t="s">
        <v>3221</v>
      </c>
      <c r="I1605" t="s">
        <v>3333</v>
      </c>
      <c r="J1605" t="s">
        <v>3604</v>
      </c>
      <c r="K1605">
        <v>10035</v>
      </c>
      <c r="L1605" t="s">
        <v>3610</v>
      </c>
      <c r="M1605" t="s">
        <v>3610</v>
      </c>
      <c r="O1605" t="s">
        <v>4211</v>
      </c>
      <c r="P1605" t="s">
        <v>4245</v>
      </c>
      <c r="R1605" t="s">
        <v>4258</v>
      </c>
      <c r="S1605" t="s">
        <v>3610</v>
      </c>
      <c r="U1605" t="s">
        <v>4268</v>
      </c>
      <c r="V1605" t="s">
        <v>4274</v>
      </c>
      <c r="W1605" t="s">
        <v>319</v>
      </c>
      <c r="X1605">
        <v>1065</v>
      </c>
      <c r="Y1605" t="s">
        <v>4351</v>
      </c>
      <c r="Z1605" t="s">
        <v>4361</v>
      </c>
      <c r="AB1605" t="s">
        <v>5644</v>
      </c>
      <c r="AE1605">
        <v>60</v>
      </c>
      <c r="AF1605" t="s">
        <v>7101</v>
      </c>
      <c r="AG1605" t="s">
        <v>3745</v>
      </c>
      <c r="AH1605">
        <v>14</v>
      </c>
      <c r="AI1605">
        <v>2</v>
      </c>
      <c r="AJ1605">
        <v>0</v>
      </c>
      <c r="AK1605">
        <v>313.42</v>
      </c>
      <c r="AN1605" t="s">
        <v>7138</v>
      </c>
      <c r="AO1605">
        <v>53000</v>
      </c>
      <c r="AP1605" t="s">
        <v>7165</v>
      </c>
      <c r="AU1605">
        <v>0</v>
      </c>
      <c r="AW1605" t="s">
        <v>7341</v>
      </c>
      <c r="AX1605" t="s">
        <v>7377</v>
      </c>
    </row>
    <row r="1606" spans="1:50">
      <c r="A1606" s="1">
        <f>HYPERLINK("https://lsnyc.legalserver.org/matter/dynamic-profile/view/1880130","18-1880130")</f>
        <v>0</v>
      </c>
      <c r="B1606" t="s">
        <v>52</v>
      </c>
      <c r="C1606" t="s">
        <v>104</v>
      </c>
      <c r="D1606" t="s">
        <v>269</v>
      </c>
      <c r="E1606" t="s">
        <v>285</v>
      </c>
      <c r="F1606" t="s">
        <v>932</v>
      </c>
      <c r="G1606" t="s">
        <v>2364</v>
      </c>
      <c r="H1606" t="s">
        <v>3222</v>
      </c>
      <c r="I1606" t="s">
        <v>3344</v>
      </c>
      <c r="J1606" t="s">
        <v>3608</v>
      </c>
      <c r="K1606">
        <v>10463</v>
      </c>
      <c r="L1606" t="s">
        <v>3610</v>
      </c>
      <c r="M1606" t="s">
        <v>3610</v>
      </c>
      <c r="N1606" t="s">
        <v>4180</v>
      </c>
      <c r="O1606" t="s">
        <v>4209</v>
      </c>
      <c r="P1606" t="s">
        <v>4241</v>
      </c>
      <c r="Q1606" t="s">
        <v>4250</v>
      </c>
      <c r="R1606" t="s">
        <v>4258</v>
      </c>
      <c r="S1606" t="s">
        <v>3611</v>
      </c>
      <c r="U1606" t="s">
        <v>4268</v>
      </c>
      <c r="W1606" t="s">
        <v>269</v>
      </c>
      <c r="X1606">
        <v>1273</v>
      </c>
      <c r="Y1606" t="s">
        <v>4351</v>
      </c>
      <c r="Z1606" t="s">
        <v>4354</v>
      </c>
      <c r="AA1606" t="s">
        <v>4373</v>
      </c>
      <c r="AB1606" t="s">
        <v>5645</v>
      </c>
      <c r="AD1606" t="s">
        <v>6985</v>
      </c>
      <c r="AE1606">
        <v>318</v>
      </c>
      <c r="AF1606" t="s">
        <v>7101</v>
      </c>
      <c r="AG1606" t="s">
        <v>3745</v>
      </c>
      <c r="AH1606">
        <v>43</v>
      </c>
      <c r="AI1606">
        <v>1</v>
      </c>
      <c r="AJ1606">
        <v>0</v>
      </c>
      <c r="AK1606">
        <v>313.54</v>
      </c>
      <c r="AL1606" t="s">
        <v>688</v>
      </c>
      <c r="AM1606" t="s">
        <v>7134</v>
      </c>
      <c r="AN1606" t="s">
        <v>7138</v>
      </c>
      <c r="AO1606">
        <v>38064</v>
      </c>
      <c r="AU1606">
        <v>13.1</v>
      </c>
      <c r="AV1606" t="s">
        <v>4296</v>
      </c>
      <c r="AW1606" t="s">
        <v>7342</v>
      </c>
      <c r="AX1606" t="s">
        <v>7377</v>
      </c>
    </row>
    <row r="1607" spans="1:50">
      <c r="A1607" s="1">
        <f>HYPERLINK("https://lsnyc.legalserver.org/matter/dynamic-profile/view/1856109","18-1856109")</f>
        <v>0</v>
      </c>
      <c r="B1607" t="s">
        <v>86</v>
      </c>
      <c r="C1607" t="s">
        <v>104</v>
      </c>
      <c r="D1607" t="s">
        <v>368</v>
      </c>
      <c r="E1607" t="s">
        <v>485</v>
      </c>
      <c r="F1607" t="s">
        <v>1489</v>
      </c>
      <c r="G1607" t="s">
        <v>1757</v>
      </c>
      <c r="H1607" t="s">
        <v>3223</v>
      </c>
      <c r="I1607">
        <v>13</v>
      </c>
      <c r="J1607" t="s">
        <v>3604</v>
      </c>
      <c r="K1607">
        <v>10038</v>
      </c>
      <c r="L1607" t="s">
        <v>3610</v>
      </c>
      <c r="M1607" t="s">
        <v>3609</v>
      </c>
      <c r="O1607" t="s">
        <v>4211</v>
      </c>
      <c r="P1607" t="s">
        <v>4242</v>
      </c>
      <c r="Q1607" t="s">
        <v>4250</v>
      </c>
      <c r="R1607" t="s">
        <v>4258</v>
      </c>
      <c r="T1607" t="s">
        <v>4258</v>
      </c>
      <c r="U1607" t="s">
        <v>4268</v>
      </c>
      <c r="W1607" t="s">
        <v>428</v>
      </c>
      <c r="X1607">
        <v>0</v>
      </c>
      <c r="Y1607" t="s">
        <v>4351</v>
      </c>
      <c r="Z1607" t="s">
        <v>4352</v>
      </c>
      <c r="AA1607" t="s">
        <v>4373</v>
      </c>
      <c r="AB1607" t="s">
        <v>5646</v>
      </c>
      <c r="AD1607" t="s">
        <v>6986</v>
      </c>
      <c r="AE1607">
        <v>18</v>
      </c>
      <c r="AF1607" t="s">
        <v>7101</v>
      </c>
      <c r="AH1607">
        <v>0</v>
      </c>
      <c r="AI1607">
        <v>3</v>
      </c>
      <c r="AJ1607">
        <v>0</v>
      </c>
      <c r="AK1607">
        <v>318.32</v>
      </c>
      <c r="AL1607" t="s">
        <v>7130</v>
      </c>
      <c r="AN1607" t="s">
        <v>7138</v>
      </c>
      <c r="AO1607">
        <v>65000</v>
      </c>
      <c r="AU1607">
        <v>0.1</v>
      </c>
      <c r="AV1607" t="s">
        <v>603</v>
      </c>
      <c r="AW1607" t="s">
        <v>7344</v>
      </c>
    </row>
    <row r="1608" spans="1:50">
      <c r="A1608" s="1">
        <f>HYPERLINK("https://lsnyc.legalserver.org/matter/dynamic-profile/view/1841839","17-1841839")</f>
        <v>0</v>
      </c>
      <c r="B1608" t="s">
        <v>53</v>
      </c>
      <c r="C1608" t="s">
        <v>104</v>
      </c>
      <c r="D1608" t="s">
        <v>210</v>
      </c>
      <c r="E1608" t="s">
        <v>109</v>
      </c>
      <c r="F1608" t="s">
        <v>1025</v>
      </c>
      <c r="G1608" t="s">
        <v>1775</v>
      </c>
      <c r="H1608" t="s">
        <v>2462</v>
      </c>
      <c r="I1608" t="s">
        <v>3324</v>
      </c>
      <c r="J1608" t="s">
        <v>3604</v>
      </c>
      <c r="K1608">
        <v>10040</v>
      </c>
      <c r="L1608" t="s">
        <v>3610</v>
      </c>
      <c r="M1608" t="s">
        <v>3610</v>
      </c>
      <c r="N1608" t="s">
        <v>3669</v>
      </c>
      <c r="O1608" t="s">
        <v>4213</v>
      </c>
      <c r="P1608" t="s">
        <v>4242</v>
      </c>
      <c r="Q1608" t="s">
        <v>4250</v>
      </c>
      <c r="R1608" t="s">
        <v>4258</v>
      </c>
      <c r="S1608" t="s">
        <v>3610</v>
      </c>
      <c r="U1608" t="s">
        <v>4268</v>
      </c>
      <c r="W1608" t="s">
        <v>133</v>
      </c>
      <c r="X1608">
        <v>596.58</v>
      </c>
      <c r="Y1608" t="s">
        <v>4351</v>
      </c>
      <c r="Z1608" t="s">
        <v>4352</v>
      </c>
      <c r="AA1608" t="s">
        <v>4373</v>
      </c>
      <c r="AB1608" t="s">
        <v>5647</v>
      </c>
      <c r="AE1608">
        <v>31</v>
      </c>
      <c r="AF1608" t="s">
        <v>7101</v>
      </c>
      <c r="AG1608" t="s">
        <v>3745</v>
      </c>
      <c r="AH1608">
        <v>35</v>
      </c>
      <c r="AI1608">
        <v>2</v>
      </c>
      <c r="AJ1608">
        <v>0</v>
      </c>
      <c r="AK1608">
        <v>320.2</v>
      </c>
      <c r="AL1608" t="s">
        <v>7130</v>
      </c>
      <c r="AN1608" t="s">
        <v>7139</v>
      </c>
      <c r="AO1608">
        <v>52000</v>
      </c>
      <c r="AP1608" t="s">
        <v>7171</v>
      </c>
      <c r="AU1608">
        <v>0.9</v>
      </c>
      <c r="AV1608" t="s">
        <v>109</v>
      </c>
      <c r="AW1608" t="s">
        <v>7342</v>
      </c>
    </row>
    <row r="1609" spans="1:50">
      <c r="A1609" s="1">
        <f>HYPERLINK("https://lsnyc.legalserver.org/matter/dynamic-profile/view/1895540","19-1895540")</f>
        <v>0</v>
      </c>
      <c r="B1609" t="s">
        <v>61</v>
      </c>
      <c r="C1609" t="s">
        <v>105</v>
      </c>
      <c r="D1609" t="s">
        <v>179</v>
      </c>
      <c r="F1609" t="s">
        <v>1490</v>
      </c>
      <c r="G1609" t="s">
        <v>2365</v>
      </c>
      <c r="H1609" t="s">
        <v>2556</v>
      </c>
      <c r="I1609">
        <v>23</v>
      </c>
      <c r="J1609" t="s">
        <v>3604</v>
      </c>
      <c r="K1609">
        <v>10034</v>
      </c>
      <c r="L1609" t="s">
        <v>3610</v>
      </c>
      <c r="M1609" t="s">
        <v>3610</v>
      </c>
      <c r="N1609" t="s">
        <v>4181</v>
      </c>
      <c r="O1609" t="s">
        <v>4213</v>
      </c>
      <c r="P1609" t="s">
        <v>4241</v>
      </c>
      <c r="R1609" t="s">
        <v>4258</v>
      </c>
      <c r="S1609" t="s">
        <v>3610</v>
      </c>
      <c r="U1609" t="s">
        <v>4268</v>
      </c>
      <c r="V1609" t="s">
        <v>4274</v>
      </c>
      <c r="W1609" t="s">
        <v>179</v>
      </c>
      <c r="X1609">
        <v>2000</v>
      </c>
      <c r="Y1609" t="s">
        <v>4351</v>
      </c>
      <c r="Z1609" t="s">
        <v>4228</v>
      </c>
      <c r="AB1609" t="s">
        <v>5648</v>
      </c>
      <c r="AD1609" t="s">
        <v>6987</v>
      </c>
      <c r="AE1609">
        <v>25</v>
      </c>
      <c r="AF1609" t="s">
        <v>7101</v>
      </c>
      <c r="AG1609" t="s">
        <v>3745</v>
      </c>
      <c r="AH1609">
        <v>0</v>
      </c>
      <c r="AI1609">
        <v>1</v>
      </c>
      <c r="AJ1609">
        <v>0</v>
      </c>
      <c r="AK1609">
        <v>320.26</v>
      </c>
      <c r="AN1609" t="s">
        <v>7138</v>
      </c>
      <c r="AO1609">
        <v>40000</v>
      </c>
      <c r="AU1609">
        <v>3.4</v>
      </c>
      <c r="AV1609" t="s">
        <v>208</v>
      </c>
      <c r="AW1609" t="s">
        <v>7341</v>
      </c>
      <c r="AX1609" t="s">
        <v>7377</v>
      </c>
    </row>
    <row r="1610" spans="1:50">
      <c r="A1610" s="1">
        <f>HYPERLINK("https://lsnyc.legalserver.org/matter/dynamic-profile/view/1866967","18-1866967")</f>
        <v>0</v>
      </c>
      <c r="B1610" t="s">
        <v>53</v>
      </c>
      <c r="C1610" t="s">
        <v>104</v>
      </c>
      <c r="D1610" t="s">
        <v>616</v>
      </c>
      <c r="E1610" t="s">
        <v>656</v>
      </c>
      <c r="F1610" t="s">
        <v>951</v>
      </c>
      <c r="G1610" t="s">
        <v>2366</v>
      </c>
      <c r="H1610" t="s">
        <v>3224</v>
      </c>
      <c r="I1610" t="s">
        <v>3315</v>
      </c>
      <c r="J1610" t="s">
        <v>3604</v>
      </c>
      <c r="K1610">
        <v>10035</v>
      </c>
      <c r="L1610" t="s">
        <v>3610</v>
      </c>
      <c r="M1610" t="s">
        <v>3610</v>
      </c>
      <c r="O1610" t="s">
        <v>4211</v>
      </c>
      <c r="P1610" t="s">
        <v>4245</v>
      </c>
      <c r="Q1610" t="s">
        <v>4249</v>
      </c>
      <c r="R1610" t="s">
        <v>4258</v>
      </c>
      <c r="S1610" t="s">
        <v>3611</v>
      </c>
      <c r="U1610" t="s">
        <v>4268</v>
      </c>
      <c r="V1610" t="s">
        <v>4274</v>
      </c>
      <c r="W1610" t="s">
        <v>616</v>
      </c>
      <c r="X1610">
        <v>849</v>
      </c>
      <c r="Y1610" t="s">
        <v>4351</v>
      </c>
      <c r="Z1610" t="s">
        <v>4354</v>
      </c>
      <c r="AA1610" t="s">
        <v>4373</v>
      </c>
      <c r="AB1610" t="s">
        <v>5649</v>
      </c>
      <c r="AD1610" t="s">
        <v>6988</v>
      </c>
      <c r="AE1610">
        <v>24</v>
      </c>
      <c r="AF1610" t="s">
        <v>7105</v>
      </c>
      <c r="AG1610" t="s">
        <v>3745</v>
      </c>
      <c r="AH1610">
        <v>2</v>
      </c>
      <c r="AI1610">
        <v>1</v>
      </c>
      <c r="AJ1610">
        <v>0</v>
      </c>
      <c r="AK1610">
        <v>321.25</v>
      </c>
      <c r="AL1610" t="s">
        <v>7130</v>
      </c>
      <c r="AN1610" t="s">
        <v>7138</v>
      </c>
      <c r="AO1610">
        <v>39000</v>
      </c>
      <c r="AU1610">
        <v>4.55</v>
      </c>
      <c r="AV1610" t="s">
        <v>372</v>
      </c>
      <c r="AW1610" t="s">
        <v>7341</v>
      </c>
    </row>
    <row r="1611" spans="1:50">
      <c r="A1611" s="1">
        <f>HYPERLINK("https://lsnyc.legalserver.org/matter/dynamic-profile/view/1878377","18-1878377")</f>
        <v>0</v>
      </c>
      <c r="B1611" t="s">
        <v>57</v>
      </c>
      <c r="C1611" t="s">
        <v>104</v>
      </c>
      <c r="D1611" t="s">
        <v>110</v>
      </c>
      <c r="E1611" t="s">
        <v>655</v>
      </c>
      <c r="F1611" t="s">
        <v>1491</v>
      </c>
      <c r="G1611" t="s">
        <v>2089</v>
      </c>
      <c r="H1611" t="s">
        <v>3225</v>
      </c>
      <c r="I1611" t="s">
        <v>3579</v>
      </c>
      <c r="J1611" t="s">
        <v>3604</v>
      </c>
      <c r="K1611">
        <v>10034</v>
      </c>
      <c r="L1611" t="s">
        <v>3610</v>
      </c>
      <c r="M1611" t="s">
        <v>3610</v>
      </c>
      <c r="O1611" t="s">
        <v>4211</v>
      </c>
      <c r="P1611" t="s">
        <v>4242</v>
      </c>
      <c r="Q1611" t="s">
        <v>4250</v>
      </c>
      <c r="R1611" t="s">
        <v>4257</v>
      </c>
      <c r="S1611" t="s">
        <v>3611</v>
      </c>
      <c r="U1611" t="s">
        <v>4268</v>
      </c>
      <c r="V1611" t="s">
        <v>4274</v>
      </c>
      <c r="W1611" t="s">
        <v>110</v>
      </c>
      <c r="X1611">
        <v>1300</v>
      </c>
      <c r="Y1611" t="s">
        <v>4351</v>
      </c>
      <c r="Z1611" t="s">
        <v>4355</v>
      </c>
      <c r="AA1611" t="s">
        <v>4373</v>
      </c>
      <c r="AB1611" t="s">
        <v>5650</v>
      </c>
      <c r="AD1611" t="s">
        <v>6989</v>
      </c>
      <c r="AE1611">
        <v>20</v>
      </c>
      <c r="AF1611" t="s">
        <v>7104</v>
      </c>
      <c r="AG1611" t="s">
        <v>3745</v>
      </c>
      <c r="AH1611">
        <v>2</v>
      </c>
      <c r="AI1611">
        <v>2</v>
      </c>
      <c r="AJ1611">
        <v>0</v>
      </c>
      <c r="AK1611">
        <v>321.99</v>
      </c>
      <c r="AL1611" t="s">
        <v>369</v>
      </c>
      <c r="AM1611" t="s">
        <v>7133</v>
      </c>
      <c r="AN1611" t="s">
        <v>7138</v>
      </c>
      <c r="AO1611">
        <v>53000</v>
      </c>
      <c r="AU1611">
        <v>1</v>
      </c>
      <c r="AV1611" t="s">
        <v>302</v>
      </c>
      <c r="AW1611" t="s">
        <v>57</v>
      </c>
    </row>
    <row r="1612" spans="1:50">
      <c r="A1612" s="1">
        <f>HYPERLINK("https://lsnyc.legalserver.org/matter/dynamic-profile/view/1877920","18-1877920")</f>
        <v>0</v>
      </c>
      <c r="B1612" t="s">
        <v>61</v>
      </c>
      <c r="C1612" t="s">
        <v>105</v>
      </c>
      <c r="D1612" t="s">
        <v>440</v>
      </c>
      <c r="F1612" t="s">
        <v>1492</v>
      </c>
      <c r="G1612" t="s">
        <v>2367</v>
      </c>
      <c r="H1612" t="s">
        <v>3226</v>
      </c>
      <c r="I1612" t="s">
        <v>3278</v>
      </c>
      <c r="J1612" t="s">
        <v>3604</v>
      </c>
      <c r="K1612">
        <v>10033</v>
      </c>
      <c r="L1612" t="s">
        <v>3610</v>
      </c>
      <c r="M1612" t="s">
        <v>3610</v>
      </c>
      <c r="O1612" t="s">
        <v>4240</v>
      </c>
      <c r="P1612" t="s">
        <v>4245</v>
      </c>
      <c r="R1612" t="s">
        <v>4258</v>
      </c>
      <c r="S1612" t="s">
        <v>3611</v>
      </c>
      <c r="U1612" t="s">
        <v>4268</v>
      </c>
      <c r="W1612" t="s">
        <v>440</v>
      </c>
      <c r="X1612">
        <v>2334.37</v>
      </c>
      <c r="Y1612" t="s">
        <v>4351</v>
      </c>
      <c r="Z1612" t="s">
        <v>4352</v>
      </c>
      <c r="AB1612" t="s">
        <v>5651</v>
      </c>
      <c r="AE1612">
        <v>35</v>
      </c>
      <c r="AF1612" t="s">
        <v>7101</v>
      </c>
      <c r="AG1612" t="s">
        <v>3745</v>
      </c>
      <c r="AH1612">
        <v>3</v>
      </c>
      <c r="AI1612">
        <v>3</v>
      </c>
      <c r="AJ1612">
        <v>0</v>
      </c>
      <c r="AK1612">
        <v>323.39</v>
      </c>
      <c r="AL1612" t="s">
        <v>561</v>
      </c>
      <c r="AM1612" t="s">
        <v>7134</v>
      </c>
      <c r="AN1612" t="s">
        <v>7138</v>
      </c>
      <c r="AO1612">
        <v>67200</v>
      </c>
      <c r="AU1612">
        <v>3.4</v>
      </c>
      <c r="AV1612" t="s">
        <v>305</v>
      </c>
      <c r="AW1612" t="s">
        <v>7342</v>
      </c>
      <c r="AX1612" t="s">
        <v>7377</v>
      </c>
    </row>
    <row r="1613" spans="1:50">
      <c r="A1613" s="1">
        <f>HYPERLINK("https://lsnyc.legalserver.org/matter/dynamic-profile/view/0820183","16-0820183")</f>
        <v>0</v>
      </c>
      <c r="B1613" t="s">
        <v>64</v>
      </c>
      <c r="C1613" t="s">
        <v>104</v>
      </c>
      <c r="D1613" t="s">
        <v>361</v>
      </c>
      <c r="E1613" t="s">
        <v>378</v>
      </c>
      <c r="F1613" t="s">
        <v>1161</v>
      </c>
      <c r="G1613" t="s">
        <v>2368</v>
      </c>
      <c r="H1613" t="s">
        <v>2730</v>
      </c>
      <c r="I1613" t="s">
        <v>3314</v>
      </c>
      <c r="J1613" t="s">
        <v>3604</v>
      </c>
      <c r="K1613">
        <v>10034</v>
      </c>
      <c r="L1613" t="s">
        <v>3610</v>
      </c>
      <c r="M1613" t="s">
        <v>3609</v>
      </c>
      <c r="N1613" t="s">
        <v>4182</v>
      </c>
      <c r="O1613" t="s">
        <v>4213</v>
      </c>
      <c r="P1613" t="s">
        <v>4241</v>
      </c>
      <c r="Q1613" t="s">
        <v>4248</v>
      </c>
      <c r="R1613" t="s">
        <v>4258</v>
      </c>
      <c r="S1613" t="s">
        <v>3610</v>
      </c>
      <c r="U1613" t="s">
        <v>4268</v>
      </c>
      <c r="W1613" t="s">
        <v>323</v>
      </c>
      <c r="X1613">
        <v>845</v>
      </c>
      <c r="Y1613" t="s">
        <v>4351</v>
      </c>
      <c r="Z1613" t="s">
        <v>4352</v>
      </c>
      <c r="AA1613" t="s">
        <v>4379</v>
      </c>
      <c r="AB1613" t="s">
        <v>5652</v>
      </c>
      <c r="AD1613" t="s">
        <v>6990</v>
      </c>
      <c r="AE1613">
        <v>65</v>
      </c>
      <c r="AF1613" t="s">
        <v>7101</v>
      </c>
      <c r="AG1613" t="s">
        <v>3745</v>
      </c>
      <c r="AH1613">
        <v>40</v>
      </c>
      <c r="AI1613">
        <v>2</v>
      </c>
      <c r="AJ1613">
        <v>0</v>
      </c>
      <c r="AK1613">
        <v>324.59</v>
      </c>
      <c r="AL1613" t="s">
        <v>7130</v>
      </c>
      <c r="AN1613" t="s">
        <v>7139</v>
      </c>
      <c r="AO1613">
        <v>52000</v>
      </c>
      <c r="AU1613">
        <v>66.51000000000001</v>
      </c>
      <c r="AV1613" t="s">
        <v>125</v>
      </c>
      <c r="AW1613" t="s">
        <v>7341</v>
      </c>
    </row>
    <row r="1614" spans="1:50">
      <c r="A1614" s="1">
        <f>HYPERLINK("https://lsnyc.legalserver.org/matter/dynamic-profile/view/1885693","18-1885693")</f>
        <v>0</v>
      </c>
      <c r="B1614" t="s">
        <v>64</v>
      </c>
      <c r="C1614" t="s">
        <v>104</v>
      </c>
      <c r="D1614" t="s">
        <v>201</v>
      </c>
      <c r="E1614" t="s">
        <v>201</v>
      </c>
      <c r="F1614" t="s">
        <v>1493</v>
      </c>
      <c r="G1614" t="s">
        <v>2369</v>
      </c>
      <c r="H1614" t="s">
        <v>3227</v>
      </c>
      <c r="I1614">
        <v>52</v>
      </c>
      <c r="J1614" t="s">
        <v>3604</v>
      </c>
      <c r="K1614">
        <v>10032</v>
      </c>
      <c r="L1614" t="s">
        <v>3610</v>
      </c>
      <c r="M1614" t="s">
        <v>3610</v>
      </c>
      <c r="P1614" t="s">
        <v>4242</v>
      </c>
      <c r="Q1614" t="s">
        <v>4250</v>
      </c>
      <c r="R1614" t="s">
        <v>4258</v>
      </c>
      <c r="S1614" t="s">
        <v>3611</v>
      </c>
      <c r="U1614" t="s">
        <v>4268</v>
      </c>
      <c r="W1614" t="s">
        <v>201</v>
      </c>
      <c r="X1614">
        <v>900.88</v>
      </c>
      <c r="Y1614" t="s">
        <v>4351</v>
      </c>
      <c r="Z1614" t="s">
        <v>4354</v>
      </c>
      <c r="AA1614" t="s">
        <v>4373</v>
      </c>
      <c r="AB1614" t="s">
        <v>5653</v>
      </c>
      <c r="AD1614" t="s">
        <v>6991</v>
      </c>
      <c r="AE1614">
        <v>0</v>
      </c>
      <c r="AF1614" t="s">
        <v>7101</v>
      </c>
      <c r="AG1614" t="s">
        <v>3745</v>
      </c>
      <c r="AH1614">
        <v>20</v>
      </c>
      <c r="AI1614">
        <v>2</v>
      </c>
      <c r="AJ1614">
        <v>0</v>
      </c>
      <c r="AK1614">
        <v>325.64</v>
      </c>
      <c r="AN1614" t="s">
        <v>7138</v>
      </c>
      <c r="AO1614">
        <v>53600</v>
      </c>
      <c r="AU1614">
        <v>1</v>
      </c>
      <c r="AV1614" t="s">
        <v>201</v>
      </c>
      <c r="AW1614" t="s">
        <v>7342</v>
      </c>
    </row>
    <row r="1615" spans="1:50">
      <c r="A1615" s="1">
        <f>HYPERLINK("https://lsnyc.legalserver.org/matter/dynamic-profile/view/1857577","18-1857577")</f>
        <v>0</v>
      </c>
      <c r="B1615" t="s">
        <v>65</v>
      </c>
      <c r="C1615" t="s">
        <v>104</v>
      </c>
      <c r="D1615" t="s">
        <v>404</v>
      </c>
      <c r="E1615" t="s">
        <v>435</v>
      </c>
      <c r="F1615" t="s">
        <v>1494</v>
      </c>
      <c r="G1615" t="s">
        <v>2025</v>
      </c>
      <c r="H1615" t="s">
        <v>2725</v>
      </c>
      <c r="I1615">
        <v>53</v>
      </c>
      <c r="J1615" t="s">
        <v>3604</v>
      </c>
      <c r="K1615">
        <v>10031</v>
      </c>
      <c r="L1615" t="s">
        <v>3610</v>
      </c>
      <c r="M1615" t="s">
        <v>3609</v>
      </c>
      <c r="O1615" t="s">
        <v>4221</v>
      </c>
      <c r="P1615" t="s">
        <v>4245</v>
      </c>
      <c r="Q1615" t="s">
        <v>4250</v>
      </c>
      <c r="R1615" t="s">
        <v>4258</v>
      </c>
      <c r="S1615" t="s">
        <v>3611</v>
      </c>
      <c r="U1615" t="s">
        <v>4268</v>
      </c>
      <c r="W1615" t="s">
        <v>404</v>
      </c>
      <c r="X1615">
        <v>566.6799999999999</v>
      </c>
      <c r="Y1615" t="s">
        <v>4351</v>
      </c>
      <c r="Z1615" t="s">
        <v>4354</v>
      </c>
      <c r="AA1615" t="s">
        <v>4390</v>
      </c>
      <c r="AB1615" t="s">
        <v>5654</v>
      </c>
      <c r="AD1615" t="s">
        <v>6992</v>
      </c>
      <c r="AE1615">
        <v>30</v>
      </c>
      <c r="AF1615" t="s">
        <v>7101</v>
      </c>
      <c r="AG1615" t="s">
        <v>3745</v>
      </c>
      <c r="AH1615">
        <v>37</v>
      </c>
      <c r="AI1615">
        <v>3</v>
      </c>
      <c r="AJ1615">
        <v>0</v>
      </c>
      <c r="AK1615">
        <v>325.87</v>
      </c>
      <c r="AL1615" t="s">
        <v>614</v>
      </c>
      <c r="AN1615" t="s">
        <v>7138</v>
      </c>
      <c r="AO1615">
        <v>66542</v>
      </c>
      <c r="AU1615">
        <v>2.25</v>
      </c>
      <c r="AV1615" t="s">
        <v>137</v>
      </c>
      <c r="AW1615" t="s">
        <v>7342</v>
      </c>
    </row>
    <row r="1616" spans="1:50">
      <c r="A1616" s="1">
        <f>HYPERLINK("https://lsnyc.legalserver.org/matter/dynamic-profile/view/1897759","19-1897759")</f>
        <v>0</v>
      </c>
      <c r="B1616" t="s">
        <v>52</v>
      </c>
      <c r="C1616" t="s">
        <v>105</v>
      </c>
      <c r="D1616" t="s">
        <v>146</v>
      </c>
      <c r="F1616" t="s">
        <v>1495</v>
      </c>
      <c r="G1616" t="s">
        <v>2370</v>
      </c>
      <c r="H1616" t="s">
        <v>2657</v>
      </c>
      <c r="I1616" t="s">
        <v>3331</v>
      </c>
      <c r="J1616" t="s">
        <v>3604</v>
      </c>
      <c r="K1616">
        <v>10032</v>
      </c>
      <c r="L1616" t="s">
        <v>3610</v>
      </c>
      <c r="M1616" t="s">
        <v>3610</v>
      </c>
      <c r="O1616" t="s">
        <v>4219</v>
      </c>
      <c r="P1616" t="s">
        <v>4245</v>
      </c>
      <c r="R1616" t="s">
        <v>4258</v>
      </c>
      <c r="S1616" t="s">
        <v>3611</v>
      </c>
      <c r="U1616" t="s">
        <v>4268</v>
      </c>
      <c r="W1616" t="s">
        <v>146</v>
      </c>
      <c r="X1616">
        <v>894.05</v>
      </c>
      <c r="Y1616" t="s">
        <v>4351</v>
      </c>
      <c r="Z1616" t="s">
        <v>4354</v>
      </c>
      <c r="AB1616" t="s">
        <v>5655</v>
      </c>
      <c r="AD1616" t="s">
        <v>6993</v>
      </c>
      <c r="AE1616">
        <v>48</v>
      </c>
      <c r="AF1616" t="s">
        <v>7101</v>
      </c>
      <c r="AG1616" t="s">
        <v>3745</v>
      </c>
      <c r="AH1616">
        <v>19</v>
      </c>
      <c r="AI1616">
        <v>2</v>
      </c>
      <c r="AJ1616">
        <v>3</v>
      </c>
      <c r="AK1616">
        <v>326.15</v>
      </c>
      <c r="AN1616" t="s">
        <v>7138</v>
      </c>
      <c r="AO1616">
        <v>98400</v>
      </c>
      <c r="AU1616">
        <v>3.55</v>
      </c>
      <c r="AV1616" t="s">
        <v>143</v>
      </c>
      <c r="AW1616" t="s">
        <v>7342</v>
      </c>
    </row>
    <row r="1617" spans="1:50">
      <c r="A1617" s="1">
        <f>HYPERLINK("https://lsnyc.legalserver.org/matter/dynamic-profile/view/1874136","18-1874136")</f>
        <v>0</v>
      </c>
      <c r="B1617" t="s">
        <v>66</v>
      </c>
      <c r="C1617" t="s">
        <v>104</v>
      </c>
      <c r="D1617" t="s">
        <v>173</v>
      </c>
      <c r="E1617" t="s">
        <v>688</v>
      </c>
      <c r="F1617" t="s">
        <v>1496</v>
      </c>
      <c r="G1617" t="s">
        <v>2371</v>
      </c>
      <c r="H1617" t="s">
        <v>3228</v>
      </c>
      <c r="I1617" t="s">
        <v>3282</v>
      </c>
      <c r="J1617" t="s">
        <v>3604</v>
      </c>
      <c r="K1617">
        <v>10031</v>
      </c>
      <c r="L1617" t="s">
        <v>3610</v>
      </c>
      <c r="M1617" t="s">
        <v>3610</v>
      </c>
      <c r="N1617" t="s">
        <v>4183</v>
      </c>
      <c r="O1617" t="s">
        <v>4213</v>
      </c>
      <c r="P1617" t="s">
        <v>4241</v>
      </c>
      <c r="Q1617" t="s">
        <v>4248</v>
      </c>
      <c r="R1617" t="s">
        <v>4258</v>
      </c>
      <c r="S1617" t="s">
        <v>3611</v>
      </c>
      <c r="U1617" t="s">
        <v>4268</v>
      </c>
      <c r="W1617" t="s">
        <v>276</v>
      </c>
      <c r="X1617">
        <v>843.76</v>
      </c>
      <c r="Y1617" t="s">
        <v>4351</v>
      </c>
      <c r="Z1617" t="s">
        <v>4354</v>
      </c>
      <c r="AA1617" t="s">
        <v>4374</v>
      </c>
      <c r="AB1617" t="s">
        <v>5656</v>
      </c>
      <c r="AD1617" t="s">
        <v>6994</v>
      </c>
      <c r="AE1617">
        <v>0</v>
      </c>
      <c r="AF1617" t="s">
        <v>7104</v>
      </c>
      <c r="AG1617" t="s">
        <v>7118</v>
      </c>
      <c r="AH1617">
        <v>45</v>
      </c>
      <c r="AI1617">
        <v>1</v>
      </c>
      <c r="AJ1617">
        <v>0</v>
      </c>
      <c r="AK1617">
        <v>326.52</v>
      </c>
      <c r="AL1617" t="s">
        <v>7131</v>
      </c>
      <c r="AM1617" t="s">
        <v>7134</v>
      </c>
      <c r="AN1617" t="s">
        <v>7138</v>
      </c>
      <c r="AO1617">
        <v>39639.96</v>
      </c>
      <c r="AU1617">
        <v>8.699999999999999</v>
      </c>
      <c r="AV1617" t="s">
        <v>134</v>
      </c>
      <c r="AW1617" t="s">
        <v>7344</v>
      </c>
    </row>
    <row r="1618" spans="1:50">
      <c r="A1618" s="1">
        <f>HYPERLINK("https://lsnyc.legalserver.org/matter/dynamic-profile/view/1850555","17-1850555")</f>
        <v>0</v>
      </c>
      <c r="B1618" t="s">
        <v>61</v>
      </c>
      <c r="C1618" t="s">
        <v>105</v>
      </c>
      <c r="D1618" t="s">
        <v>455</v>
      </c>
      <c r="F1618" t="s">
        <v>790</v>
      </c>
      <c r="G1618" t="s">
        <v>1952</v>
      </c>
      <c r="H1618" t="s">
        <v>2914</v>
      </c>
      <c r="I1618">
        <v>55</v>
      </c>
      <c r="J1618" t="s">
        <v>3604</v>
      </c>
      <c r="K1618">
        <v>10034</v>
      </c>
      <c r="L1618" t="s">
        <v>3610</v>
      </c>
      <c r="M1618" t="s">
        <v>3609</v>
      </c>
      <c r="O1618" t="s">
        <v>4210</v>
      </c>
      <c r="P1618" t="s">
        <v>4241</v>
      </c>
      <c r="R1618" t="s">
        <v>4258</v>
      </c>
      <c r="S1618" t="s">
        <v>3611</v>
      </c>
      <c r="T1618" t="s">
        <v>4259</v>
      </c>
      <c r="U1618" t="s">
        <v>4268</v>
      </c>
      <c r="W1618" t="s">
        <v>379</v>
      </c>
      <c r="X1618">
        <v>743.1</v>
      </c>
      <c r="Y1618" t="s">
        <v>4351</v>
      </c>
      <c r="Z1618" t="s">
        <v>4357</v>
      </c>
      <c r="AB1618" t="s">
        <v>5657</v>
      </c>
      <c r="AD1618" t="s">
        <v>6995</v>
      </c>
      <c r="AE1618">
        <v>30</v>
      </c>
      <c r="AF1618" t="s">
        <v>7104</v>
      </c>
      <c r="AG1618" t="s">
        <v>3745</v>
      </c>
      <c r="AH1618">
        <v>34</v>
      </c>
      <c r="AI1618">
        <v>1</v>
      </c>
      <c r="AJ1618">
        <v>0</v>
      </c>
      <c r="AK1618">
        <v>327.36</v>
      </c>
      <c r="AL1618" t="s">
        <v>7130</v>
      </c>
      <c r="AN1618" t="s">
        <v>7139</v>
      </c>
      <c r="AO1618">
        <v>39480</v>
      </c>
      <c r="AU1618">
        <v>23.4</v>
      </c>
      <c r="AV1618" t="s">
        <v>288</v>
      </c>
      <c r="AW1618" t="s">
        <v>7342</v>
      </c>
    </row>
    <row r="1619" spans="1:50">
      <c r="A1619" s="1">
        <f>HYPERLINK("https://lsnyc.legalserver.org/matter/dynamic-profile/view/1833138","17-1833138")</f>
        <v>0</v>
      </c>
      <c r="B1619" t="s">
        <v>61</v>
      </c>
      <c r="C1619" t="s">
        <v>105</v>
      </c>
      <c r="D1619" t="s">
        <v>416</v>
      </c>
      <c r="F1619" t="s">
        <v>790</v>
      </c>
      <c r="G1619" t="s">
        <v>1952</v>
      </c>
      <c r="H1619" t="s">
        <v>2914</v>
      </c>
      <c r="I1619">
        <v>55</v>
      </c>
      <c r="J1619" t="s">
        <v>3604</v>
      </c>
      <c r="K1619">
        <v>10034</v>
      </c>
      <c r="L1619" t="s">
        <v>3610</v>
      </c>
      <c r="M1619" t="s">
        <v>3610</v>
      </c>
      <c r="O1619" t="s">
        <v>4211</v>
      </c>
      <c r="P1619" t="s">
        <v>4244</v>
      </c>
      <c r="R1619" t="s">
        <v>4258</v>
      </c>
      <c r="S1619" t="s">
        <v>3611</v>
      </c>
      <c r="T1619" t="s">
        <v>4259</v>
      </c>
      <c r="U1619" t="s">
        <v>4268</v>
      </c>
      <c r="W1619" t="s">
        <v>4297</v>
      </c>
      <c r="X1619">
        <v>743.1</v>
      </c>
      <c r="Y1619" t="s">
        <v>4351</v>
      </c>
      <c r="Z1619" t="s">
        <v>4354</v>
      </c>
      <c r="AB1619" t="s">
        <v>5657</v>
      </c>
      <c r="AD1619" t="s">
        <v>6995</v>
      </c>
      <c r="AE1619">
        <v>26</v>
      </c>
      <c r="AF1619" t="s">
        <v>7101</v>
      </c>
      <c r="AG1619" t="s">
        <v>3745</v>
      </c>
      <c r="AH1619">
        <v>34</v>
      </c>
      <c r="AI1619">
        <v>1</v>
      </c>
      <c r="AJ1619">
        <v>0</v>
      </c>
      <c r="AK1619">
        <v>327.36</v>
      </c>
      <c r="AL1619" t="s">
        <v>7130</v>
      </c>
      <c r="AN1619" t="s">
        <v>7139</v>
      </c>
      <c r="AO1619">
        <v>39480</v>
      </c>
      <c r="AU1619">
        <v>24.3</v>
      </c>
      <c r="AV1619" t="s">
        <v>111</v>
      </c>
      <c r="AW1619" t="s">
        <v>7341</v>
      </c>
      <c r="AX1619" t="s">
        <v>7377</v>
      </c>
    </row>
    <row r="1620" spans="1:50">
      <c r="A1620" s="1">
        <f>HYPERLINK("https://lsnyc.legalserver.org/matter/dynamic-profile/view/1863578","18-1863578")</f>
        <v>0</v>
      </c>
      <c r="B1620" t="s">
        <v>55</v>
      </c>
      <c r="C1620" t="s">
        <v>104</v>
      </c>
      <c r="D1620" t="s">
        <v>508</v>
      </c>
      <c r="E1620" t="s">
        <v>129</v>
      </c>
      <c r="F1620" t="s">
        <v>1497</v>
      </c>
      <c r="G1620" t="s">
        <v>2372</v>
      </c>
      <c r="H1620" t="s">
        <v>3135</v>
      </c>
      <c r="I1620">
        <v>8</v>
      </c>
      <c r="J1620" t="s">
        <v>3604</v>
      </c>
      <c r="K1620">
        <v>10029</v>
      </c>
      <c r="L1620" t="s">
        <v>3610</v>
      </c>
      <c r="M1620" t="s">
        <v>3609</v>
      </c>
      <c r="N1620" t="s">
        <v>4103</v>
      </c>
      <c r="O1620" t="s">
        <v>4210</v>
      </c>
      <c r="P1620" t="s">
        <v>4241</v>
      </c>
      <c r="Q1620" t="s">
        <v>4248</v>
      </c>
      <c r="R1620" t="s">
        <v>4258</v>
      </c>
      <c r="S1620" t="s">
        <v>3611</v>
      </c>
      <c r="U1620" t="s">
        <v>4268</v>
      </c>
      <c r="W1620" t="s">
        <v>508</v>
      </c>
      <c r="X1620">
        <v>866.6900000000001</v>
      </c>
      <c r="Y1620" t="s">
        <v>4351</v>
      </c>
      <c r="Z1620" t="s">
        <v>4356</v>
      </c>
      <c r="AA1620" t="s">
        <v>4374</v>
      </c>
      <c r="AB1620" t="s">
        <v>5658</v>
      </c>
      <c r="AD1620" t="s">
        <v>6996</v>
      </c>
      <c r="AE1620">
        <v>8</v>
      </c>
      <c r="AF1620" t="s">
        <v>7101</v>
      </c>
      <c r="AG1620" t="s">
        <v>3745</v>
      </c>
      <c r="AH1620">
        <v>20</v>
      </c>
      <c r="AI1620">
        <v>2</v>
      </c>
      <c r="AJ1620">
        <v>3</v>
      </c>
      <c r="AK1620">
        <v>327.67</v>
      </c>
      <c r="AL1620" t="s">
        <v>7130</v>
      </c>
      <c r="AN1620" t="s">
        <v>7140</v>
      </c>
      <c r="AO1620">
        <v>96400</v>
      </c>
      <c r="AR1620" t="s">
        <v>7205</v>
      </c>
      <c r="AS1620" t="s">
        <v>7233</v>
      </c>
      <c r="AT1620" t="s">
        <v>7278</v>
      </c>
      <c r="AU1620">
        <v>0.6</v>
      </c>
      <c r="AV1620" t="s">
        <v>168</v>
      </c>
      <c r="AW1620" t="s">
        <v>7341</v>
      </c>
    </row>
    <row r="1621" spans="1:50">
      <c r="A1621" s="1">
        <f>HYPERLINK("https://lsnyc.legalserver.org/matter/dynamic-profile/view/1885256","18-1885256")</f>
        <v>0</v>
      </c>
      <c r="B1621" t="s">
        <v>53</v>
      </c>
      <c r="C1621" t="s">
        <v>105</v>
      </c>
      <c r="D1621" t="s">
        <v>485</v>
      </c>
      <c r="F1621" t="s">
        <v>1498</v>
      </c>
      <c r="G1621" t="s">
        <v>2302</v>
      </c>
      <c r="H1621" t="s">
        <v>2729</v>
      </c>
      <c r="I1621">
        <v>24</v>
      </c>
      <c r="J1621" t="s">
        <v>3604</v>
      </c>
      <c r="K1621">
        <v>10039</v>
      </c>
      <c r="L1621" t="s">
        <v>3610</v>
      </c>
      <c r="M1621" t="s">
        <v>3610</v>
      </c>
      <c r="N1621" t="s">
        <v>3767</v>
      </c>
      <c r="O1621" t="s">
        <v>4213</v>
      </c>
      <c r="P1621" t="s">
        <v>4241</v>
      </c>
      <c r="R1621" t="s">
        <v>4258</v>
      </c>
      <c r="S1621" t="s">
        <v>3610</v>
      </c>
      <c r="U1621" t="s">
        <v>4268</v>
      </c>
      <c r="V1621" t="s">
        <v>4274</v>
      </c>
      <c r="W1621" t="s">
        <v>485</v>
      </c>
      <c r="X1621">
        <v>1475</v>
      </c>
      <c r="Y1621" t="s">
        <v>4351</v>
      </c>
      <c r="Z1621" t="s">
        <v>4352</v>
      </c>
      <c r="AB1621" t="s">
        <v>5659</v>
      </c>
      <c r="AD1621" t="s">
        <v>6997</v>
      </c>
      <c r="AE1621">
        <v>24</v>
      </c>
      <c r="AF1621" t="s">
        <v>7101</v>
      </c>
      <c r="AG1621" t="s">
        <v>3745</v>
      </c>
      <c r="AH1621">
        <v>8</v>
      </c>
      <c r="AI1621">
        <v>2</v>
      </c>
      <c r="AJ1621">
        <v>0</v>
      </c>
      <c r="AK1621">
        <v>327.76</v>
      </c>
      <c r="AN1621" t="s">
        <v>7138</v>
      </c>
      <c r="AO1621">
        <v>53950</v>
      </c>
      <c r="AU1621">
        <v>0</v>
      </c>
      <c r="AW1621" t="s">
        <v>7341</v>
      </c>
      <c r="AX1621" t="s">
        <v>7377</v>
      </c>
    </row>
    <row r="1622" spans="1:50">
      <c r="A1622" s="1">
        <f>HYPERLINK("https://lsnyc.legalserver.org/matter/dynamic-profile/view/0829631","17-0829631")</f>
        <v>0</v>
      </c>
      <c r="B1622" t="s">
        <v>67</v>
      </c>
      <c r="C1622" t="s">
        <v>105</v>
      </c>
      <c r="D1622" t="s">
        <v>641</v>
      </c>
      <c r="F1622" t="s">
        <v>964</v>
      </c>
      <c r="G1622" t="s">
        <v>2373</v>
      </c>
      <c r="H1622" t="s">
        <v>3229</v>
      </c>
      <c r="I1622" t="s">
        <v>3580</v>
      </c>
      <c r="J1622" t="s">
        <v>3604</v>
      </c>
      <c r="K1622">
        <v>10024</v>
      </c>
      <c r="L1622" t="s">
        <v>3611</v>
      </c>
      <c r="M1622" t="s">
        <v>3609</v>
      </c>
      <c r="N1622" t="s">
        <v>4184</v>
      </c>
      <c r="O1622" t="s">
        <v>4213</v>
      </c>
      <c r="P1622" t="s">
        <v>4241</v>
      </c>
      <c r="R1622" t="s">
        <v>4258</v>
      </c>
      <c r="S1622" t="s">
        <v>3610</v>
      </c>
      <c r="U1622" t="s">
        <v>4268</v>
      </c>
      <c r="W1622" t="s">
        <v>238</v>
      </c>
      <c r="X1622">
        <v>869</v>
      </c>
      <c r="Y1622" t="s">
        <v>4351</v>
      </c>
      <c r="Z1622" t="s">
        <v>4352</v>
      </c>
      <c r="AB1622" t="s">
        <v>5660</v>
      </c>
      <c r="AE1622">
        <v>12</v>
      </c>
      <c r="AF1622" t="s">
        <v>7101</v>
      </c>
      <c r="AG1622" t="s">
        <v>3745</v>
      </c>
      <c r="AH1622">
        <v>40</v>
      </c>
      <c r="AI1622">
        <v>3</v>
      </c>
      <c r="AJ1622">
        <v>0</v>
      </c>
      <c r="AK1622">
        <v>328.11</v>
      </c>
      <c r="AL1622" t="s">
        <v>638</v>
      </c>
      <c r="AN1622" t="s">
        <v>7138</v>
      </c>
      <c r="AO1622">
        <v>67000</v>
      </c>
      <c r="AU1622">
        <v>580.05</v>
      </c>
      <c r="AV1622" t="s">
        <v>679</v>
      </c>
      <c r="AW1622" t="s">
        <v>7341</v>
      </c>
    </row>
    <row r="1623" spans="1:50">
      <c r="A1623" s="1">
        <f>HYPERLINK("https://lsnyc.legalserver.org/matter/dynamic-profile/view/1864526","18-1864526")</f>
        <v>0</v>
      </c>
      <c r="B1623" t="s">
        <v>53</v>
      </c>
      <c r="C1623" t="s">
        <v>104</v>
      </c>
      <c r="D1623" t="s">
        <v>157</v>
      </c>
      <c r="E1623" t="s">
        <v>335</v>
      </c>
      <c r="F1623" t="s">
        <v>719</v>
      </c>
      <c r="G1623" t="s">
        <v>2374</v>
      </c>
      <c r="H1623" t="s">
        <v>3230</v>
      </c>
      <c r="I1623" t="s">
        <v>3344</v>
      </c>
      <c r="J1623" t="s">
        <v>3604</v>
      </c>
      <c r="K1623">
        <v>10034</v>
      </c>
      <c r="L1623" t="s">
        <v>3610</v>
      </c>
      <c r="M1623" t="s">
        <v>3610</v>
      </c>
      <c r="O1623" t="s">
        <v>4211</v>
      </c>
      <c r="P1623" t="s">
        <v>4244</v>
      </c>
      <c r="Q1623" t="s">
        <v>4254</v>
      </c>
      <c r="R1623" t="s">
        <v>4258</v>
      </c>
      <c r="S1623" t="s">
        <v>3611</v>
      </c>
      <c r="U1623" t="s">
        <v>4268</v>
      </c>
      <c r="V1623" t="s">
        <v>4274</v>
      </c>
      <c r="W1623" t="s">
        <v>460</v>
      </c>
      <c r="X1623">
        <v>1054.71</v>
      </c>
      <c r="Y1623" t="s">
        <v>4351</v>
      </c>
      <c r="Z1623" t="s">
        <v>4357</v>
      </c>
      <c r="AA1623" t="s">
        <v>4374</v>
      </c>
      <c r="AB1623" t="s">
        <v>5661</v>
      </c>
      <c r="AD1623" t="s">
        <v>6998</v>
      </c>
      <c r="AE1623">
        <v>36</v>
      </c>
      <c r="AF1623" t="s">
        <v>7101</v>
      </c>
      <c r="AG1623" t="s">
        <v>3745</v>
      </c>
      <c r="AH1623">
        <v>32</v>
      </c>
      <c r="AI1623">
        <v>3</v>
      </c>
      <c r="AJ1623">
        <v>0</v>
      </c>
      <c r="AK1623">
        <v>329.16</v>
      </c>
      <c r="AN1623" t="s">
        <v>7139</v>
      </c>
      <c r="AO1623">
        <v>130800</v>
      </c>
      <c r="AU1623">
        <v>11.1</v>
      </c>
      <c r="AV1623" t="s">
        <v>108</v>
      </c>
      <c r="AW1623" t="s">
        <v>7342</v>
      </c>
    </row>
    <row r="1624" spans="1:50">
      <c r="A1624" s="1">
        <f>HYPERLINK("https://lsnyc.legalserver.org/matter/dynamic-profile/view/1862189","18-1862189")</f>
        <v>0</v>
      </c>
      <c r="B1624" t="s">
        <v>72</v>
      </c>
      <c r="C1624" t="s">
        <v>104</v>
      </c>
      <c r="D1624" t="s">
        <v>250</v>
      </c>
      <c r="E1624" t="s">
        <v>285</v>
      </c>
      <c r="F1624" t="s">
        <v>727</v>
      </c>
      <c r="G1624" t="s">
        <v>1846</v>
      </c>
      <c r="H1624" t="s">
        <v>3231</v>
      </c>
      <c r="I1624" t="s">
        <v>3375</v>
      </c>
      <c r="J1624" t="s">
        <v>3604</v>
      </c>
      <c r="K1624">
        <v>10031</v>
      </c>
      <c r="L1624" t="s">
        <v>3610</v>
      </c>
      <c r="M1624" t="s">
        <v>3609</v>
      </c>
      <c r="N1624" t="s">
        <v>4185</v>
      </c>
      <c r="O1624" t="s">
        <v>4213</v>
      </c>
      <c r="P1624" t="s">
        <v>4241</v>
      </c>
      <c r="Q1624" t="s">
        <v>4248</v>
      </c>
      <c r="R1624" t="s">
        <v>4258</v>
      </c>
      <c r="S1624" t="s">
        <v>3611</v>
      </c>
      <c r="T1624" t="s">
        <v>4259</v>
      </c>
      <c r="U1624" t="s">
        <v>4268</v>
      </c>
      <c r="W1624" t="s">
        <v>278</v>
      </c>
      <c r="X1624">
        <v>1040</v>
      </c>
      <c r="Y1624" t="s">
        <v>4351</v>
      </c>
      <c r="Z1624" t="s">
        <v>4354</v>
      </c>
      <c r="AA1624" t="s">
        <v>4379</v>
      </c>
      <c r="AB1624" t="s">
        <v>5662</v>
      </c>
      <c r="AD1624" t="s">
        <v>6999</v>
      </c>
      <c r="AE1624">
        <v>51</v>
      </c>
      <c r="AF1624" t="s">
        <v>7101</v>
      </c>
      <c r="AG1624" t="s">
        <v>3745</v>
      </c>
      <c r="AH1624">
        <v>20</v>
      </c>
      <c r="AI1624">
        <v>1</v>
      </c>
      <c r="AJ1624">
        <v>0</v>
      </c>
      <c r="AK1624">
        <v>329.49</v>
      </c>
      <c r="AL1624" t="s">
        <v>7130</v>
      </c>
      <c r="AN1624" t="s">
        <v>7138</v>
      </c>
      <c r="AO1624">
        <v>40000</v>
      </c>
      <c r="AU1624">
        <v>3.85</v>
      </c>
      <c r="AV1624" t="s">
        <v>179</v>
      </c>
      <c r="AW1624" t="s">
        <v>7342</v>
      </c>
    </row>
    <row r="1625" spans="1:50">
      <c r="A1625" s="1">
        <f>HYPERLINK("https://lsnyc.legalserver.org/matter/dynamic-profile/view/1901214","19-1901214")</f>
        <v>0</v>
      </c>
      <c r="B1625" t="s">
        <v>61</v>
      </c>
      <c r="C1625" t="s">
        <v>105</v>
      </c>
      <c r="D1625" t="s">
        <v>426</v>
      </c>
      <c r="F1625" t="s">
        <v>1499</v>
      </c>
      <c r="G1625" t="s">
        <v>2375</v>
      </c>
      <c r="H1625" t="s">
        <v>3232</v>
      </c>
      <c r="I1625" t="s">
        <v>3282</v>
      </c>
      <c r="J1625" t="s">
        <v>3604</v>
      </c>
      <c r="K1625">
        <v>10032</v>
      </c>
      <c r="L1625" t="s">
        <v>3610</v>
      </c>
      <c r="M1625" t="s">
        <v>3609</v>
      </c>
      <c r="O1625" t="s">
        <v>4219</v>
      </c>
      <c r="P1625" t="s">
        <v>4242</v>
      </c>
      <c r="R1625" t="s">
        <v>4258</v>
      </c>
      <c r="S1625" t="s">
        <v>3611</v>
      </c>
      <c r="U1625" t="s">
        <v>4268</v>
      </c>
      <c r="W1625" t="s">
        <v>426</v>
      </c>
      <c r="X1625">
        <v>3445</v>
      </c>
      <c r="Y1625" t="s">
        <v>4351</v>
      </c>
      <c r="Z1625" t="s">
        <v>4354</v>
      </c>
      <c r="AB1625" t="s">
        <v>5663</v>
      </c>
      <c r="AE1625">
        <v>48</v>
      </c>
      <c r="AF1625" t="s">
        <v>7101</v>
      </c>
      <c r="AG1625" t="s">
        <v>3745</v>
      </c>
      <c r="AH1625">
        <v>2</v>
      </c>
      <c r="AI1625">
        <v>2</v>
      </c>
      <c r="AJ1625">
        <v>0</v>
      </c>
      <c r="AK1625">
        <v>330.1</v>
      </c>
      <c r="AN1625" t="s">
        <v>7138</v>
      </c>
      <c r="AO1625">
        <v>55820</v>
      </c>
      <c r="AU1625">
        <v>1</v>
      </c>
      <c r="AV1625" t="s">
        <v>150</v>
      </c>
      <c r="AW1625" t="s">
        <v>7342</v>
      </c>
      <c r="AX1625" t="s">
        <v>7377</v>
      </c>
    </row>
    <row r="1626" spans="1:50">
      <c r="A1626" s="1">
        <f>HYPERLINK("https://lsnyc.legalserver.org/matter/dynamic-profile/view/1857301","18-1857301")</f>
        <v>0</v>
      </c>
      <c r="B1626" t="s">
        <v>78</v>
      </c>
      <c r="C1626" t="s">
        <v>104</v>
      </c>
      <c r="D1626" t="s">
        <v>451</v>
      </c>
      <c r="E1626" t="s">
        <v>142</v>
      </c>
      <c r="F1626" t="s">
        <v>1245</v>
      </c>
      <c r="G1626" t="s">
        <v>844</v>
      </c>
      <c r="H1626" t="s">
        <v>3233</v>
      </c>
      <c r="I1626" t="s">
        <v>3344</v>
      </c>
      <c r="J1626" t="s">
        <v>3604</v>
      </c>
      <c r="K1626">
        <v>10030</v>
      </c>
      <c r="L1626" t="s">
        <v>3610</v>
      </c>
      <c r="M1626" t="s">
        <v>3610</v>
      </c>
      <c r="N1626" t="s">
        <v>4186</v>
      </c>
      <c r="O1626" t="s">
        <v>4209</v>
      </c>
      <c r="P1626" t="s">
        <v>4242</v>
      </c>
      <c r="Q1626" t="s">
        <v>4250</v>
      </c>
      <c r="R1626" t="s">
        <v>4258</v>
      </c>
      <c r="S1626" t="s">
        <v>3611</v>
      </c>
      <c r="T1626" t="s">
        <v>4259</v>
      </c>
      <c r="U1626" t="s">
        <v>4268</v>
      </c>
      <c r="W1626" t="s">
        <v>428</v>
      </c>
      <c r="X1626">
        <v>853.53</v>
      </c>
      <c r="Y1626" t="s">
        <v>4351</v>
      </c>
      <c r="Z1626" t="s">
        <v>4354</v>
      </c>
      <c r="AA1626" t="s">
        <v>4373</v>
      </c>
      <c r="AB1626" t="s">
        <v>5664</v>
      </c>
      <c r="AD1626" t="s">
        <v>7000</v>
      </c>
      <c r="AE1626">
        <v>11</v>
      </c>
      <c r="AF1626" t="s">
        <v>7101</v>
      </c>
      <c r="AG1626" t="s">
        <v>3745</v>
      </c>
      <c r="AH1626">
        <v>25</v>
      </c>
      <c r="AI1626">
        <v>1</v>
      </c>
      <c r="AJ1626">
        <v>0</v>
      </c>
      <c r="AK1626">
        <v>331.67</v>
      </c>
      <c r="AL1626" t="s">
        <v>7130</v>
      </c>
      <c r="AN1626" t="s">
        <v>7138</v>
      </c>
      <c r="AO1626">
        <v>40000</v>
      </c>
      <c r="AU1626">
        <v>0.25</v>
      </c>
      <c r="AV1626" t="s">
        <v>7297</v>
      </c>
      <c r="AW1626" t="s">
        <v>7344</v>
      </c>
    </row>
    <row r="1627" spans="1:50">
      <c r="A1627" s="1">
        <f>HYPERLINK("https://lsnyc.legalserver.org/matter/dynamic-profile/view/1857985","18-1857985")</f>
        <v>0</v>
      </c>
      <c r="B1627" t="s">
        <v>81</v>
      </c>
      <c r="C1627" t="s">
        <v>104</v>
      </c>
      <c r="D1627" t="s">
        <v>226</v>
      </c>
      <c r="E1627" t="s">
        <v>582</v>
      </c>
      <c r="F1627" t="s">
        <v>1500</v>
      </c>
      <c r="G1627" t="s">
        <v>2376</v>
      </c>
      <c r="H1627" t="s">
        <v>3234</v>
      </c>
      <c r="I1627" t="s">
        <v>3456</v>
      </c>
      <c r="J1627" t="s">
        <v>3604</v>
      </c>
      <c r="K1627">
        <v>10002</v>
      </c>
      <c r="L1627" t="s">
        <v>3610</v>
      </c>
      <c r="M1627" t="s">
        <v>3609</v>
      </c>
      <c r="N1627" t="s">
        <v>4187</v>
      </c>
      <c r="O1627" t="s">
        <v>4209</v>
      </c>
      <c r="P1627" t="s">
        <v>4245</v>
      </c>
      <c r="Q1627" t="s">
        <v>4250</v>
      </c>
      <c r="R1627" t="s">
        <v>4258</v>
      </c>
      <c r="S1627" t="s">
        <v>3611</v>
      </c>
      <c r="T1627" t="s">
        <v>4259</v>
      </c>
      <c r="U1627" t="s">
        <v>4268</v>
      </c>
      <c r="W1627" t="s">
        <v>428</v>
      </c>
      <c r="X1627">
        <v>1460</v>
      </c>
      <c r="Y1627" t="s">
        <v>4351</v>
      </c>
      <c r="Z1627" t="s">
        <v>4357</v>
      </c>
      <c r="AA1627" t="s">
        <v>4373</v>
      </c>
      <c r="AB1627" t="s">
        <v>5159</v>
      </c>
      <c r="AD1627" t="s">
        <v>7001</v>
      </c>
      <c r="AE1627">
        <v>198</v>
      </c>
      <c r="AF1627" t="s">
        <v>7101</v>
      </c>
      <c r="AG1627" t="s">
        <v>3745</v>
      </c>
      <c r="AH1627">
        <v>20</v>
      </c>
      <c r="AI1627">
        <v>1</v>
      </c>
      <c r="AJ1627">
        <v>0</v>
      </c>
      <c r="AK1627">
        <v>331.67</v>
      </c>
      <c r="AL1627" t="s">
        <v>7130</v>
      </c>
      <c r="AN1627" t="s">
        <v>7138</v>
      </c>
      <c r="AO1627">
        <v>40000</v>
      </c>
      <c r="AU1627">
        <v>1</v>
      </c>
      <c r="AV1627" t="s">
        <v>116</v>
      </c>
      <c r="AW1627" t="s">
        <v>7344</v>
      </c>
    </row>
    <row r="1628" spans="1:50">
      <c r="A1628" s="1">
        <f>HYPERLINK("https://lsnyc.legalserver.org/matter/dynamic-profile/view/1893003","19-1893003")</f>
        <v>0</v>
      </c>
      <c r="B1628" t="s">
        <v>52</v>
      </c>
      <c r="C1628" t="s">
        <v>105</v>
      </c>
      <c r="D1628" t="s">
        <v>611</v>
      </c>
      <c r="F1628" t="s">
        <v>1169</v>
      </c>
      <c r="G1628" t="s">
        <v>2373</v>
      </c>
      <c r="H1628" t="s">
        <v>2537</v>
      </c>
      <c r="I1628">
        <v>34</v>
      </c>
      <c r="J1628" t="s">
        <v>3604</v>
      </c>
      <c r="K1628">
        <v>10034</v>
      </c>
      <c r="L1628" t="s">
        <v>3610</v>
      </c>
      <c r="M1628" t="s">
        <v>3610</v>
      </c>
      <c r="N1628" t="s">
        <v>4188</v>
      </c>
      <c r="O1628" t="s">
        <v>4209</v>
      </c>
      <c r="P1628" t="s">
        <v>4241</v>
      </c>
      <c r="R1628" t="s">
        <v>4258</v>
      </c>
      <c r="S1628" t="s">
        <v>3611</v>
      </c>
      <c r="U1628" t="s">
        <v>4268</v>
      </c>
      <c r="W1628" t="s">
        <v>352</v>
      </c>
      <c r="X1628">
        <v>1450</v>
      </c>
      <c r="Y1628" t="s">
        <v>4351</v>
      </c>
      <c r="Z1628" t="s">
        <v>4363</v>
      </c>
      <c r="AB1628" t="s">
        <v>5251</v>
      </c>
      <c r="AD1628" t="s">
        <v>7002</v>
      </c>
      <c r="AE1628">
        <v>55</v>
      </c>
      <c r="AF1628" t="s">
        <v>7101</v>
      </c>
      <c r="AG1628" t="s">
        <v>3745</v>
      </c>
      <c r="AH1628">
        <v>3</v>
      </c>
      <c r="AI1628">
        <v>1</v>
      </c>
      <c r="AJ1628">
        <v>0</v>
      </c>
      <c r="AK1628">
        <v>333.07</v>
      </c>
      <c r="AN1628" t="s">
        <v>7139</v>
      </c>
      <c r="AO1628">
        <v>41600</v>
      </c>
      <c r="AU1628">
        <v>15.3</v>
      </c>
      <c r="AV1628" t="s">
        <v>4296</v>
      </c>
      <c r="AW1628" t="s">
        <v>7353</v>
      </c>
    </row>
    <row r="1629" spans="1:50">
      <c r="A1629" s="1">
        <f>HYPERLINK("https://lsnyc.legalserver.org/matter/dynamic-profile/view/1842036","17-1842036")</f>
        <v>0</v>
      </c>
      <c r="B1629" t="s">
        <v>72</v>
      </c>
      <c r="C1629" t="s">
        <v>105</v>
      </c>
      <c r="D1629" t="s">
        <v>598</v>
      </c>
      <c r="F1629" t="s">
        <v>1170</v>
      </c>
      <c r="G1629" t="s">
        <v>2366</v>
      </c>
      <c r="H1629" t="s">
        <v>2571</v>
      </c>
      <c r="I1629" t="s">
        <v>3428</v>
      </c>
      <c r="J1629" t="s">
        <v>3604</v>
      </c>
      <c r="K1629">
        <v>10029</v>
      </c>
      <c r="L1629" t="s">
        <v>3610</v>
      </c>
      <c r="M1629" t="s">
        <v>3609</v>
      </c>
      <c r="O1629" t="s">
        <v>4211</v>
      </c>
      <c r="P1629" t="s">
        <v>4242</v>
      </c>
      <c r="R1629" t="s">
        <v>4258</v>
      </c>
      <c r="S1629" t="s">
        <v>3610</v>
      </c>
      <c r="U1629" t="s">
        <v>4268</v>
      </c>
      <c r="W1629" t="s">
        <v>133</v>
      </c>
      <c r="X1629">
        <v>1043</v>
      </c>
      <c r="Y1629" t="s">
        <v>4351</v>
      </c>
      <c r="Z1629" t="s">
        <v>4352</v>
      </c>
      <c r="AB1629" t="s">
        <v>5665</v>
      </c>
      <c r="AD1629" t="s">
        <v>7003</v>
      </c>
      <c r="AE1629">
        <v>13</v>
      </c>
      <c r="AF1629" t="s">
        <v>7101</v>
      </c>
      <c r="AG1629" t="s">
        <v>3745</v>
      </c>
      <c r="AH1629">
        <v>20</v>
      </c>
      <c r="AI1629">
        <v>1</v>
      </c>
      <c r="AJ1629">
        <v>0</v>
      </c>
      <c r="AK1629">
        <v>333.33</v>
      </c>
      <c r="AL1629" t="s">
        <v>7130</v>
      </c>
      <c r="AN1629" t="s">
        <v>7138</v>
      </c>
      <c r="AO1629">
        <v>40200</v>
      </c>
      <c r="AU1629">
        <v>2.25</v>
      </c>
      <c r="AV1629" t="s">
        <v>158</v>
      </c>
      <c r="AW1629" t="s">
        <v>7341</v>
      </c>
      <c r="AX1629" t="s">
        <v>7377</v>
      </c>
    </row>
    <row r="1630" spans="1:50">
      <c r="A1630" s="1">
        <f>HYPERLINK("https://lsnyc.legalserver.org/matter/dynamic-profile/view/1901175","19-1901175")</f>
        <v>0</v>
      </c>
      <c r="B1630" t="s">
        <v>61</v>
      </c>
      <c r="C1630" t="s">
        <v>105</v>
      </c>
      <c r="D1630" t="s">
        <v>637</v>
      </c>
      <c r="F1630" t="s">
        <v>1501</v>
      </c>
      <c r="G1630" t="s">
        <v>1573</v>
      </c>
      <c r="H1630" t="s">
        <v>2867</v>
      </c>
      <c r="I1630" t="s">
        <v>3408</v>
      </c>
      <c r="J1630" t="s">
        <v>3604</v>
      </c>
      <c r="K1630">
        <v>10033</v>
      </c>
      <c r="L1630" t="s">
        <v>3610</v>
      </c>
      <c r="M1630" t="s">
        <v>3609</v>
      </c>
      <c r="O1630" t="s">
        <v>4219</v>
      </c>
      <c r="P1630" t="s">
        <v>4242</v>
      </c>
      <c r="R1630" t="s">
        <v>4258</v>
      </c>
      <c r="S1630" t="s">
        <v>3611</v>
      </c>
      <c r="U1630" t="s">
        <v>4268</v>
      </c>
      <c r="W1630" t="s">
        <v>637</v>
      </c>
      <c r="X1630">
        <v>1850</v>
      </c>
      <c r="Y1630" t="s">
        <v>4351</v>
      </c>
      <c r="Z1630" t="s">
        <v>4354</v>
      </c>
      <c r="AB1630" t="s">
        <v>5666</v>
      </c>
      <c r="AE1630">
        <v>53</v>
      </c>
      <c r="AF1630" t="s">
        <v>7101</v>
      </c>
      <c r="AG1630" t="s">
        <v>3745</v>
      </c>
      <c r="AH1630">
        <v>4</v>
      </c>
      <c r="AI1630">
        <v>2</v>
      </c>
      <c r="AJ1630">
        <v>1</v>
      </c>
      <c r="AK1630">
        <v>334.23</v>
      </c>
      <c r="AN1630" t="s">
        <v>7139</v>
      </c>
      <c r="AO1630">
        <v>71292</v>
      </c>
      <c r="AU1630">
        <v>1</v>
      </c>
      <c r="AV1630" t="s">
        <v>150</v>
      </c>
      <c r="AW1630" t="s">
        <v>7342</v>
      </c>
      <c r="AX1630" t="s">
        <v>7377</v>
      </c>
    </row>
    <row r="1631" spans="1:50">
      <c r="A1631" s="1">
        <f>HYPERLINK("https://lsnyc.legalserver.org/matter/dynamic-profile/view/1897828","19-1897828")</f>
        <v>0</v>
      </c>
      <c r="B1631" t="s">
        <v>53</v>
      </c>
      <c r="C1631" t="s">
        <v>105</v>
      </c>
      <c r="D1631" t="s">
        <v>134</v>
      </c>
      <c r="F1631" t="s">
        <v>727</v>
      </c>
      <c r="G1631" t="s">
        <v>1856</v>
      </c>
      <c r="H1631" t="s">
        <v>2797</v>
      </c>
      <c r="I1631" t="s">
        <v>3343</v>
      </c>
      <c r="J1631" t="s">
        <v>3604</v>
      </c>
      <c r="K1631">
        <v>10035</v>
      </c>
      <c r="L1631" t="s">
        <v>3610</v>
      </c>
      <c r="M1631" t="s">
        <v>3610</v>
      </c>
      <c r="O1631" t="s">
        <v>4211</v>
      </c>
      <c r="P1631" t="s">
        <v>4245</v>
      </c>
      <c r="R1631" t="s">
        <v>4258</v>
      </c>
      <c r="S1631" t="s">
        <v>3610</v>
      </c>
      <c r="U1631" t="s">
        <v>4268</v>
      </c>
      <c r="V1631" t="s">
        <v>4274</v>
      </c>
      <c r="W1631" t="s">
        <v>134</v>
      </c>
      <c r="X1631">
        <v>1066.31</v>
      </c>
      <c r="Y1631" t="s">
        <v>4351</v>
      </c>
      <c r="Z1631" t="s">
        <v>4361</v>
      </c>
      <c r="AB1631" t="s">
        <v>5667</v>
      </c>
      <c r="AE1631">
        <v>60</v>
      </c>
      <c r="AF1631" t="s">
        <v>7101</v>
      </c>
      <c r="AG1631" t="s">
        <v>3745</v>
      </c>
      <c r="AH1631">
        <v>15</v>
      </c>
      <c r="AI1631">
        <v>3</v>
      </c>
      <c r="AJ1631">
        <v>0</v>
      </c>
      <c r="AK1631">
        <v>335.68</v>
      </c>
      <c r="AN1631" t="s">
        <v>7138</v>
      </c>
      <c r="AO1631">
        <v>71600</v>
      </c>
      <c r="AP1631" t="s">
        <v>7165</v>
      </c>
      <c r="AU1631">
        <v>0</v>
      </c>
      <c r="AW1631" t="s">
        <v>7341</v>
      </c>
      <c r="AX1631" t="s">
        <v>7377</v>
      </c>
    </row>
    <row r="1632" spans="1:50">
      <c r="A1632" s="1">
        <f>HYPERLINK("https://lsnyc.legalserver.org/matter/dynamic-profile/view/1854249","17-1854249")</f>
        <v>0</v>
      </c>
      <c r="B1632" t="s">
        <v>55</v>
      </c>
      <c r="C1632" t="s">
        <v>104</v>
      </c>
      <c r="D1632" t="s">
        <v>322</v>
      </c>
      <c r="E1632" t="s">
        <v>303</v>
      </c>
      <c r="F1632" t="s">
        <v>1502</v>
      </c>
      <c r="G1632" t="s">
        <v>1592</v>
      </c>
      <c r="H1632" t="s">
        <v>3235</v>
      </c>
      <c r="I1632">
        <v>4</v>
      </c>
      <c r="J1632" t="s">
        <v>3604</v>
      </c>
      <c r="K1632">
        <v>10035</v>
      </c>
      <c r="L1632" t="s">
        <v>3610</v>
      </c>
      <c r="M1632" t="s">
        <v>3610</v>
      </c>
      <c r="O1632" t="s">
        <v>4211</v>
      </c>
      <c r="P1632" t="s">
        <v>4245</v>
      </c>
      <c r="Q1632" t="s">
        <v>4249</v>
      </c>
      <c r="R1632" t="s">
        <v>4258</v>
      </c>
      <c r="S1632" t="s">
        <v>3611</v>
      </c>
      <c r="U1632" t="s">
        <v>4268</v>
      </c>
      <c r="V1632" t="s">
        <v>4274</v>
      </c>
      <c r="W1632" t="s">
        <v>322</v>
      </c>
      <c r="X1632">
        <v>1500</v>
      </c>
      <c r="Y1632" t="s">
        <v>4351</v>
      </c>
      <c r="Z1632" t="s">
        <v>4354</v>
      </c>
      <c r="AA1632" t="s">
        <v>4377</v>
      </c>
      <c r="AB1632" t="s">
        <v>5668</v>
      </c>
      <c r="AD1632" t="s">
        <v>7004</v>
      </c>
      <c r="AE1632">
        <v>3</v>
      </c>
      <c r="AF1632" t="s">
        <v>7105</v>
      </c>
      <c r="AG1632" t="s">
        <v>3745</v>
      </c>
      <c r="AH1632">
        <v>19</v>
      </c>
      <c r="AI1632">
        <v>3</v>
      </c>
      <c r="AJ1632">
        <v>0</v>
      </c>
      <c r="AK1632">
        <v>336.14</v>
      </c>
      <c r="AL1632" t="s">
        <v>509</v>
      </c>
      <c r="AN1632" t="s">
        <v>7139</v>
      </c>
      <c r="AO1632">
        <v>68640</v>
      </c>
      <c r="AU1632">
        <v>12.1</v>
      </c>
      <c r="AV1632" t="s">
        <v>7332</v>
      </c>
      <c r="AW1632" t="s">
        <v>7341</v>
      </c>
    </row>
    <row r="1633" spans="1:50">
      <c r="A1633" s="1">
        <f>HYPERLINK("https://lsnyc.legalserver.org/matter/dynamic-profile/view/1901437","19-1901437")</f>
        <v>0</v>
      </c>
      <c r="B1633" t="s">
        <v>72</v>
      </c>
      <c r="C1633" t="s">
        <v>104</v>
      </c>
      <c r="D1633" t="s">
        <v>371</v>
      </c>
      <c r="E1633" t="s">
        <v>612</v>
      </c>
      <c r="F1633" t="s">
        <v>1011</v>
      </c>
      <c r="G1633" t="s">
        <v>2377</v>
      </c>
      <c r="H1633" t="s">
        <v>3236</v>
      </c>
      <c r="I1633">
        <v>43</v>
      </c>
      <c r="J1633" t="s">
        <v>3604</v>
      </c>
      <c r="K1633">
        <v>10033</v>
      </c>
      <c r="L1633" t="s">
        <v>3610</v>
      </c>
      <c r="M1633" t="s">
        <v>3609</v>
      </c>
      <c r="O1633" t="s">
        <v>4219</v>
      </c>
      <c r="P1633" t="s">
        <v>4245</v>
      </c>
      <c r="Q1633" t="s">
        <v>4249</v>
      </c>
      <c r="R1633" t="s">
        <v>4258</v>
      </c>
      <c r="S1633" t="s">
        <v>3611</v>
      </c>
      <c r="U1633" t="s">
        <v>4268</v>
      </c>
      <c r="W1633" t="s">
        <v>371</v>
      </c>
      <c r="X1633">
        <v>2900</v>
      </c>
      <c r="Y1633" t="s">
        <v>4351</v>
      </c>
      <c r="Z1633" t="s">
        <v>4354</v>
      </c>
      <c r="AA1633" t="s">
        <v>4373</v>
      </c>
      <c r="AB1633" t="s">
        <v>5669</v>
      </c>
      <c r="AE1633">
        <v>54</v>
      </c>
      <c r="AF1633" t="s">
        <v>7101</v>
      </c>
      <c r="AG1633" t="s">
        <v>3745</v>
      </c>
      <c r="AH1633">
        <v>3</v>
      </c>
      <c r="AI1633">
        <v>1</v>
      </c>
      <c r="AJ1633">
        <v>0</v>
      </c>
      <c r="AK1633">
        <v>336.27</v>
      </c>
      <c r="AN1633" t="s">
        <v>7138</v>
      </c>
      <c r="AO1633">
        <v>42000</v>
      </c>
      <c r="AU1633">
        <v>0.25</v>
      </c>
      <c r="AV1633" t="s">
        <v>612</v>
      </c>
      <c r="AW1633" t="s">
        <v>7342</v>
      </c>
      <c r="AX1633" t="s">
        <v>7377</v>
      </c>
    </row>
    <row r="1634" spans="1:50">
      <c r="A1634" s="1">
        <f>HYPERLINK("https://lsnyc.legalserver.org/matter/dynamic-profile/view/1835011","17-1835011")</f>
        <v>0</v>
      </c>
      <c r="B1634" t="s">
        <v>64</v>
      </c>
      <c r="C1634" t="s">
        <v>104</v>
      </c>
      <c r="D1634" t="s">
        <v>431</v>
      </c>
      <c r="E1634" t="s">
        <v>277</v>
      </c>
      <c r="F1634" t="s">
        <v>1261</v>
      </c>
      <c r="G1634" t="s">
        <v>1790</v>
      </c>
      <c r="H1634" t="s">
        <v>2576</v>
      </c>
      <c r="I1634" t="s">
        <v>3274</v>
      </c>
      <c r="J1634" t="s">
        <v>3604</v>
      </c>
      <c r="K1634">
        <v>10040</v>
      </c>
      <c r="L1634" t="s">
        <v>3610</v>
      </c>
      <c r="M1634" t="s">
        <v>3609</v>
      </c>
      <c r="O1634" t="s">
        <v>4213</v>
      </c>
      <c r="P1634" t="s">
        <v>4241</v>
      </c>
      <c r="Q1634" t="s">
        <v>4248</v>
      </c>
      <c r="R1634" t="s">
        <v>4258</v>
      </c>
      <c r="S1634" t="s">
        <v>3610</v>
      </c>
      <c r="U1634" t="s">
        <v>4268</v>
      </c>
      <c r="W1634" t="s">
        <v>431</v>
      </c>
      <c r="X1634">
        <v>2500</v>
      </c>
      <c r="Y1634" t="s">
        <v>4351</v>
      </c>
      <c r="Z1634" t="s">
        <v>4352</v>
      </c>
      <c r="AA1634" t="s">
        <v>4379</v>
      </c>
      <c r="AB1634" t="s">
        <v>5670</v>
      </c>
      <c r="AD1634" t="s">
        <v>7005</v>
      </c>
      <c r="AE1634">
        <v>0</v>
      </c>
      <c r="AF1634" t="s">
        <v>7101</v>
      </c>
      <c r="AG1634" t="s">
        <v>3745</v>
      </c>
      <c r="AH1634">
        <v>1</v>
      </c>
      <c r="AI1634">
        <v>2</v>
      </c>
      <c r="AJ1634">
        <v>0</v>
      </c>
      <c r="AK1634">
        <v>338.67</v>
      </c>
      <c r="AL1634" t="s">
        <v>7130</v>
      </c>
      <c r="AN1634" t="s">
        <v>7138</v>
      </c>
      <c r="AO1634">
        <v>55000</v>
      </c>
      <c r="AU1634">
        <v>0.1</v>
      </c>
      <c r="AV1634" t="s">
        <v>277</v>
      </c>
      <c r="AW1634" t="s">
        <v>7341</v>
      </c>
    </row>
    <row r="1635" spans="1:50">
      <c r="A1635" s="1">
        <f>HYPERLINK("https://lsnyc.legalserver.org/matter/dynamic-profile/view/1835014","17-1835014")</f>
        <v>0</v>
      </c>
      <c r="B1635" t="s">
        <v>64</v>
      </c>
      <c r="C1635" t="s">
        <v>104</v>
      </c>
      <c r="D1635" t="s">
        <v>431</v>
      </c>
      <c r="E1635" t="s">
        <v>277</v>
      </c>
      <c r="F1635" t="s">
        <v>1261</v>
      </c>
      <c r="G1635" t="s">
        <v>1790</v>
      </c>
      <c r="H1635" t="s">
        <v>2576</v>
      </c>
      <c r="I1635" t="s">
        <v>3274</v>
      </c>
      <c r="J1635" t="s">
        <v>3604</v>
      </c>
      <c r="K1635">
        <v>10040</v>
      </c>
      <c r="L1635" t="s">
        <v>3610</v>
      </c>
      <c r="M1635" t="s">
        <v>3609</v>
      </c>
      <c r="O1635" t="s">
        <v>4211</v>
      </c>
      <c r="P1635" t="s">
        <v>4244</v>
      </c>
      <c r="Q1635" t="s">
        <v>4248</v>
      </c>
      <c r="R1635" t="s">
        <v>4258</v>
      </c>
      <c r="S1635" t="s">
        <v>3610</v>
      </c>
      <c r="U1635" t="s">
        <v>4268</v>
      </c>
      <c r="W1635" t="s">
        <v>4282</v>
      </c>
      <c r="X1635">
        <v>2500</v>
      </c>
      <c r="Y1635" t="s">
        <v>4351</v>
      </c>
      <c r="Z1635" t="s">
        <v>4352</v>
      </c>
      <c r="AA1635" t="s">
        <v>4379</v>
      </c>
      <c r="AB1635" t="s">
        <v>5670</v>
      </c>
      <c r="AD1635" t="s">
        <v>7005</v>
      </c>
      <c r="AE1635">
        <v>0</v>
      </c>
      <c r="AF1635" t="s">
        <v>7101</v>
      </c>
      <c r="AG1635" t="s">
        <v>3745</v>
      </c>
      <c r="AH1635">
        <v>1</v>
      </c>
      <c r="AI1635">
        <v>2</v>
      </c>
      <c r="AJ1635">
        <v>0</v>
      </c>
      <c r="AK1635">
        <v>338.67</v>
      </c>
      <c r="AL1635" t="s">
        <v>7130</v>
      </c>
      <c r="AN1635" t="s">
        <v>7138</v>
      </c>
      <c r="AO1635">
        <v>55000</v>
      </c>
      <c r="AU1635">
        <v>0.1</v>
      </c>
      <c r="AV1635" t="s">
        <v>277</v>
      </c>
      <c r="AW1635" t="s">
        <v>7341</v>
      </c>
    </row>
    <row r="1636" spans="1:50">
      <c r="A1636" s="1">
        <f>HYPERLINK("https://lsnyc.legalserver.org/matter/dynamic-profile/view/0831584","17-0831584")</f>
        <v>0</v>
      </c>
      <c r="B1636" t="s">
        <v>53</v>
      </c>
      <c r="C1636" t="s">
        <v>105</v>
      </c>
      <c r="D1636" t="s">
        <v>327</v>
      </c>
      <c r="F1636" t="s">
        <v>1503</v>
      </c>
      <c r="G1636" t="s">
        <v>2022</v>
      </c>
      <c r="H1636" t="s">
        <v>3063</v>
      </c>
      <c r="I1636" t="s">
        <v>3311</v>
      </c>
      <c r="J1636" t="s">
        <v>3604</v>
      </c>
      <c r="K1636">
        <v>10034</v>
      </c>
      <c r="L1636" t="s">
        <v>3609</v>
      </c>
      <c r="M1636" t="s">
        <v>3609</v>
      </c>
      <c r="O1636" t="s">
        <v>4211</v>
      </c>
      <c r="P1636" t="s">
        <v>4242</v>
      </c>
      <c r="R1636" t="s">
        <v>4258</v>
      </c>
      <c r="S1636" t="s">
        <v>3611</v>
      </c>
      <c r="U1636" t="s">
        <v>4268</v>
      </c>
      <c r="W1636" t="s">
        <v>327</v>
      </c>
      <c r="X1636">
        <v>884</v>
      </c>
      <c r="Y1636" t="s">
        <v>4351</v>
      </c>
      <c r="Z1636" t="s">
        <v>4364</v>
      </c>
      <c r="AB1636" t="s">
        <v>5671</v>
      </c>
      <c r="AD1636" t="s">
        <v>7006</v>
      </c>
      <c r="AE1636">
        <v>256</v>
      </c>
      <c r="AF1636" t="s">
        <v>7101</v>
      </c>
      <c r="AG1636" t="s">
        <v>3745</v>
      </c>
      <c r="AH1636">
        <v>4</v>
      </c>
      <c r="AI1636">
        <v>1</v>
      </c>
      <c r="AJ1636">
        <v>0</v>
      </c>
      <c r="AK1636">
        <v>339</v>
      </c>
      <c r="AN1636" t="s">
        <v>7138</v>
      </c>
      <c r="AO1636">
        <v>40884</v>
      </c>
      <c r="AU1636">
        <v>0.8</v>
      </c>
      <c r="AV1636" t="s">
        <v>4312</v>
      </c>
      <c r="AW1636" t="s">
        <v>7346</v>
      </c>
    </row>
    <row r="1637" spans="1:50">
      <c r="A1637" s="1">
        <f>HYPERLINK("https://lsnyc.legalserver.org/matter/dynamic-profile/view/1878114","18-1878114")</f>
        <v>0</v>
      </c>
      <c r="B1637" t="s">
        <v>68</v>
      </c>
      <c r="C1637" t="s">
        <v>104</v>
      </c>
      <c r="D1637" t="s">
        <v>254</v>
      </c>
      <c r="E1637" t="s">
        <v>208</v>
      </c>
      <c r="F1637" t="s">
        <v>1504</v>
      </c>
      <c r="G1637" t="s">
        <v>2378</v>
      </c>
      <c r="H1637" t="s">
        <v>3237</v>
      </c>
      <c r="I1637" t="s">
        <v>3581</v>
      </c>
      <c r="J1637" t="s">
        <v>3604</v>
      </c>
      <c r="K1637">
        <v>10029</v>
      </c>
      <c r="L1637" t="s">
        <v>3610</v>
      </c>
      <c r="M1637" t="s">
        <v>3610</v>
      </c>
      <c r="O1637" t="s">
        <v>4232</v>
      </c>
      <c r="P1637" t="s">
        <v>4243</v>
      </c>
      <c r="Q1637" t="s">
        <v>4248</v>
      </c>
      <c r="R1637" t="s">
        <v>4258</v>
      </c>
      <c r="S1637" t="s">
        <v>3611</v>
      </c>
      <c r="U1637" t="s">
        <v>4268</v>
      </c>
      <c r="V1637" t="s">
        <v>4274</v>
      </c>
      <c r="W1637" t="s">
        <v>4293</v>
      </c>
      <c r="X1637">
        <v>1123</v>
      </c>
      <c r="Y1637" t="s">
        <v>4351</v>
      </c>
      <c r="Z1637" t="s">
        <v>4363</v>
      </c>
      <c r="AA1637" t="s">
        <v>4384</v>
      </c>
      <c r="AB1637" t="s">
        <v>5672</v>
      </c>
      <c r="AD1637" t="s">
        <v>7007</v>
      </c>
      <c r="AE1637">
        <v>180</v>
      </c>
      <c r="AF1637" t="s">
        <v>7102</v>
      </c>
      <c r="AG1637" t="s">
        <v>3745</v>
      </c>
      <c r="AH1637">
        <v>54</v>
      </c>
      <c r="AI1637">
        <v>2</v>
      </c>
      <c r="AJ1637">
        <v>0</v>
      </c>
      <c r="AK1637">
        <v>340</v>
      </c>
      <c r="AL1637" t="s">
        <v>7131</v>
      </c>
      <c r="AM1637" t="s">
        <v>7134</v>
      </c>
      <c r="AN1637" t="s">
        <v>7138</v>
      </c>
      <c r="AO1637">
        <v>55964</v>
      </c>
      <c r="AQ1637" t="s">
        <v>7197</v>
      </c>
      <c r="AS1637" t="s">
        <v>7232</v>
      </c>
      <c r="AT1637" t="s">
        <v>7279</v>
      </c>
      <c r="AU1637">
        <v>55.5</v>
      </c>
      <c r="AV1637" t="s">
        <v>467</v>
      </c>
      <c r="AW1637" t="s">
        <v>7353</v>
      </c>
      <c r="AX1637" t="s">
        <v>7377</v>
      </c>
    </row>
    <row r="1638" spans="1:50">
      <c r="A1638" s="1">
        <f>HYPERLINK("https://lsnyc.legalserver.org/matter/dynamic-profile/view/1901021","19-1901021")</f>
        <v>0</v>
      </c>
      <c r="B1638" t="s">
        <v>101</v>
      </c>
      <c r="C1638" t="s">
        <v>105</v>
      </c>
      <c r="D1638" t="s">
        <v>150</v>
      </c>
      <c r="F1638" t="s">
        <v>1240</v>
      </c>
      <c r="G1638" t="s">
        <v>2379</v>
      </c>
      <c r="H1638" t="s">
        <v>2508</v>
      </c>
      <c r="I1638">
        <v>801</v>
      </c>
      <c r="J1638" t="s">
        <v>3604</v>
      </c>
      <c r="K1638">
        <v>10029</v>
      </c>
      <c r="L1638" t="s">
        <v>3610</v>
      </c>
      <c r="M1638" t="s">
        <v>3609</v>
      </c>
      <c r="O1638" t="s">
        <v>4212</v>
      </c>
      <c r="P1638" t="s">
        <v>4244</v>
      </c>
      <c r="R1638" t="s">
        <v>4258</v>
      </c>
      <c r="S1638" t="s">
        <v>3611</v>
      </c>
      <c r="U1638" t="s">
        <v>4270</v>
      </c>
      <c r="V1638" t="s">
        <v>4274</v>
      </c>
      <c r="W1638" t="s">
        <v>150</v>
      </c>
      <c r="X1638">
        <v>987</v>
      </c>
      <c r="Y1638" t="s">
        <v>4351</v>
      </c>
      <c r="Z1638" t="s">
        <v>4356</v>
      </c>
      <c r="AB1638" t="s">
        <v>5673</v>
      </c>
      <c r="AD1638" t="s">
        <v>7008</v>
      </c>
      <c r="AE1638">
        <v>108</v>
      </c>
      <c r="AF1638" t="s">
        <v>7106</v>
      </c>
      <c r="AG1638" t="s">
        <v>7116</v>
      </c>
      <c r="AH1638">
        <v>20</v>
      </c>
      <c r="AI1638">
        <v>1</v>
      </c>
      <c r="AJ1638">
        <v>0</v>
      </c>
      <c r="AK1638">
        <v>340.27</v>
      </c>
      <c r="AN1638" t="s">
        <v>7138</v>
      </c>
      <c r="AO1638">
        <v>42500</v>
      </c>
      <c r="AU1638">
        <v>6.25</v>
      </c>
      <c r="AV1638" t="s">
        <v>689</v>
      </c>
      <c r="AW1638" t="s">
        <v>7341</v>
      </c>
      <c r="AX1638" t="s">
        <v>7377</v>
      </c>
    </row>
    <row r="1639" spans="1:50">
      <c r="A1639" s="1">
        <f>HYPERLINK("https://lsnyc.legalserver.org/matter/dynamic-profile/view/1863916","18-1863916")</f>
        <v>0</v>
      </c>
      <c r="B1639" t="s">
        <v>53</v>
      </c>
      <c r="C1639" t="s">
        <v>105</v>
      </c>
      <c r="D1639" t="s">
        <v>347</v>
      </c>
      <c r="F1639" t="s">
        <v>1240</v>
      </c>
      <c r="G1639" t="s">
        <v>2379</v>
      </c>
      <c r="H1639" t="s">
        <v>2508</v>
      </c>
      <c r="I1639">
        <v>801</v>
      </c>
      <c r="J1639" t="s">
        <v>3604</v>
      </c>
      <c r="K1639">
        <v>10029</v>
      </c>
      <c r="L1639" t="s">
        <v>3610</v>
      </c>
      <c r="M1639" t="s">
        <v>3610</v>
      </c>
      <c r="N1639" t="s">
        <v>4189</v>
      </c>
      <c r="O1639" t="s">
        <v>4213</v>
      </c>
      <c r="P1639" t="s">
        <v>4241</v>
      </c>
      <c r="R1639" t="s">
        <v>4258</v>
      </c>
      <c r="S1639" t="s">
        <v>3610</v>
      </c>
      <c r="U1639" t="s">
        <v>4268</v>
      </c>
      <c r="V1639" t="s">
        <v>4274</v>
      </c>
      <c r="W1639" t="s">
        <v>347</v>
      </c>
      <c r="X1639">
        <v>0</v>
      </c>
      <c r="Y1639" t="s">
        <v>4351</v>
      </c>
      <c r="Z1639" t="s">
        <v>4352</v>
      </c>
      <c r="AB1639" t="s">
        <v>5673</v>
      </c>
      <c r="AD1639" t="s">
        <v>7008</v>
      </c>
      <c r="AE1639">
        <v>108</v>
      </c>
      <c r="AF1639" t="s">
        <v>7106</v>
      </c>
      <c r="AG1639" t="s">
        <v>7116</v>
      </c>
      <c r="AH1639">
        <v>20</v>
      </c>
      <c r="AI1639">
        <v>1</v>
      </c>
      <c r="AJ1639">
        <v>0</v>
      </c>
      <c r="AK1639">
        <v>350.08</v>
      </c>
      <c r="AN1639" t="s">
        <v>7138</v>
      </c>
      <c r="AO1639">
        <v>42500</v>
      </c>
      <c r="AU1639">
        <v>8</v>
      </c>
      <c r="AV1639" t="s">
        <v>150</v>
      </c>
      <c r="AW1639" t="s">
        <v>7341</v>
      </c>
    </row>
    <row r="1640" spans="1:50">
      <c r="A1640" s="1">
        <f>HYPERLINK("https://lsnyc.legalserver.org/matter/dynamic-profile/view/1875504","18-1875504")</f>
        <v>0</v>
      </c>
      <c r="B1640" t="s">
        <v>70</v>
      </c>
      <c r="C1640" t="s">
        <v>104</v>
      </c>
      <c r="D1640" t="s">
        <v>398</v>
      </c>
      <c r="E1640" t="s">
        <v>678</v>
      </c>
      <c r="F1640" t="s">
        <v>1240</v>
      </c>
      <c r="G1640" t="s">
        <v>2379</v>
      </c>
      <c r="H1640" t="s">
        <v>2508</v>
      </c>
      <c r="I1640">
        <v>801</v>
      </c>
      <c r="J1640" t="s">
        <v>3604</v>
      </c>
      <c r="K1640">
        <v>10029</v>
      </c>
      <c r="L1640" t="s">
        <v>3610</v>
      </c>
      <c r="M1640" t="s">
        <v>3610</v>
      </c>
      <c r="N1640" t="s">
        <v>4190</v>
      </c>
      <c r="O1640" t="s">
        <v>4209</v>
      </c>
      <c r="P1640" t="s">
        <v>4241</v>
      </c>
      <c r="Q1640" t="s">
        <v>4251</v>
      </c>
      <c r="R1640" t="s">
        <v>4258</v>
      </c>
      <c r="S1640" t="s">
        <v>3611</v>
      </c>
      <c r="U1640" t="s">
        <v>4268</v>
      </c>
      <c r="V1640" t="s">
        <v>4274</v>
      </c>
      <c r="W1640" t="s">
        <v>398</v>
      </c>
      <c r="X1640">
        <v>987</v>
      </c>
      <c r="Y1640" t="s">
        <v>4351</v>
      </c>
      <c r="Z1640" t="s">
        <v>4357</v>
      </c>
      <c r="AA1640" t="s">
        <v>4387</v>
      </c>
      <c r="AB1640" t="s">
        <v>5673</v>
      </c>
      <c r="AD1640" t="s">
        <v>7008</v>
      </c>
      <c r="AE1640">
        <v>108</v>
      </c>
      <c r="AF1640" t="s">
        <v>7106</v>
      </c>
      <c r="AG1640" t="s">
        <v>7116</v>
      </c>
      <c r="AH1640">
        <v>20</v>
      </c>
      <c r="AI1640">
        <v>1</v>
      </c>
      <c r="AJ1640">
        <v>0</v>
      </c>
      <c r="AK1640">
        <v>350.08</v>
      </c>
      <c r="AL1640" t="s">
        <v>561</v>
      </c>
      <c r="AM1640" t="s">
        <v>7134</v>
      </c>
      <c r="AN1640" t="s">
        <v>7138</v>
      </c>
      <c r="AO1640">
        <v>42500</v>
      </c>
      <c r="AQ1640" t="s">
        <v>7201</v>
      </c>
      <c r="AR1640" t="s">
        <v>7228</v>
      </c>
      <c r="AS1640" t="s">
        <v>7231</v>
      </c>
      <c r="AT1640" t="s">
        <v>7280</v>
      </c>
      <c r="AU1640">
        <v>28.7</v>
      </c>
      <c r="AV1640" t="s">
        <v>678</v>
      </c>
      <c r="AW1640" t="s">
        <v>7341</v>
      </c>
      <c r="AX1640" t="s">
        <v>7377</v>
      </c>
    </row>
    <row r="1641" spans="1:50">
      <c r="A1641" s="1">
        <f>HYPERLINK("https://lsnyc.legalserver.org/matter/dynamic-profile/view/1886662","18-1886662")</f>
        <v>0</v>
      </c>
      <c r="B1641" t="s">
        <v>68</v>
      </c>
      <c r="C1641" t="s">
        <v>105</v>
      </c>
      <c r="D1641" t="s">
        <v>488</v>
      </c>
      <c r="F1641" t="s">
        <v>1505</v>
      </c>
      <c r="G1641" t="s">
        <v>2380</v>
      </c>
      <c r="H1641" t="s">
        <v>2722</v>
      </c>
      <c r="I1641" t="s">
        <v>3582</v>
      </c>
      <c r="J1641" t="s">
        <v>3604</v>
      </c>
      <c r="K1641">
        <v>10029</v>
      </c>
      <c r="L1641" t="s">
        <v>3610</v>
      </c>
      <c r="M1641" t="s">
        <v>3610</v>
      </c>
      <c r="O1641" t="s">
        <v>4213</v>
      </c>
      <c r="P1641" t="s">
        <v>4246</v>
      </c>
      <c r="R1641" t="s">
        <v>4258</v>
      </c>
      <c r="S1641" t="s">
        <v>3610</v>
      </c>
      <c r="U1641" t="s">
        <v>4268</v>
      </c>
      <c r="V1641" t="s">
        <v>4274</v>
      </c>
      <c r="W1641" t="s">
        <v>488</v>
      </c>
      <c r="X1641">
        <v>2300</v>
      </c>
      <c r="Y1641" t="s">
        <v>4351</v>
      </c>
      <c r="Z1641" t="s">
        <v>4352</v>
      </c>
      <c r="AB1641" t="s">
        <v>5674</v>
      </c>
      <c r="AD1641" t="s">
        <v>7009</v>
      </c>
      <c r="AE1641">
        <v>0</v>
      </c>
      <c r="AF1641" t="s">
        <v>7103</v>
      </c>
      <c r="AG1641" t="s">
        <v>3745</v>
      </c>
      <c r="AH1641">
        <v>1</v>
      </c>
      <c r="AI1641">
        <v>4</v>
      </c>
      <c r="AJ1641">
        <v>0</v>
      </c>
      <c r="AK1641">
        <v>350.6</v>
      </c>
      <c r="AN1641" t="s">
        <v>7142</v>
      </c>
      <c r="AO1641">
        <v>88000</v>
      </c>
      <c r="AU1641">
        <v>15</v>
      </c>
      <c r="AV1641" t="s">
        <v>467</v>
      </c>
      <c r="AW1641" t="s">
        <v>7341</v>
      </c>
      <c r="AX1641" t="s">
        <v>7377</v>
      </c>
    </row>
    <row r="1642" spans="1:50">
      <c r="A1642" s="1">
        <f>HYPERLINK("https://lsnyc.legalserver.org/matter/dynamic-profile/view/1881231","18-1881231")</f>
        <v>0</v>
      </c>
      <c r="B1642" t="s">
        <v>62</v>
      </c>
      <c r="C1642" t="s">
        <v>105</v>
      </c>
      <c r="D1642" t="s">
        <v>306</v>
      </c>
      <c r="F1642" t="s">
        <v>1047</v>
      </c>
      <c r="G1642" t="s">
        <v>2381</v>
      </c>
      <c r="H1642" t="s">
        <v>2712</v>
      </c>
      <c r="I1642" t="s">
        <v>3279</v>
      </c>
      <c r="J1642" t="s">
        <v>3604</v>
      </c>
      <c r="K1642">
        <v>10040</v>
      </c>
      <c r="L1642" t="s">
        <v>3610</v>
      </c>
      <c r="M1642" t="s">
        <v>3610</v>
      </c>
      <c r="O1642" t="s">
        <v>4213</v>
      </c>
      <c r="P1642" t="s">
        <v>4242</v>
      </c>
      <c r="R1642" t="s">
        <v>4258</v>
      </c>
      <c r="S1642" t="s">
        <v>3610</v>
      </c>
      <c r="U1642" t="s">
        <v>4268</v>
      </c>
      <c r="W1642" t="s">
        <v>306</v>
      </c>
      <c r="X1642">
        <v>1650</v>
      </c>
      <c r="Y1642" t="s">
        <v>4351</v>
      </c>
      <c r="Z1642" t="s">
        <v>4354</v>
      </c>
      <c r="AB1642" t="s">
        <v>5675</v>
      </c>
      <c r="AD1642" t="s">
        <v>7010</v>
      </c>
      <c r="AE1642">
        <v>42</v>
      </c>
      <c r="AF1642" t="s">
        <v>7101</v>
      </c>
      <c r="AG1642" t="s">
        <v>3745</v>
      </c>
      <c r="AH1642">
        <v>9</v>
      </c>
      <c r="AI1642">
        <v>2</v>
      </c>
      <c r="AJ1642">
        <v>2</v>
      </c>
      <c r="AK1642">
        <v>358.57</v>
      </c>
      <c r="AL1642" t="s">
        <v>183</v>
      </c>
      <c r="AM1642" t="s">
        <v>7136</v>
      </c>
      <c r="AN1642" t="s">
        <v>7139</v>
      </c>
      <c r="AO1642">
        <v>90000</v>
      </c>
      <c r="AU1642">
        <v>0.4</v>
      </c>
      <c r="AV1642" t="s">
        <v>7293</v>
      </c>
      <c r="AW1642" t="s">
        <v>7342</v>
      </c>
    </row>
    <row r="1643" spans="1:50">
      <c r="A1643" s="1">
        <f>HYPERLINK("https://lsnyc.legalserver.org/matter/dynamic-profile/view/1890850","19-1890850")</f>
        <v>0</v>
      </c>
      <c r="B1643" t="s">
        <v>64</v>
      </c>
      <c r="C1643" t="s">
        <v>104</v>
      </c>
      <c r="D1643" t="s">
        <v>569</v>
      </c>
      <c r="E1643" t="s">
        <v>131</v>
      </c>
      <c r="F1643" t="s">
        <v>1506</v>
      </c>
      <c r="G1643" t="s">
        <v>2382</v>
      </c>
      <c r="H1643" t="s">
        <v>2983</v>
      </c>
      <c r="I1643" t="s">
        <v>3477</v>
      </c>
      <c r="J1643" t="s">
        <v>3604</v>
      </c>
      <c r="K1643">
        <v>10033</v>
      </c>
      <c r="L1643" t="s">
        <v>3610</v>
      </c>
      <c r="M1643" t="s">
        <v>3610</v>
      </c>
      <c r="O1643" t="s">
        <v>4219</v>
      </c>
      <c r="P1643" t="s">
        <v>4242</v>
      </c>
      <c r="Q1643" t="s">
        <v>4250</v>
      </c>
      <c r="R1643" t="s">
        <v>4258</v>
      </c>
      <c r="S1643" t="s">
        <v>3610</v>
      </c>
      <c r="U1643" t="s">
        <v>4268</v>
      </c>
      <c r="W1643" t="s">
        <v>569</v>
      </c>
      <c r="X1643">
        <v>2020</v>
      </c>
      <c r="Y1643" t="s">
        <v>4351</v>
      </c>
      <c r="Z1643" t="s">
        <v>4359</v>
      </c>
      <c r="AA1643" t="s">
        <v>4373</v>
      </c>
      <c r="AB1643" t="s">
        <v>4800</v>
      </c>
      <c r="AE1643">
        <v>60</v>
      </c>
      <c r="AF1643" t="s">
        <v>7101</v>
      </c>
      <c r="AG1643" t="s">
        <v>3745</v>
      </c>
      <c r="AH1643">
        <v>6</v>
      </c>
      <c r="AI1643">
        <v>1</v>
      </c>
      <c r="AJ1643">
        <v>3</v>
      </c>
      <c r="AK1643">
        <v>359.22</v>
      </c>
      <c r="AL1643" t="s">
        <v>7132</v>
      </c>
      <c r="AM1643" t="s">
        <v>7134</v>
      </c>
      <c r="AN1643" t="s">
        <v>7138</v>
      </c>
      <c r="AO1643">
        <v>92500</v>
      </c>
      <c r="AU1643">
        <v>3.05</v>
      </c>
      <c r="AV1643" t="s">
        <v>591</v>
      </c>
      <c r="AW1643" t="s">
        <v>7342</v>
      </c>
      <c r="AX1643" t="s">
        <v>7377</v>
      </c>
    </row>
    <row r="1644" spans="1:50">
      <c r="A1644" s="1">
        <f>HYPERLINK("https://lsnyc.legalserver.org/matter/dynamic-profile/view/1890842","19-1890842")</f>
        <v>0</v>
      </c>
      <c r="B1644" t="s">
        <v>64</v>
      </c>
      <c r="C1644" t="s">
        <v>104</v>
      </c>
      <c r="D1644" t="s">
        <v>569</v>
      </c>
      <c r="E1644" t="s">
        <v>131</v>
      </c>
      <c r="F1644" t="s">
        <v>1507</v>
      </c>
      <c r="G1644" t="s">
        <v>2383</v>
      </c>
      <c r="H1644" t="s">
        <v>2983</v>
      </c>
      <c r="I1644" t="s">
        <v>3575</v>
      </c>
      <c r="J1644" t="s">
        <v>3604</v>
      </c>
      <c r="K1644">
        <v>10033</v>
      </c>
      <c r="L1644" t="s">
        <v>3610</v>
      </c>
      <c r="M1644" t="s">
        <v>3610</v>
      </c>
      <c r="P1644" t="s">
        <v>4242</v>
      </c>
      <c r="Q1644" t="s">
        <v>4250</v>
      </c>
      <c r="R1644" t="s">
        <v>4258</v>
      </c>
      <c r="S1644" t="s">
        <v>3610</v>
      </c>
      <c r="U1644" t="s">
        <v>4268</v>
      </c>
      <c r="W1644" t="s">
        <v>569</v>
      </c>
      <c r="X1644">
        <v>0</v>
      </c>
      <c r="Y1644" t="s">
        <v>4351</v>
      </c>
      <c r="Z1644" t="s">
        <v>4359</v>
      </c>
      <c r="AA1644" t="s">
        <v>4373</v>
      </c>
      <c r="AB1644" t="s">
        <v>5676</v>
      </c>
      <c r="AD1644" t="s">
        <v>7011</v>
      </c>
      <c r="AE1644">
        <v>60</v>
      </c>
      <c r="AF1644" t="s">
        <v>7101</v>
      </c>
      <c r="AG1644" t="s">
        <v>3745</v>
      </c>
      <c r="AH1644">
        <v>0</v>
      </c>
      <c r="AI1644">
        <v>1</v>
      </c>
      <c r="AJ1644">
        <v>0</v>
      </c>
      <c r="AK1644">
        <v>360.29</v>
      </c>
      <c r="AL1644" t="s">
        <v>7132</v>
      </c>
      <c r="AM1644" t="s">
        <v>7134</v>
      </c>
      <c r="AN1644" t="s">
        <v>7138</v>
      </c>
      <c r="AO1644">
        <v>45000</v>
      </c>
      <c r="AU1644">
        <v>0.01</v>
      </c>
      <c r="AV1644" t="s">
        <v>131</v>
      </c>
      <c r="AW1644" t="s">
        <v>7342</v>
      </c>
    </row>
    <row r="1645" spans="1:50">
      <c r="A1645" s="1">
        <f>HYPERLINK("https://lsnyc.legalserver.org/matter/dynamic-profile/view/1900977","19-1900977")</f>
        <v>0</v>
      </c>
      <c r="B1645" t="s">
        <v>64</v>
      </c>
      <c r="C1645" t="s">
        <v>104</v>
      </c>
      <c r="D1645" t="s">
        <v>150</v>
      </c>
      <c r="E1645" t="s">
        <v>637</v>
      </c>
      <c r="F1645" t="s">
        <v>1508</v>
      </c>
      <c r="G1645" t="s">
        <v>1768</v>
      </c>
      <c r="H1645" t="s">
        <v>3238</v>
      </c>
      <c r="I1645" t="s">
        <v>3375</v>
      </c>
      <c r="J1645" t="s">
        <v>3604</v>
      </c>
      <c r="K1645">
        <v>10032</v>
      </c>
      <c r="L1645" t="s">
        <v>3610</v>
      </c>
      <c r="M1645" t="s">
        <v>3609</v>
      </c>
      <c r="P1645" t="s">
        <v>4242</v>
      </c>
      <c r="Q1645" t="s">
        <v>4250</v>
      </c>
      <c r="R1645" t="s">
        <v>4258</v>
      </c>
      <c r="S1645" t="s">
        <v>3611</v>
      </c>
      <c r="U1645" t="s">
        <v>4268</v>
      </c>
      <c r="W1645" t="s">
        <v>150</v>
      </c>
      <c r="X1645">
        <v>1381.42</v>
      </c>
      <c r="Y1645" t="s">
        <v>4351</v>
      </c>
      <c r="Z1645" t="s">
        <v>4354</v>
      </c>
      <c r="AA1645" t="s">
        <v>4373</v>
      </c>
      <c r="AB1645" t="s">
        <v>5677</v>
      </c>
      <c r="AD1645" t="s">
        <v>7012</v>
      </c>
      <c r="AE1645">
        <v>54</v>
      </c>
      <c r="AF1645" t="s">
        <v>7101</v>
      </c>
      <c r="AG1645" t="s">
        <v>3745</v>
      </c>
      <c r="AH1645">
        <v>35</v>
      </c>
      <c r="AI1645">
        <v>1</v>
      </c>
      <c r="AJ1645">
        <v>0</v>
      </c>
      <c r="AK1645">
        <v>360.29</v>
      </c>
      <c r="AN1645" t="s">
        <v>7139</v>
      </c>
      <c r="AO1645">
        <v>45000</v>
      </c>
      <c r="AU1645">
        <v>1</v>
      </c>
      <c r="AV1645" t="s">
        <v>681</v>
      </c>
      <c r="AW1645" t="s">
        <v>7342</v>
      </c>
      <c r="AX1645" t="s">
        <v>7377</v>
      </c>
    </row>
    <row r="1646" spans="1:50">
      <c r="A1646" s="1">
        <f>HYPERLINK("https://lsnyc.legalserver.org/matter/dynamic-profile/view/1885190","18-1885190")</f>
        <v>0</v>
      </c>
      <c r="B1646" t="s">
        <v>80</v>
      </c>
      <c r="C1646" t="s">
        <v>104</v>
      </c>
      <c r="D1646" t="s">
        <v>485</v>
      </c>
      <c r="E1646" t="s">
        <v>335</v>
      </c>
      <c r="F1646" t="s">
        <v>1246</v>
      </c>
      <c r="G1646" t="s">
        <v>2384</v>
      </c>
      <c r="H1646" t="s">
        <v>3239</v>
      </c>
      <c r="I1646">
        <v>17</v>
      </c>
      <c r="J1646" t="s">
        <v>3604</v>
      </c>
      <c r="K1646">
        <v>10032</v>
      </c>
      <c r="L1646" t="s">
        <v>3610</v>
      </c>
      <c r="M1646" t="s">
        <v>3610</v>
      </c>
      <c r="N1646" t="s">
        <v>4191</v>
      </c>
      <c r="O1646" t="s">
        <v>4210</v>
      </c>
      <c r="P1646" t="s">
        <v>4242</v>
      </c>
      <c r="Q1646" t="s">
        <v>4250</v>
      </c>
      <c r="R1646" t="s">
        <v>4258</v>
      </c>
      <c r="S1646" t="s">
        <v>3611</v>
      </c>
      <c r="U1646" t="s">
        <v>4268</v>
      </c>
      <c r="W1646" t="s">
        <v>485</v>
      </c>
      <c r="X1646">
        <v>742.08</v>
      </c>
      <c r="Y1646" t="s">
        <v>4351</v>
      </c>
      <c r="Z1646" t="s">
        <v>4366</v>
      </c>
      <c r="AA1646" t="s">
        <v>4373</v>
      </c>
      <c r="AB1646" t="s">
        <v>5678</v>
      </c>
      <c r="AD1646" t="s">
        <v>7013</v>
      </c>
      <c r="AE1646">
        <v>0</v>
      </c>
      <c r="AF1646" t="s">
        <v>7104</v>
      </c>
      <c r="AH1646">
        <v>40</v>
      </c>
      <c r="AI1646">
        <v>2</v>
      </c>
      <c r="AJ1646">
        <v>0</v>
      </c>
      <c r="AK1646">
        <v>360.87</v>
      </c>
      <c r="AN1646" t="s">
        <v>7139</v>
      </c>
      <c r="AO1646">
        <v>59400</v>
      </c>
      <c r="AU1646">
        <v>0.3</v>
      </c>
      <c r="AV1646" t="s">
        <v>673</v>
      </c>
      <c r="AW1646" t="s">
        <v>7347</v>
      </c>
    </row>
    <row r="1647" spans="1:50">
      <c r="A1647" s="1">
        <f>HYPERLINK("https://lsnyc.legalserver.org/matter/dynamic-profile/view/1877027","18-1877027")</f>
        <v>0</v>
      </c>
      <c r="B1647" t="s">
        <v>79</v>
      </c>
      <c r="C1647" t="s">
        <v>104</v>
      </c>
      <c r="D1647" t="s">
        <v>198</v>
      </c>
      <c r="E1647" t="s">
        <v>612</v>
      </c>
      <c r="F1647" t="s">
        <v>1509</v>
      </c>
      <c r="G1647" t="s">
        <v>1183</v>
      </c>
      <c r="H1647" t="s">
        <v>3240</v>
      </c>
      <c r="I1647" t="s">
        <v>3492</v>
      </c>
      <c r="J1647" t="s">
        <v>3604</v>
      </c>
      <c r="K1647">
        <v>10037</v>
      </c>
      <c r="L1647" t="s">
        <v>3610</v>
      </c>
      <c r="M1647" t="s">
        <v>3610</v>
      </c>
      <c r="N1647" t="s">
        <v>4192</v>
      </c>
      <c r="O1647" t="s">
        <v>4209</v>
      </c>
      <c r="P1647" t="s">
        <v>4241</v>
      </c>
      <c r="Q1647" t="s">
        <v>4248</v>
      </c>
      <c r="R1647" t="s">
        <v>4258</v>
      </c>
      <c r="S1647" t="s">
        <v>3611</v>
      </c>
      <c r="U1647" t="s">
        <v>4271</v>
      </c>
      <c r="V1647" t="s">
        <v>4274</v>
      </c>
      <c r="W1647" t="s">
        <v>198</v>
      </c>
      <c r="X1647">
        <v>780</v>
      </c>
      <c r="Y1647" t="s">
        <v>4351</v>
      </c>
      <c r="Z1647" t="s">
        <v>4354</v>
      </c>
      <c r="AA1647" t="s">
        <v>4374</v>
      </c>
      <c r="AB1647" t="s">
        <v>5679</v>
      </c>
      <c r="AD1647" t="s">
        <v>7014</v>
      </c>
      <c r="AE1647">
        <v>0</v>
      </c>
      <c r="AF1647" t="s">
        <v>7102</v>
      </c>
      <c r="AG1647" t="s">
        <v>3745</v>
      </c>
      <c r="AH1647">
        <v>12</v>
      </c>
      <c r="AI1647">
        <v>1</v>
      </c>
      <c r="AJ1647">
        <v>0</v>
      </c>
      <c r="AK1647">
        <v>365.73</v>
      </c>
      <c r="AN1647" t="s">
        <v>7138</v>
      </c>
      <c r="AO1647">
        <v>44400</v>
      </c>
      <c r="AS1647" t="s">
        <v>7231</v>
      </c>
      <c r="AT1647" t="s">
        <v>7276</v>
      </c>
      <c r="AU1647">
        <v>13.5</v>
      </c>
      <c r="AV1647" t="s">
        <v>612</v>
      </c>
      <c r="AW1647" t="s">
        <v>7344</v>
      </c>
    </row>
    <row r="1648" spans="1:50">
      <c r="A1648" s="1">
        <f>HYPERLINK("https://lsnyc.legalserver.org/matter/dynamic-profile/view/1865069","18-1865069")</f>
        <v>0</v>
      </c>
      <c r="B1648" t="s">
        <v>93</v>
      </c>
      <c r="C1648" t="s">
        <v>104</v>
      </c>
      <c r="D1648" t="s">
        <v>479</v>
      </c>
      <c r="E1648" t="s">
        <v>655</v>
      </c>
      <c r="F1648" t="s">
        <v>1510</v>
      </c>
      <c r="G1648" t="s">
        <v>2385</v>
      </c>
      <c r="H1648" t="s">
        <v>3241</v>
      </c>
      <c r="I1648" t="s">
        <v>3430</v>
      </c>
      <c r="J1648" t="s">
        <v>3604</v>
      </c>
      <c r="K1648">
        <v>10029</v>
      </c>
      <c r="L1648" t="s">
        <v>3610</v>
      </c>
      <c r="M1648" t="s">
        <v>3610</v>
      </c>
      <c r="N1648" t="s">
        <v>4193</v>
      </c>
      <c r="O1648" t="s">
        <v>4210</v>
      </c>
      <c r="P1648" t="s">
        <v>4242</v>
      </c>
      <c r="Q1648" t="s">
        <v>4250</v>
      </c>
      <c r="R1648" t="s">
        <v>4258</v>
      </c>
      <c r="S1648" t="s">
        <v>3611</v>
      </c>
      <c r="U1648" t="s">
        <v>4268</v>
      </c>
      <c r="V1648" t="s">
        <v>4274</v>
      </c>
      <c r="W1648" t="s">
        <v>479</v>
      </c>
      <c r="X1648">
        <v>1100</v>
      </c>
      <c r="Y1648" t="s">
        <v>4351</v>
      </c>
      <c r="Z1648" t="s">
        <v>4356</v>
      </c>
      <c r="AA1648" t="s">
        <v>4373</v>
      </c>
      <c r="AB1648" t="s">
        <v>5680</v>
      </c>
      <c r="AD1648" t="s">
        <v>7015</v>
      </c>
      <c r="AE1648">
        <v>116</v>
      </c>
      <c r="AF1648" t="s">
        <v>7102</v>
      </c>
      <c r="AG1648" t="s">
        <v>3745</v>
      </c>
      <c r="AH1648">
        <v>0</v>
      </c>
      <c r="AI1648">
        <v>1</v>
      </c>
      <c r="AJ1648">
        <v>0</v>
      </c>
      <c r="AK1648">
        <v>367.04</v>
      </c>
      <c r="AL1648" t="s">
        <v>7130</v>
      </c>
      <c r="AN1648" t="s">
        <v>7138</v>
      </c>
      <c r="AO1648">
        <v>44559</v>
      </c>
      <c r="AU1648">
        <v>7.4</v>
      </c>
      <c r="AV1648" t="s">
        <v>342</v>
      </c>
      <c r="AW1648" t="s">
        <v>7341</v>
      </c>
    </row>
    <row r="1649" spans="1:50">
      <c r="A1649" s="1">
        <f>HYPERLINK("https://lsnyc.legalserver.org/matter/dynamic-profile/view/1842382","17-1842382")</f>
        <v>0</v>
      </c>
      <c r="B1649" t="s">
        <v>51</v>
      </c>
      <c r="C1649" t="s">
        <v>104</v>
      </c>
      <c r="D1649" t="s">
        <v>427</v>
      </c>
      <c r="E1649" t="s">
        <v>348</v>
      </c>
      <c r="F1649" t="s">
        <v>1351</v>
      </c>
      <c r="G1649" t="s">
        <v>2386</v>
      </c>
      <c r="H1649" t="s">
        <v>2721</v>
      </c>
      <c r="I1649">
        <v>10</v>
      </c>
      <c r="J1649" t="s">
        <v>3604</v>
      </c>
      <c r="K1649">
        <v>10029</v>
      </c>
      <c r="L1649" t="s">
        <v>3610</v>
      </c>
      <c r="M1649" t="s">
        <v>3610</v>
      </c>
      <c r="O1649" t="s">
        <v>4211</v>
      </c>
      <c r="P1649" t="s">
        <v>4242</v>
      </c>
      <c r="Q1649" t="s">
        <v>4250</v>
      </c>
      <c r="R1649" t="s">
        <v>4258</v>
      </c>
      <c r="S1649" t="s">
        <v>3611</v>
      </c>
      <c r="U1649" t="s">
        <v>4268</v>
      </c>
      <c r="V1649" t="s">
        <v>4274</v>
      </c>
      <c r="W1649" t="s">
        <v>427</v>
      </c>
      <c r="X1649">
        <v>1472</v>
      </c>
      <c r="Y1649" t="s">
        <v>4351</v>
      </c>
      <c r="Z1649" t="s">
        <v>4354</v>
      </c>
      <c r="AA1649" t="s">
        <v>4373</v>
      </c>
      <c r="AB1649" t="s">
        <v>5681</v>
      </c>
      <c r="AD1649" t="s">
        <v>7016</v>
      </c>
      <c r="AE1649">
        <v>22</v>
      </c>
      <c r="AF1649" t="s">
        <v>7101</v>
      </c>
      <c r="AG1649" t="s">
        <v>3745</v>
      </c>
      <c r="AH1649">
        <v>20</v>
      </c>
      <c r="AI1649">
        <v>2</v>
      </c>
      <c r="AJ1649">
        <v>0</v>
      </c>
      <c r="AK1649">
        <v>369.46</v>
      </c>
      <c r="AL1649" t="s">
        <v>7130</v>
      </c>
      <c r="AN1649" t="s">
        <v>7138</v>
      </c>
      <c r="AO1649">
        <v>60000</v>
      </c>
      <c r="AU1649">
        <v>1.2</v>
      </c>
      <c r="AV1649" t="s">
        <v>427</v>
      </c>
      <c r="AW1649" t="s">
        <v>7341</v>
      </c>
    </row>
    <row r="1650" spans="1:50">
      <c r="A1650" s="1">
        <f>HYPERLINK("https://lsnyc.legalserver.org/matter/dynamic-profile/view/1868160","18-1868160")</f>
        <v>0</v>
      </c>
      <c r="B1650" t="s">
        <v>53</v>
      </c>
      <c r="C1650" t="s">
        <v>104</v>
      </c>
      <c r="D1650" t="s">
        <v>233</v>
      </c>
      <c r="E1650" t="s">
        <v>667</v>
      </c>
      <c r="F1650" t="s">
        <v>807</v>
      </c>
      <c r="G1650" t="s">
        <v>1600</v>
      </c>
      <c r="H1650" t="s">
        <v>2622</v>
      </c>
      <c r="I1650" t="s">
        <v>3335</v>
      </c>
      <c r="J1650" t="s">
        <v>3604</v>
      </c>
      <c r="K1650">
        <v>10035</v>
      </c>
      <c r="L1650" t="s">
        <v>3610</v>
      </c>
      <c r="M1650" t="s">
        <v>3609</v>
      </c>
      <c r="N1650" t="s">
        <v>4194</v>
      </c>
      <c r="O1650" t="s">
        <v>4209</v>
      </c>
      <c r="P1650" t="s">
        <v>4241</v>
      </c>
      <c r="Q1650" t="s">
        <v>4248</v>
      </c>
      <c r="R1650" t="s">
        <v>4258</v>
      </c>
      <c r="S1650" t="s">
        <v>3611</v>
      </c>
      <c r="U1650" t="s">
        <v>4268</v>
      </c>
      <c r="W1650" t="s">
        <v>233</v>
      </c>
      <c r="X1650">
        <v>1595</v>
      </c>
      <c r="Y1650" t="s">
        <v>4351</v>
      </c>
      <c r="Z1650" t="s">
        <v>4361</v>
      </c>
      <c r="AA1650" t="s">
        <v>4374</v>
      </c>
      <c r="AB1650" t="s">
        <v>5682</v>
      </c>
      <c r="AD1650" t="s">
        <v>7017</v>
      </c>
      <c r="AE1650">
        <v>72</v>
      </c>
      <c r="AF1650" t="s">
        <v>7101</v>
      </c>
      <c r="AG1650" t="s">
        <v>7116</v>
      </c>
      <c r="AH1650">
        <v>72</v>
      </c>
      <c r="AI1650">
        <v>1</v>
      </c>
      <c r="AJ1650">
        <v>0</v>
      </c>
      <c r="AK1650">
        <v>370.68</v>
      </c>
      <c r="AL1650" t="s">
        <v>7130</v>
      </c>
      <c r="AN1650" t="s">
        <v>7138</v>
      </c>
      <c r="AO1650">
        <v>45000</v>
      </c>
      <c r="AR1650" t="s">
        <v>7212</v>
      </c>
      <c r="AS1650" t="s">
        <v>7231</v>
      </c>
      <c r="AT1650" t="s">
        <v>7281</v>
      </c>
      <c r="AU1650">
        <v>23.38</v>
      </c>
      <c r="AV1650" t="s">
        <v>438</v>
      </c>
      <c r="AW1650" t="s">
        <v>7341</v>
      </c>
      <c r="AX1650" t="s">
        <v>7377</v>
      </c>
    </row>
    <row r="1651" spans="1:50">
      <c r="A1651" s="1">
        <f>HYPERLINK("https://lsnyc.legalserver.org/matter/dynamic-profile/view/1885423","18-1885423")</f>
        <v>0</v>
      </c>
      <c r="B1651" t="s">
        <v>79</v>
      </c>
      <c r="C1651" t="s">
        <v>104</v>
      </c>
      <c r="D1651" t="s">
        <v>642</v>
      </c>
      <c r="E1651" t="s">
        <v>335</v>
      </c>
      <c r="F1651" t="s">
        <v>1511</v>
      </c>
      <c r="G1651" t="s">
        <v>2387</v>
      </c>
      <c r="H1651" t="s">
        <v>3242</v>
      </c>
      <c r="I1651" t="s">
        <v>3304</v>
      </c>
      <c r="J1651" t="s">
        <v>3604</v>
      </c>
      <c r="K1651">
        <v>10026</v>
      </c>
      <c r="L1651" t="s">
        <v>3610</v>
      </c>
      <c r="M1651" t="s">
        <v>3610</v>
      </c>
      <c r="N1651" t="s">
        <v>4195</v>
      </c>
      <c r="O1651" t="s">
        <v>4209</v>
      </c>
      <c r="P1651" t="s">
        <v>4242</v>
      </c>
      <c r="Q1651" t="s">
        <v>4250</v>
      </c>
      <c r="R1651" t="s">
        <v>4258</v>
      </c>
      <c r="S1651" t="s">
        <v>3611</v>
      </c>
      <c r="U1651" t="s">
        <v>4268</v>
      </c>
      <c r="V1651" t="s">
        <v>4274</v>
      </c>
      <c r="W1651" t="s">
        <v>642</v>
      </c>
      <c r="X1651">
        <v>3850</v>
      </c>
      <c r="Y1651" t="s">
        <v>4351</v>
      </c>
      <c r="Z1651" t="s">
        <v>4366</v>
      </c>
      <c r="AA1651" t="s">
        <v>4373</v>
      </c>
      <c r="AB1651" t="s">
        <v>5683</v>
      </c>
      <c r="AD1651" t="s">
        <v>7018</v>
      </c>
      <c r="AE1651">
        <v>0</v>
      </c>
      <c r="AF1651" t="s">
        <v>7105</v>
      </c>
      <c r="AG1651" t="s">
        <v>3745</v>
      </c>
      <c r="AH1651">
        <v>-1</v>
      </c>
      <c r="AI1651">
        <v>1</v>
      </c>
      <c r="AJ1651">
        <v>0</v>
      </c>
      <c r="AK1651">
        <v>370.68</v>
      </c>
      <c r="AN1651" t="s">
        <v>7138</v>
      </c>
      <c r="AO1651">
        <v>45000</v>
      </c>
      <c r="AU1651">
        <v>0.6</v>
      </c>
      <c r="AV1651" t="s">
        <v>642</v>
      </c>
      <c r="AW1651" t="s">
        <v>7344</v>
      </c>
    </row>
    <row r="1652" spans="1:50">
      <c r="A1652" s="1">
        <f>HYPERLINK("https://lsnyc.legalserver.org/matter/dynamic-profile/view/1886100","18-1886100")</f>
        <v>0</v>
      </c>
      <c r="B1652" t="s">
        <v>96</v>
      </c>
      <c r="C1652" t="s">
        <v>104</v>
      </c>
      <c r="D1652" t="s">
        <v>109</v>
      </c>
      <c r="E1652" t="s">
        <v>662</v>
      </c>
      <c r="F1652" t="s">
        <v>827</v>
      </c>
      <c r="G1652" t="s">
        <v>2388</v>
      </c>
      <c r="H1652" t="s">
        <v>3243</v>
      </c>
      <c r="I1652" t="s">
        <v>3338</v>
      </c>
      <c r="J1652" t="s">
        <v>3604</v>
      </c>
      <c r="K1652">
        <v>10026</v>
      </c>
      <c r="L1652" t="s">
        <v>3610</v>
      </c>
      <c r="M1652" t="s">
        <v>3610</v>
      </c>
      <c r="N1652" t="s">
        <v>4196</v>
      </c>
      <c r="O1652" t="s">
        <v>4209</v>
      </c>
      <c r="P1652" t="s">
        <v>4242</v>
      </c>
      <c r="Q1652" t="s">
        <v>4250</v>
      </c>
      <c r="R1652" t="s">
        <v>4258</v>
      </c>
      <c r="S1652" t="s">
        <v>3611</v>
      </c>
      <c r="U1652" t="s">
        <v>4268</v>
      </c>
      <c r="V1652" t="s">
        <v>4278</v>
      </c>
      <c r="W1652" t="s">
        <v>109</v>
      </c>
      <c r="X1652">
        <v>702</v>
      </c>
      <c r="Y1652" t="s">
        <v>4351</v>
      </c>
      <c r="Z1652" t="s">
        <v>4366</v>
      </c>
      <c r="AA1652" t="s">
        <v>4373</v>
      </c>
      <c r="AB1652" t="s">
        <v>5684</v>
      </c>
      <c r="AD1652" t="s">
        <v>7019</v>
      </c>
      <c r="AE1652">
        <v>8</v>
      </c>
      <c r="AF1652" t="s">
        <v>7111</v>
      </c>
      <c r="AG1652" t="s">
        <v>3745</v>
      </c>
      <c r="AH1652">
        <v>3</v>
      </c>
      <c r="AI1652">
        <v>1</v>
      </c>
      <c r="AJ1652">
        <v>0</v>
      </c>
      <c r="AK1652">
        <v>370.68</v>
      </c>
      <c r="AN1652" t="s">
        <v>7138</v>
      </c>
      <c r="AO1652">
        <v>45000</v>
      </c>
      <c r="AU1652">
        <v>1.2</v>
      </c>
      <c r="AV1652" t="s">
        <v>271</v>
      </c>
      <c r="AW1652" t="s">
        <v>7344</v>
      </c>
    </row>
    <row r="1653" spans="1:50">
      <c r="A1653" s="1">
        <f>HYPERLINK("https://lsnyc.legalserver.org/matter/dynamic-profile/view/1840186","17-1840186")</f>
        <v>0</v>
      </c>
      <c r="B1653" t="s">
        <v>53</v>
      </c>
      <c r="C1653" t="s">
        <v>104</v>
      </c>
      <c r="D1653" t="s">
        <v>258</v>
      </c>
      <c r="E1653" t="s">
        <v>548</v>
      </c>
      <c r="F1653" t="s">
        <v>1512</v>
      </c>
      <c r="G1653" t="s">
        <v>2389</v>
      </c>
      <c r="H1653" t="s">
        <v>2833</v>
      </c>
      <c r="I1653">
        <v>31</v>
      </c>
      <c r="J1653" t="s">
        <v>3604</v>
      </c>
      <c r="K1653">
        <v>10040</v>
      </c>
      <c r="L1653" t="s">
        <v>3610</v>
      </c>
      <c r="M1653" t="s">
        <v>3609</v>
      </c>
      <c r="N1653" t="s">
        <v>3883</v>
      </c>
      <c r="O1653" t="s">
        <v>4213</v>
      </c>
      <c r="P1653" t="s">
        <v>4241</v>
      </c>
      <c r="Q1653" t="s">
        <v>4248</v>
      </c>
      <c r="R1653" t="s">
        <v>4258</v>
      </c>
      <c r="S1653" t="s">
        <v>3610</v>
      </c>
      <c r="U1653" t="s">
        <v>4268</v>
      </c>
      <c r="V1653" t="s">
        <v>4274</v>
      </c>
      <c r="W1653" t="s">
        <v>354</v>
      </c>
      <c r="X1653">
        <v>1251.43</v>
      </c>
      <c r="Y1653" t="s">
        <v>4351</v>
      </c>
      <c r="Z1653" t="s">
        <v>4352</v>
      </c>
      <c r="AA1653" t="s">
        <v>4379</v>
      </c>
      <c r="AB1653" t="s">
        <v>5685</v>
      </c>
      <c r="AD1653" t="s">
        <v>7020</v>
      </c>
      <c r="AE1653">
        <v>45</v>
      </c>
      <c r="AF1653" t="s">
        <v>7101</v>
      </c>
      <c r="AG1653" t="s">
        <v>3745</v>
      </c>
      <c r="AH1653">
        <v>30</v>
      </c>
      <c r="AI1653">
        <v>3</v>
      </c>
      <c r="AJ1653">
        <v>0</v>
      </c>
      <c r="AK1653">
        <v>372.18</v>
      </c>
      <c r="AL1653" t="s">
        <v>183</v>
      </c>
      <c r="AN1653" t="s">
        <v>7139</v>
      </c>
      <c r="AO1653">
        <v>76000</v>
      </c>
      <c r="AQ1653" t="s">
        <v>7197</v>
      </c>
      <c r="AR1653" t="s">
        <v>7220</v>
      </c>
      <c r="AS1653" t="s">
        <v>7231</v>
      </c>
      <c r="AT1653" t="s">
        <v>7260</v>
      </c>
      <c r="AU1653">
        <v>3.17</v>
      </c>
      <c r="AV1653" t="s">
        <v>548</v>
      </c>
      <c r="AW1653" t="s">
        <v>7342</v>
      </c>
    </row>
    <row r="1654" spans="1:50">
      <c r="A1654" s="1">
        <f>HYPERLINK("https://lsnyc.legalserver.org/matter/dynamic-profile/view/1897601","19-1897601")</f>
        <v>0</v>
      </c>
      <c r="B1654" t="s">
        <v>64</v>
      </c>
      <c r="C1654" t="s">
        <v>105</v>
      </c>
      <c r="D1654" t="s">
        <v>261</v>
      </c>
      <c r="F1654" t="s">
        <v>785</v>
      </c>
      <c r="G1654" t="s">
        <v>2390</v>
      </c>
      <c r="H1654" t="s">
        <v>2671</v>
      </c>
      <c r="I1654">
        <v>54</v>
      </c>
      <c r="J1654" t="s">
        <v>3604</v>
      </c>
      <c r="K1654">
        <v>10034</v>
      </c>
      <c r="L1654" t="s">
        <v>3610</v>
      </c>
      <c r="M1654" t="s">
        <v>3610</v>
      </c>
      <c r="O1654" t="s">
        <v>4213</v>
      </c>
      <c r="P1654" t="s">
        <v>4246</v>
      </c>
      <c r="R1654" t="s">
        <v>4258</v>
      </c>
      <c r="S1654" t="s">
        <v>3610</v>
      </c>
      <c r="U1654" t="s">
        <v>4268</v>
      </c>
      <c r="W1654" t="s">
        <v>261</v>
      </c>
      <c r="X1654">
        <v>1313.52</v>
      </c>
      <c r="Y1654" t="s">
        <v>4351</v>
      </c>
      <c r="Z1654" t="s">
        <v>4354</v>
      </c>
      <c r="AB1654" t="s">
        <v>5686</v>
      </c>
      <c r="AD1654" t="s">
        <v>7021</v>
      </c>
      <c r="AE1654">
        <v>51</v>
      </c>
      <c r="AF1654" t="s">
        <v>7101</v>
      </c>
      <c r="AG1654" t="s">
        <v>3745</v>
      </c>
      <c r="AH1654">
        <v>18</v>
      </c>
      <c r="AI1654">
        <v>2</v>
      </c>
      <c r="AJ1654">
        <v>0</v>
      </c>
      <c r="AK1654">
        <v>372.56</v>
      </c>
      <c r="AN1654" t="s">
        <v>7138</v>
      </c>
      <c r="AO1654">
        <v>63000</v>
      </c>
      <c r="AU1654">
        <v>0</v>
      </c>
      <c r="AW1654" t="s">
        <v>7342</v>
      </c>
    </row>
    <row r="1655" spans="1:50">
      <c r="A1655" s="1">
        <f>HYPERLINK("https://lsnyc.legalserver.org/matter/dynamic-profile/view/1894530","19-1894530")</f>
        <v>0</v>
      </c>
      <c r="B1655" t="s">
        <v>70</v>
      </c>
      <c r="C1655" t="s">
        <v>105</v>
      </c>
      <c r="D1655" t="s">
        <v>318</v>
      </c>
      <c r="F1655" t="s">
        <v>796</v>
      </c>
      <c r="G1655" t="s">
        <v>1746</v>
      </c>
      <c r="H1655" t="s">
        <v>3038</v>
      </c>
      <c r="I1655" t="s">
        <v>3583</v>
      </c>
      <c r="J1655" t="s">
        <v>3604</v>
      </c>
      <c r="K1655">
        <v>10035</v>
      </c>
      <c r="L1655" t="s">
        <v>3610</v>
      </c>
      <c r="M1655" t="s">
        <v>3610</v>
      </c>
      <c r="N1655" t="s">
        <v>4197</v>
      </c>
      <c r="O1655" t="s">
        <v>4209</v>
      </c>
      <c r="P1655" t="s">
        <v>4241</v>
      </c>
      <c r="R1655" t="s">
        <v>4258</v>
      </c>
      <c r="S1655" t="s">
        <v>3611</v>
      </c>
      <c r="U1655" t="s">
        <v>4268</v>
      </c>
      <c r="V1655" t="s">
        <v>4277</v>
      </c>
      <c r="W1655" t="s">
        <v>118</v>
      </c>
      <c r="X1655">
        <v>1027</v>
      </c>
      <c r="Y1655" t="s">
        <v>4351</v>
      </c>
      <c r="Z1655" t="s">
        <v>4371</v>
      </c>
      <c r="AB1655" t="s">
        <v>5687</v>
      </c>
      <c r="AD1655" t="s">
        <v>7022</v>
      </c>
      <c r="AE1655">
        <v>255</v>
      </c>
      <c r="AF1655" t="s">
        <v>7106</v>
      </c>
      <c r="AG1655" t="s">
        <v>7116</v>
      </c>
      <c r="AH1655">
        <v>27</v>
      </c>
      <c r="AI1655">
        <v>1</v>
      </c>
      <c r="AJ1655">
        <v>0</v>
      </c>
      <c r="AK1655">
        <v>376.12</v>
      </c>
      <c r="AL1655" t="s">
        <v>688</v>
      </c>
      <c r="AM1655" t="s">
        <v>7134</v>
      </c>
      <c r="AN1655" t="s">
        <v>7138</v>
      </c>
      <c r="AO1655">
        <v>46977</v>
      </c>
      <c r="AU1655">
        <v>11.75</v>
      </c>
      <c r="AV1655" t="s">
        <v>689</v>
      </c>
      <c r="AW1655" t="s">
        <v>7360</v>
      </c>
      <c r="AX1655" t="s">
        <v>7377</v>
      </c>
    </row>
    <row r="1656" spans="1:50">
      <c r="A1656" s="1">
        <f>HYPERLINK("https://lsnyc.legalserver.org/matter/dynamic-profile/view/1878961","18-1878961")</f>
        <v>0</v>
      </c>
      <c r="B1656" t="s">
        <v>64</v>
      </c>
      <c r="C1656" t="s">
        <v>105</v>
      </c>
      <c r="D1656" t="s">
        <v>282</v>
      </c>
      <c r="F1656" t="s">
        <v>1053</v>
      </c>
      <c r="G1656" t="s">
        <v>2391</v>
      </c>
      <c r="H1656" t="s">
        <v>2576</v>
      </c>
      <c r="I1656" t="s">
        <v>3543</v>
      </c>
      <c r="J1656" t="s">
        <v>3604</v>
      </c>
      <c r="K1656">
        <v>10040</v>
      </c>
      <c r="L1656" t="s">
        <v>3610</v>
      </c>
      <c r="M1656" t="s">
        <v>3610</v>
      </c>
      <c r="O1656" t="s">
        <v>4218</v>
      </c>
      <c r="P1656" t="s">
        <v>4241</v>
      </c>
      <c r="R1656" t="s">
        <v>4258</v>
      </c>
      <c r="U1656" t="s">
        <v>4268</v>
      </c>
      <c r="V1656" t="s">
        <v>4274</v>
      </c>
      <c r="W1656" t="s">
        <v>4348</v>
      </c>
      <c r="X1656">
        <v>929</v>
      </c>
      <c r="Y1656" t="s">
        <v>4351</v>
      </c>
      <c r="Z1656" t="s">
        <v>4352</v>
      </c>
      <c r="AB1656" t="s">
        <v>5688</v>
      </c>
      <c r="AD1656" t="s">
        <v>7023</v>
      </c>
      <c r="AE1656">
        <v>83</v>
      </c>
      <c r="AF1656" t="s">
        <v>7101</v>
      </c>
      <c r="AH1656">
        <v>34</v>
      </c>
      <c r="AI1656">
        <v>1</v>
      </c>
      <c r="AJ1656">
        <v>0</v>
      </c>
      <c r="AK1656">
        <v>378.91</v>
      </c>
      <c r="AM1656" t="s">
        <v>7136</v>
      </c>
      <c r="AN1656" t="s">
        <v>7139</v>
      </c>
      <c r="AO1656">
        <v>46000</v>
      </c>
      <c r="AU1656">
        <v>28.7</v>
      </c>
      <c r="AV1656" t="s">
        <v>529</v>
      </c>
      <c r="AW1656" t="s">
        <v>64</v>
      </c>
    </row>
    <row r="1657" spans="1:50">
      <c r="A1657" s="1">
        <f>HYPERLINK("https://lsnyc.legalserver.org/matter/dynamic-profile/view/1879360","18-1879360")</f>
        <v>0</v>
      </c>
      <c r="B1657" t="s">
        <v>86</v>
      </c>
      <c r="C1657" t="s">
        <v>104</v>
      </c>
      <c r="D1657" t="s">
        <v>579</v>
      </c>
      <c r="E1657" t="s">
        <v>636</v>
      </c>
      <c r="F1657" t="s">
        <v>1513</v>
      </c>
      <c r="G1657" t="s">
        <v>2392</v>
      </c>
      <c r="H1657" t="s">
        <v>3244</v>
      </c>
      <c r="I1657" t="s">
        <v>3344</v>
      </c>
      <c r="J1657" t="s">
        <v>3604</v>
      </c>
      <c r="K1657">
        <v>10002</v>
      </c>
      <c r="L1657" t="s">
        <v>3610</v>
      </c>
      <c r="M1657" t="s">
        <v>3610</v>
      </c>
      <c r="N1657" t="s">
        <v>4198</v>
      </c>
      <c r="O1657" t="s">
        <v>4210</v>
      </c>
      <c r="P1657" t="s">
        <v>4242</v>
      </c>
      <c r="Q1657" t="s">
        <v>4250</v>
      </c>
      <c r="R1657" t="s">
        <v>4258</v>
      </c>
      <c r="U1657" t="s">
        <v>4268</v>
      </c>
      <c r="V1657" t="s">
        <v>4274</v>
      </c>
      <c r="W1657" t="s">
        <v>574</v>
      </c>
      <c r="X1657">
        <v>443.08</v>
      </c>
      <c r="Y1657" t="s">
        <v>4351</v>
      </c>
      <c r="Z1657" t="s">
        <v>4352</v>
      </c>
      <c r="AA1657" t="s">
        <v>4373</v>
      </c>
      <c r="AB1657" t="s">
        <v>4828</v>
      </c>
      <c r="AD1657" t="s">
        <v>7024</v>
      </c>
      <c r="AE1657">
        <v>0</v>
      </c>
      <c r="AF1657" t="s">
        <v>7101</v>
      </c>
      <c r="AG1657" t="s">
        <v>3745</v>
      </c>
      <c r="AH1657">
        <v>0</v>
      </c>
      <c r="AI1657">
        <v>1</v>
      </c>
      <c r="AJ1657">
        <v>0</v>
      </c>
      <c r="AK1657">
        <v>378.91</v>
      </c>
      <c r="AN1657" t="s">
        <v>7144</v>
      </c>
      <c r="AO1657">
        <v>46000</v>
      </c>
      <c r="AU1657">
        <v>0.4</v>
      </c>
      <c r="AV1657" t="s">
        <v>653</v>
      </c>
      <c r="AW1657" t="s">
        <v>7344</v>
      </c>
    </row>
    <row r="1658" spans="1:50">
      <c r="A1658" s="1">
        <f>HYPERLINK("https://lsnyc.legalserver.org/matter/dynamic-profile/view/1836966","17-1836966")</f>
        <v>0</v>
      </c>
      <c r="B1658" t="s">
        <v>55</v>
      </c>
      <c r="C1658" t="s">
        <v>104</v>
      </c>
      <c r="D1658" t="s">
        <v>628</v>
      </c>
      <c r="E1658" t="s">
        <v>662</v>
      </c>
      <c r="F1658" t="s">
        <v>988</v>
      </c>
      <c r="G1658" t="s">
        <v>2393</v>
      </c>
      <c r="H1658" t="s">
        <v>3245</v>
      </c>
      <c r="I1658" t="s">
        <v>3316</v>
      </c>
      <c r="J1658" t="s">
        <v>3604</v>
      </c>
      <c r="K1658">
        <v>10029</v>
      </c>
      <c r="L1658" t="s">
        <v>3610</v>
      </c>
      <c r="M1658" t="s">
        <v>3610</v>
      </c>
      <c r="O1658" t="s">
        <v>4213</v>
      </c>
      <c r="P1658" t="s">
        <v>4245</v>
      </c>
      <c r="Q1658" t="s">
        <v>4249</v>
      </c>
      <c r="R1658" t="s">
        <v>4258</v>
      </c>
      <c r="S1658" t="s">
        <v>3611</v>
      </c>
      <c r="T1658" t="s">
        <v>4259</v>
      </c>
      <c r="U1658" t="s">
        <v>4268</v>
      </c>
      <c r="V1658" t="s">
        <v>4274</v>
      </c>
      <c r="W1658" t="s">
        <v>428</v>
      </c>
      <c r="X1658">
        <v>1700</v>
      </c>
      <c r="Y1658" t="s">
        <v>4351</v>
      </c>
      <c r="Z1658" t="s">
        <v>4361</v>
      </c>
      <c r="AA1658" t="s">
        <v>4377</v>
      </c>
      <c r="AB1658" t="s">
        <v>5689</v>
      </c>
      <c r="AD1658" t="s">
        <v>7025</v>
      </c>
      <c r="AE1658">
        <v>30</v>
      </c>
      <c r="AF1658" t="s">
        <v>7101</v>
      </c>
      <c r="AG1658" t="s">
        <v>3745</v>
      </c>
      <c r="AH1658">
        <v>1</v>
      </c>
      <c r="AI1658">
        <v>1</v>
      </c>
      <c r="AJ1658">
        <v>0</v>
      </c>
      <c r="AK1658">
        <v>380.02</v>
      </c>
      <c r="AL1658" t="s">
        <v>7130</v>
      </c>
      <c r="AN1658" t="s">
        <v>7138</v>
      </c>
      <c r="AO1658">
        <v>45831</v>
      </c>
      <c r="AU1658">
        <v>1.9</v>
      </c>
      <c r="AV1658" t="s">
        <v>200</v>
      </c>
      <c r="AW1658" t="s">
        <v>7354</v>
      </c>
    </row>
    <row r="1659" spans="1:50">
      <c r="A1659" s="1">
        <f>HYPERLINK("https://lsnyc.legalserver.org/matter/dynamic-profile/view/1874683","18-1874683")</f>
        <v>0</v>
      </c>
      <c r="B1659" t="s">
        <v>73</v>
      </c>
      <c r="C1659" t="s">
        <v>104</v>
      </c>
      <c r="D1659" t="s">
        <v>144</v>
      </c>
      <c r="E1659" t="s">
        <v>360</v>
      </c>
      <c r="F1659" t="s">
        <v>750</v>
      </c>
      <c r="G1659" t="s">
        <v>2006</v>
      </c>
      <c r="H1659" t="s">
        <v>3246</v>
      </c>
      <c r="I1659" t="s">
        <v>3294</v>
      </c>
      <c r="J1659" t="s">
        <v>3604</v>
      </c>
      <c r="K1659">
        <v>10033</v>
      </c>
      <c r="L1659" t="s">
        <v>3610</v>
      </c>
      <c r="M1659" t="s">
        <v>3610</v>
      </c>
      <c r="O1659" t="s">
        <v>4218</v>
      </c>
      <c r="P1659" t="s">
        <v>4242</v>
      </c>
      <c r="Q1659" t="s">
        <v>4250</v>
      </c>
      <c r="R1659" t="s">
        <v>4258</v>
      </c>
      <c r="S1659" t="s">
        <v>3611</v>
      </c>
      <c r="U1659" t="s">
        <v>4268</v>
      </c>
      <c r="W1659" t="s">
        <v>144</v>
      </c>
      <c r="X1659">
        <v>848.26</v>
      </c>
      <c r="Y1659" t="s">
        <v>4351</v>
      </c>
      <c r="Z1659" t="s">
        <v>4354</v>
      </c>
      <c r="AA1659" t="s">
        <v>4373</v>
      </c>
      <c r="AB1659" t="s">
        <v>5690</v>
      </c>
      <c r="AD1659" t="s">
        <v>7026</v>
      </c>
      <c r="AE1659">
        <v>20</v>
      </c>
      <c r="AF1659" t="s">
        <v>7104</v>
      </c>
      <c r="AG1659" t="s">
        <v>3745</v>
      </c>
      <c r="AH1659">
        <v>50</v>
      </c>
      <c r="AI1659">
        <v>1</v>
      </c>
      <c r="AJ1659">
        <v>0</v>
      </c>
      <c r="AK1659">
        <v>380.56</v>
      </c>
      <c r="AL1659" t="s">
        <v>561</v>
      </c>
      <c r="AM1659" t="s">
        <v>7134</v>
      </c>
      <c r="AN1659" t="s">
        <v>7138</v>
      </c>
      <c r="AO1659">
        <v>46200</v>
      </c>
      <c r="AU1659">
        <v>1.2</v>
      </c>
      <c r="AV1659" t="s">
        <v>144</v>
      </c>
      <c r="AW1659" t="s">
        <v>7342</v>
      </c>
    </row>
    <row r="1660" spans="1:50">
      <c r="A1660" s="1">
        <f>HYPERLINK("https://lsnyc.legalserver.org/matter/dynamic-profile/view/1833145","17-1833145")</f>
        <v>0</v>
      </c>
      <c r="B1660" t="s">
        <v>53</v>
      </c>
      <c r="C1660" t="s">
        <v>105</v>
      </c>
      <c r="D1660" t="s">
        <v>416</v>
      </c>
      <c r="F1660" t="s">
        <v>1514</v>
      </c>
      <c r="G1660" t="s">
        <v>2155</v>
      </c>
      <c r="H1660" t="s">
        <v>2544</v>
      </c>
      <c r="I1660" t="s">
        <v>3315</v>
      </c>
      <c r="J1660" t="s">
        <v>3604</v>
      </c>
      <c r="K1660">
        <v>10034</v>
      </c>
      <c r="L1660" t="s">
        <v>3610</v>
      </c>
      <c r="M1660" t="s">
        <v>3610</v>
      </c>
      <c r="N1660" t="s">
        <v>4199</v>
      </c>
      <c r="O1660" t="s">
        <v>4209</v>
      </c>
      <c r="P1660" t="s">
        <v>4241</v>
      </c>
      <c r="R1660" t="s">
        <v>4258</v>
      </c>
      <c r="S1660" t="s">
        <v>3611</v>
      </c>
      <c r="T1660" t="s">
        <v>4259</v>
      </c>
      <c r="U1660" t="s">
        <v>4268</v>
      </c>
      <c r="W1660" t="s">
        <v>416</v>
      </c>
      <c r="X1660">
        <v>1300</v>
      </c>
      <c r="Y1660" t="s">
        <v>4351</v>
      </c>
      <c r="Z1660" t="s">
        <v>4352</v>
      </c>
      <c r="AB1660" t="s">
        <v>5691</v>
      </c>
      <c r="AD1660" t="s">
        <v>7027</v>
      </c>
      <c r="AE1660">
        <v>66</v>
      </c>
      <c r="AF1660" t="s">
        <v>7103</v>
      </c>
      <c r="AG1660" t="s">
        <v>3745</v>
      </c>
      <c r="AH1660">
        <v>2</v>
      </c>
      <c r="AI1660">
        <v>1</v>
      </c>
      <c r="AJ1660">
        <v>0</v>
      </c>
      <c r="AK1660">
        <v>381.43</v>
      </c>
      <c r="AL1660" t="s">
        <v>7130</v>
      </c>
      <c r="AN1660" t="s">
        <v>7138</v>
      </c>
      <c r="AO1660">
        <v>46000</v>
      </c>
      <c r="AU1660">
        <v>81.43000000000001</v>
      </c>
      <c r="AV1660" t="s">
        <v>396</v>
      </c>
      <c r="AW1660" t="s">
        <v>7341</v>
      </c>
    </row>
    <row r="1661" spans="1:50">
      <c r="A1661" s="1">
        <f>HYPERLINK("https://lsnyc.legalserver.org/matter/dynamic-profile/view/1841982","17-1841982")</f>
        <v>0</v>
      </c>
      <c r="B1661" t="s">
        <v>64</v>
      </c>
      <c r="C1661" t="s">
        <v>104</v>
      </c>
      <c r="D1661" t="s">
        <v>312</v>
      </c>
      <c r="E1661" t="s">
        <v>335</v>
      </c>
      <c r="F1661" t="s">
        <v>1515</v>
      </c>
      <c r="G1661" t="s">
        <v>2394</v>
      </c>
      <c r="H1661" t="s">
        <v>2828</v>
      </c>
      <c r="I1661" t="s">
        <v>3548</v>
      </c>
      <c r="J1661" t="s">
        <v>3604</v>
      </c>
      <c r="K1661">
        <v>10034</v>
      </c>
      <c r="L1661" t="s">
        <v>3610</v>
      </c>
      <c r="M1661" t="s">
        <v>3610</v>
      </c>
      <c r="O1661" t="s">
        <v>4213</v>
      </c>
      <c r="P1661" t="s">
        <v>4244</v>
      </c>
      <c r="Q1661" t="s">
        <v>4249</v>
      </c>
      <c r="R1661" t="s">
        <v>4258</v>
      </c>
      <c r="S1661" t="s">
        <v>3610</v>
      </c>
      <c r="U1661" t="s">
        <v>4268</v>
      </c>
      <c r="W1661" t="s">
        <v>133</v>
      </c>
      <c r="X1661">
        <v>1695</v>
      </c>
      <c r="Y1661" t="s">
        <v>4351</v>
      </c>
      <c r="Z1661" t="s">
        <v>4354</v>
      </c>
      <c r="AA1661" t="s">
        <v>4386</v>
      </c>
      <c r="AB1661" t="s">
        <v>5692</v>
      </c>
      <c r="AD1661" t="s">
        <v>7028</v>
      </c>
      <c r="AE1661">
        <v>65</v>
      </c>
      <c r="AF1661" t="s">
        <v>7101</v>
      </c>
      <c r="AG1661" t="s">
        <v>3745</v>
      </c>
      <c r="AH1661">
        <v>1</v>
      </c>
      <c r="AI1661">
        <v>2</v>
      </c>
      <c r="AJ1661">
        <v>0</v>
      </c>
      <c r="AK1661">
        <v>381.77</v>
      </c>
      <c r="AN1661" t="s">
        <v>7138</v>
      </c>
      <c r="AO1661">
        <v>62000</v>
      </c>
      <c r="AU1661">
        <v>0.3</v>
      </c>
      <c r="AV1661" t="s">
        <v>335</v>
      </c>
      <c r="AW1661" t="s">
        <v>7342</v>
      </c>
    </row>
    <row r="1662" spans="1:50">
      <c r="A1662" s="1">
        <f>HYPERLINK("https://lsnyc.legalserver.org/matter/dynamic-profile/view/1836535","17-1836535")</f>
        <v>0</v>
      </c>
      <c r="B1662" t="s">
        <v>64</v>
      </c>
      <c r="C1662" t="s">
        <v>104</v>
      </c>
      <c r="D1662" t="s">
        <v>414</v>
      </c>
      <c r="E1662" t="s">
        <v>137</v>
      </c>
      <c r="F1662" t="s">
        <v>1018</v>
      </c>
      <c r="G1662" t="s">
        <v>1844</v>
      </c>
      <c r="H1662" t="s">
        <v>3247</v>
      </c>
      <c r="I1662" t="s">
        <v>3584</v>
      </c>
      <c r="J1662" t="s">
        <v>3604</v>
      </c>
      <c r="K1662">
        <v>10034</v>
      </c>
      <c r="L1662" t="s">
        <v>3610</v>
      </c>
      <c r="M1662" t="s">
        <v>3609</v>
      </c>
      <c r="O1662" t="s">
        <v>4210</v>
      </c>
      <c r="P1662" t="s">
        <v>4244</v>
      </c>
      <c r="Q1662" t="s">
        <v>4249</v>
      </c>
      <c r="R1662" t="s">
        <v>4258</v>
      </c>
      <c r="S1662" t="s">
        <v>3611</v>
      </c>
      <c r="U1662" t="s">
        <v>4268</v>
      </c>
      <c r="W1662" t="s">
        <v>133</v>
      </c>
      <c r="X1662">
        <v>240.99</v>
      </c>
      <c r="Y1662" t="s">
        <v>4351</v>
      </c>
      <c r="Z1662" t="s">
        <v>4361</v>
      </c>
      <c r="AA1662" t="s">
        <v>4384</v>
      </c>
      <c r="AB1662" t="s">
        <v>5693</v>
      </c>
      <c r="AD1662" t="s">
        <v>7029</v>
      </c>
      <c r="AE1662">
        <v>50</v>
      </c>
      <c r="AF1662" t="s">
        <v>7101</v>
      </c>
      <c r="AG1662" t="s">
        <v>3745</v>
      </c>
      <c r="AH1662">
        <v>25</v>
      </c>
      <c r="AI1662">
        <v>2</v>
      </c>
      <c r="AJ1662">
        <v>0</v>
      </c>
      <c r="AK1662">
        <v>383</v>
      </c>
      <c r="AL1662" t="s">
        <v>7130</v>
      </c>
      <c r="AN1662" t="s">
        <v>7139</v>
      </c>
      <c r="AO1662">
        <v>62200</v>
      </c>
      <c r="AU1662">
        <v>1.2</v>
      </c>
      <c r="AV1662" t="s">
        <v>137</v>
      </c>
      <c r="AW1662" t="s">
        <v>7341</v>
      </c>
    </row>
    <row r="1663" spans="1:50">
      <c r="A1663" s="1">
        <f>HYPERLINK("https://lsnyc.legalserver.org/matter/dynamic-profile/view/1857114","18-1857114")</f>
        <v>0</v>
      </c>
      <c r="B1663" t="s">
        <v>83</v>
      </c>
      <c r="C1663" t="s">
        <v>104</v>
      </c>
      <c r="D1663" t="s">
        <v>522</v>
      </c>
      <c r="E1663" t="s">
        <v>625</v>
      </c>
      <c r="F1663" t="s">
        <v>1516</v>
      </c>
      <c r="G1663" t="s">
        <v>1643</v>
      </c>
      <c r="H1663" t="s">
        <v>3248</v>
      </c>
      <c r="I1663" t="s">
        <v>3316</v>
      </c>
      <c r="J1663" t="s">
        <v>3604</v>
      </c>
      <c r="K1663">
        <v>10035</v>
      </c>
      <c r="L1663" t="s">
        <v>3610</v>
      </c>
      <c r="M1663" t="s">
        <v>3610</v>
      </c>
      <c r="O1663" t="s">
        <v>4237</v>
      </c>
      <c r="P1663" t="s">
        <v>4244</v>
      </c>
      <c r="Q1663" t="s">
        <v>4254</v>
      </c>
      <c r="R1663" t="s">
        <v>4258</v>
      </c>
      <c r="S1663" t="s">
        <v>3611</v>
      </c>
      <c r="U1663" t="s">
        <v>4270</v>
      </c>
      <c r="V1663" t="s">
        <v>4274</v>
      </c>
      <c r="W1663" t="s">
        <v>522</v>
      </c>
      <c r="X1663">
        <v>1234</v>
      </c>
      <c r="Y1663" t="s">
        <v>4351</v>
      </c>
      <c r="Z1663" t="s">
        <v>4356</v>
      </c>
      <c r="AA1663" t="s">
        <v>4397</v>
      </c>
      <c r="AB1663" t="s">
        <v>5694</v>
      </c>
      <c r="AD1663" t="s">
        <v>7030</v>
      </c>
      <c r="AE1663">
        <v>17</v>
      </c>
      <c r="AF1663" t="s">
        <v>7110</v>
      </c>
      <c r="AG1663" t="s">
        <v>3745</v>
      </c>
      <c r="AH1663">
        <v>1</v>
      </c>
      <c r="AI1663">
        <v>1</v>
      </c>
      <c r="AJ1663">
        <v>0</v>
      </c>
      <c r="AK1663">
        <v>387.15</v>
      </c>
      <c r="AL1663" t="s">
        <v>513</v>
      </c>
      <c r="AN1663" t="s">
        <v>7138</v>
      </c>
      <c r="AO1663">
        <v>47000</v>
      </c>
      <c r="AU1663">
        <v>61.2</v>
      </c>
      <c r="AV1663" t="s">
        <v>408</v>
      </c>
      <c r="AW1663" t="s">
        <v>57</v>
      </c>
      <c r="AX1663" t="s">
        <v>7377</v>
      </c>
    </row>
    <row r="1664" spans="1:50">
      <c r="A1664" s="1">
        <f>HYPERLINK("https://lsnyc.legalserver.org/matter/dynamic-profile/view/1871571","18-1871571")</f>
        <v>0</v>
      </c>
      <c r="B1664" t="s">
        <v>61</v>
      </c>
      <c r="C1664" t="s">
        <v>105</v>
      </c>
      <c r="D1664" t="s">
        <v>119</v>
      </c>
      <c r="F1664" t="s">
        <v>844</v>
      </c>
      <c r="G1664" t="s">
        <v>1916</v>
      </c>
      <c r="H1664" t="s">
        <v>2472</v>
      </c>
      <c r="I1664" t="s">
        <v>3335</v>
      </c>
      <c r="J1664" t="s">
        <v>3604</v>
      </c>
      <c r="K1664">
        <v>10034</v>
      </c>
      <c r="L1664" t="s">
        <v>3610</v>
      </c>
      <c r="M1664" t="s">
        <v>3610</v>
      </c>
      <c r="N1664" t="s">
        <v>3619</v>
      </c>
      <c r="O1664" t="s">
        <v>4213</v>
      </c>
      <c r="P1664" t="s">
        <v>4241</v>
      </c>
      <c r="R1664" t="s">
        <v>4258</v>
      </c>
      <c r="S1664" t="s">
        <v>3610</v>
      </c>
      <c r="U1664" t="s">
        <v>4268</v>
      </c>
      <c r="W1664" t="s">
        <v>119</v>
      </c>
      <c r="X1664">
        <v>2300</v>
      </c>
      <c r="Y1664" t="s">
        <v>4351</v>
      </c>
      <c r="Z1664" t="s">
        <v>4354</v>
      </c>
      <c r="AE1664">
        <v>67</v>
      </c>
      <c r="AF1664" t="s">
        <v>7101</v>
      </c>
      <c r="AG1664" t="s">
        <v>3745</v>
      </c>
      <c r="AH1664">
        <v>4</v>
      </c>
      <c r="AI1664">
        <v>1</v>
      </c>
      <c r="AJ1664">
        <v>0</v>
      </c>
      <c r="AK1664">
        <v>387.15</v>
      </c>
      <c r="AN1664" t="s">
        <v>7138</v>
      </c>
      <c r="AO1664">
        <v>47000</v>
      </c>
      <c r="AU1664">
        <v>1.3</v>
      </c>
      <c r="AV1664" t="s">
        <v>334</v>
      </c>
      <c r="AW1664" t="s">
        <v>7342</v>
      </c>
      <c r="AX1664" t="s">
        <v>7377</v>
      </c>
    </row>
    <row r="1665" spans="1:50">
      <c r="A1665" s="1">
        <f>HYPERLINK("https://lsnyc.legalserver.org/matter/dynamic-profile/view/0822189","16-0822189")</f>
        <v>0</v>
      </c>
      <c r="B1665" t="s">
        <v>64</v>
      </c>
      <c r="C1665" t="s">
        <v>104</v>
      </c>
      <c r="D1665" t="s">
        <v>643</v>
      </c>
      <c r="E1665" t="s">
        <v>662</v>
      </c>
      <c r="F1665" t="s">
        <v>1053</v>
      </c>
      <c r="G1665" t="s">
        <v>2391</v>
      </c>
      <c r="H1665" t="s">
        <v>2576</v>
      </c>
      <c r="I1665" t="s">
        <v>3543</v>
      </c>
      <c r="J1665" t="s">
        <v>3604</v>
      </c>
      <c r="K1665">
        <v>10040</v>
      </c>
      <c r="L1665" t="s">
        <v>3610</v>
      </c>
      <c r="M1665" t="s">
        <v>3609</v>
      </c>
      <c r="N1665" t="s">
        <v>3988</v>
      </c>
      <c r="O1665" t="s">
        <v>4211</v>
      </c>
      <c r="P1665" t="s">
        <v>4241</v>
      </c>
      <c r="Q1665" t="s">
        <v>4248</v>
      </c>
      <c r="R1665" t="s">
        <v>4258</v>
      </c>
      <c r="S1665" t="s">
        <v>3610</v>
      </c>
      <c r="U1665" t="s">
        <v>4268</v>
      </c>
      <c r="W1665" t="s">
        <v>4348</v>
      </c>
      <c r="X1665">
        <v>929</v>
      </c>
      <c r="Y1665" t="s">
        <v>4351</v>
      </c>
      <c r="Z1665" t="s">
        <v>4352</v>
      </c>
      <c r="AA1665" t="s">
        <v>4379</v>
      </c>
      <c r="AB1665" t="s">
        <v>5688</v>
      </c>
      <c r="AD1665" t="s">
        <v>7023</v>
      </c>
      <c r="AE1665">
        <v>83</v>
      </c>
      <c r="AF1665" t="s">
        <v>7101</v>
      </c>
      <c r="AG1665" t="s">
        <v>3745</v>
      </c>
      <c r="AH1665">
        <v>34</v>
      </c>
      <c r="AI1665">
        <v>1</v>
      </c>
      <c r="AJ1665">
        <v>0</v>
      </c>
      <c r="AK1665">
        <v>387.21</v>
      </c>
      <c r="AL1665" t="s">
        <v>7130</v>
      </c>
      <c r="AN1665" t="s">
        <v>7139</v>
      </c>
      <c r="AO1665">
        <v>46000</v>
      </c>
      <c r="AU1665">
        <v>96.58</v>
      </c>
      <c r="AV1665" t="s">
        <v>167</v>
      </c>
      <c r="AW1665" t="s">
        <v>7341</v>
      </c>
    </row>
    <row r="1666" spans="1:50">
      <c r="A1666" s="1">
        <f>HYPERLINK("https://lsnyc.legalserver.org/matter/dynamic-profile/view/1846325","17-1846325")</f>
        <v>0</v>
      </c>
      <c r="B1666" t="s">
        <v>68</v>
      </c>
      <c r="C1666" t="s">
        <v>105</v>
      </c>
      <c r="D1666" t="s">
        <v>183</v>
      </c>
      <c r="F1666" t="s">
        <v>1220</v>
      </c>
      <c r="G1666" t="s">
        <v>2395</v>
      </c>
      <c r="H1666" t="s">
        <v>2531</v>
      </c>
      <c r="I1666" t="s">
        <v>3325</v>
      </c>
      <c r="J1666" t="s">
        <v>3604</v>
      </c>
      <c r="K1666">
        <v>10035</v>
      </c>
      <c r="L1666" t="s">
        <v>3610</v>
      </c>
      <c r="M1666" t="s">
        <v>3610</v>
      </c>
      <c r="N1666" t="s">
        <v>3654</v>
      </c>
      <c r="O1666" t="s">
        <v>4213</v>
      </c>
      <c r="P1666" t="s">
        <v>4241</v>
      </c>
      <c r="R1666" t="s">
        <v>4258</v>
      </c>
      <c r="S1666" t="s">
        <v>3610</v>
      </c>
      <c r="U1666" t="s">
        <v>4268</v>
      </c>
      <c r="V1666" t="s">
        <v>4274</v>
      </c>
      <c r="W1666" t="s">
        <v>183</v>
      </c>
      <c r="X1666">
        <v>2600</v>
      </c>
      <c r="Y1666" t="s">
        <v>4351</v>
      </c>
      <c r="Z1666" t="s">
        <v>4352</v>
      </c>
      <c r="AB1666" t="s">
        <v>5695</v>
      </c>
      <c r="AD1666" t="s">
        <v>7031</v>
      </c>
      <c r="AE1666">
        <v>35</v>
      </c>
      <c r="AF1666" t="s">
        <v>7101</v>
      </c>
      <c r="AG1666" t="s">
        <v>3745</v>
      </c>
      <c r="AH1666">
        <v>1</v>
      </c>
      <c r="AI1666">
        <v>1</v>
      </c>
      <c r="AJ1666">
        <v>0</v>
      </c>
      <c r="AK1666">
        <v>388.06</v>
      </c>
      <c r="AN1666" t="s">
        <v>7138</v>
      </c>
      <c r="AO1666">
        <v>46800</v>
      </c>
      <c r="AU1666">
        <v>2.1</v>
      </c>
      <c r="AV1666" t="s">
        <v>7291</v>
      </c>
      <c r="AW1666" t="s">
        <v>7341</v>
      </c>
      <c r="AX1666" t="s">
        <v>7377</v>
      </c>
    </row>
    <row r="1667" spans="1:50">
      <c r="A1667" s="1">
        <f>HYPERLINK("https://lsnyc.legalserver.org/matter/dynamic-profile/view/1854617","17-1854617")</f>
        <v>0</v>
      </c>
      <c r="B1667" t="s">
        <v>69</v>
      </c>
      <c r="C1667" t="s">
        <v>104</v>
      </c>
      <c r="D1667" t="s">
        <v>515</v>
      </c>
      <c r="E1667" t="s">
        <v>637</v>
      </c>
      <c r="F1667" t="s">
        <v>1516</v>
      </c>
      <c r="G1667" t="s">
        <v>1643</v>
      </c>
      <c r="H1667" t="s">
        <v>3248</v>
      </c>
      <c r="I1667" t="s">
        <v>3316</v>
      </c>
      <c r="J1667" t="s">
        <v>3604</v>
      </c>
      <c r="K1667">
        <v>10035</v>
      </c>
      <c r="L1667" t="s">
        <v>3610</v>
      </c>
      <c r="M1667" t="s">
        <v>3610</v>
      </c>
      <c r="N1667" t="s">
        <v>4200</v>
      </c>
      <c r="O1667" t="s">
        <v>4209</v>
      </c>
      <c r="P1667" t="s">
        <v>4241</v>
      </c>
      <c r="Q1667" t="s">
        <v>4255</v>
      </c>
      <c r="R1667" t="s">
        <v>4258</v>
      </c>
      <c r="S1667" t="s">
        <v>3611</v>
      </c>
      <c r="U1667" t="s">
        <v>4268</v>
      </c>
      <c r="V1667" t="s">
        <v>4274</v>
      </c>
      <c r="W1667" t="s">
        <v>515</v>
      </c>
      <c r="X1667">
        <v>1234</v>
      </c>
      <c r="Y1667" t="s">
        <v>4351</v>
      </c>
      <c r="Z1667" t="s">
        <v>4356</v>
      </c>
      <c r="AA1667" t="s">
        <v>4374</v>
      </c>
      <c r="AB1667" t="s">
        <v>5694</v>
      </c>
      <c r="AD1667" t="s">
        <v>7030</v>
      </c>
      <c r="AE1667">
        <v>17</v>
      </c>
      <c r="AF1667" t="s">
        <v>7110</v>
      </c>
      <c r="AG1667" t="s">
        <v>3745</v>
      </c>
      <c r="AH1667">
        <v>1</v>
      </c>
      <c r="AI1667">
        <v>1</v>
      </c>
      <c r="AJ1667">
        <v>0</v>
      </c>
      <c r="AK1667">
        <v>389.72</v>
      </c>
      <c r="AL1667" t="s">
        <v>513</v>
      </c>
      <c r="AN1667" t="s">
        <v>7138</v>
      </c>
      <c r="AO1667">
        <v>47000</v>
      </c>
      <c r="AQ1667" t="s">
        <v>7197</v>
      </c>
      <c r="AR1667" t="s">
        <v>7210</v>
      </c>
      <c r="AS1667" t="s">
        <v>7231</v>
      </c>
      <c r="AT1667" t="s">
        <v>7282</v>
      </c>
      <c r="AU1667">
        <v>189.55</v>
      </c>
      <c r="AV1667" t="s">
        <v>7287</v>
      </c>
      <c r="AW1667" t="s">
        <v>7341</v>
      </c>
      <c r="AX1667" t="s">
        <v>7377</v>
      </c>
    </row>
    <row r="1668" spans="1:50">
      <c r="A1668" s="1">
        <f>HYPERLINK("https://lsnyc.legalserver.org/matter/dynamic-profile/view/0815733","16-0815733")</f>
        <v>0</v>
      </c>
      <c r="B1668" t="s">
        <v>81</v>
      </c>
      <c r="C1668" t="s">
        <v>105</v>
      </c>
      <c r="D1668" t="s">
        <v>644</v>
      </c>
      <c r="F1668" t="s">
        <v>1106</v>
      </c>
      <c r="G1668" t="s">
        <v>1847</v>
      </c>
      <c r="H1668" t="s">
        <v>2502</v>
      </c>
      <c r="I1668" t="s">
        <v>3585</v>
      </c>
      <c r="J1668" t="s">
        <v>3604</v>
      </c>
      <c r="K1668">
        <v>10031</v>
      </c>
      <c r="L1668" t="s">
        <v>3610</v>
      </c>
      <c r="M1668" t="s">
        <v>3609</v>
      </c>
      <c r="P1668" t="s">
        <v>4241</v>
      </c>
      <c r="R1668" t="s">
        <v>4258</v>
      </c>
      <c r="T1668" t="s">
        <v>4259</v>
      </c>
      <c r="U1668" t="s">
        <v>4268</v>
      </c>
      <c r="W1668" t="s">
        <v>566</v>
      </c>
      <c r="X1668">
        <v>0</v>
      </c>
      <c r="Y1668" t="s">
        <v>4351</v>
      </c>
      <c r="AB1668" t="s">
        <v>5696</v>
      </c>
      <c r="AD1668" t="s">
        <v>7032</v>
      </c>
      <c r="AE1668">
        <v>0</v>
      </c>
      <c r="AH1668">
        <v>0</v>
      </c>
      <c r="AI1668">
        <v>1</v>
      </c>
      <c r="AJ1668">
        <v>0</v>
      </c>
      <c r="AK1668">
        <v>392.03</v>
      </c>
      <c r="AN1668" t="s">
        <v>7138</v>
      </c>
      <c r="AO1668">
        <v>46573</v>
      </c>
      <c r="AU1668">
        <v>43.05</v>
      </c>
      <c r="AV1668" t="s">
        <v>7338</v>
      </c>
      <c r="AW1668" t="s">
        <v>7345</v>
      </c>
    </row>
    <row r="1669" spans="1:50">
      <c r="A1669" s="1">
        <f>HYPERLINK("https://lsnyc.legalserver.org/matter/dynamic-profile/view/1876326","18-1876326")</f>
        <v>0</v>
      </c>
      <c r="B1669" t="s">
        <v>62</v>
      </c>
      <c r="C1669" t="s">
        <v>105</v>
      </c>
      <c r="D1669" t="s">
        <v>476</v>
      </c>
      <c r="F1669" t="s">
        <v>888</v>
      </c>
      <c r="G1669" t="s">
        <v>2396</v>
      </c>
      <c r="H1669" t="s">
        <v>2488</v>
      </c>
      <c r="I1669" t="s">
        <v>3586</v>
      </c>
      <c r="J1669" t="s">
        <v>3604</v>
      </c>
      <c r="K1669">
        <v>10033</v>
      </c>
      <c r="L1669" t="s">
        <v>3610</v>
      </c>
      <c r="M1669" t="s">
        <v>3610</v>
      </c>
      <c r="O1669" t="s">
        <v>4213</v>
      </c>
      <c r="P1669" t="s">
        <v>4245</v>
      </c>
      <c r="R1669" t="s">
        <v>4258</v>
      </c>
      <c r="S1669" t="s">
        <v>3610</v>
      </c>
      <c r="U1669" t="s">
        <v>4268</v>
      </c>
      <c r="W1669" t="s">
        <v>476</v>
      </c>
      <c r="X1669">
        <v>1546.93</v>
      </c>
      <c r="Y1669" t="s">
        <v>4351</v>
      </c>
      <c r="Z1669" t="s">
        <v>4354</v>
      </c>
      <c r="AB1669" t="s">
        <v>5697</v>
      </c>
      <c r="AD1669" t="s">
        <v>7033</v>
      </c>
      <c r="AE1669">
        <v>232</v>
      </c>
      <c r="AF1669" t="s">
        <v>7101</v>
      </c>
      <c r="AG1669" t="s">
        <v>3745</v>
      </c>
      <c r="AH1669">
        <v>14</v>
      </c>
      <c r="AI1669">
        <v>1</v>
      </c>
      <c r="AJ1669">
        <v>0</v>
      </c>
      <c r="AK1669">
        <v>397.5</v>
      </c>
      <c r="AN1669" t="s">
        <v>7138</v>
      </c>
      <c r="AO1669">
        <v>48257</v>
      </c>
      <c r="AU1669">
        <v>10</v>
      </c>
      <c r="AV1669" t="s">
        <v>143</v>
      </c>
      <c r="AW1669" t="s">
        <v>7342</v>
      </c>
    </row>
    <row r="1670" spans="1:50">
      <c r="A1670" s="1">
        <f>HYPERLINK("https://lsnyc.legalserver.org/matter/dynamic-profile/view/1901179","19-1901179")</f>
        <v>0</v>
      </c>
      <c r="B1670" t="s">
        <v>63</v>
      </c>
      <c r="C1670" t="s">
        <v>105</v>
      </c>
      <c r="D1670" t="s">
        <v>637</v>
      </c>
      <c r="F1670" t="s">
        <v>1204</v>
      </c>
      <c r="G1670" t="s">
        <v>2143</v>
      </c>
      <c r="H1670" t="s">
        <v>3249</v>
      </c>
      <c r="I1670">
        <v>68</v>
      </c>
      <c r="J1670" t="s">
        <v>3604</v>
      </c>
      <c r="K1670">
        <v>10033</v>
      </c>
      <c r="L1670" t="s">
        <v>3610</v>
      </c>
      <c r="M1670" t="s">
        <v>3609</v>
      </c>
      <c r="O1670" t="s">
        <v>4219</v>
      </c>
      <c r="P1670" t="s">
        <v>4246</v>
      </c>
      <c r="R1670" t="s">
        <v>4258</v>
      </c>
      <c r="S1670" t="s">
        <v>3611</v>
      </c>
      <c r="U1670" t="s">
        <v>4268</v>
      </c>
      <c r="W1670" t="s">
        <v>637</v>
      </c>
      <c r="X1670">
        <v>3400</v>
      </c>
      <c r="Y1670" t="s">
        <v>4351</v>
      </c>
      <c r="Z1670" t="s">
        <v>4354</v>
      </c>
      <c r="AB1670" t="s">
        <v>5698</v>
      </c>
      <c r="AE1670">
        <v>67</v>
      </c>
      <c r="AF1670" t="s">
        <v>7101</v>
      </c>
      <c r="AG1670" t="s">
        <v>3745</v>
      </c>
      <c r="AH1670">
        <v>4</v>
      </c>
      <c r="AI1670">
        <v>2</v>
      </c>
      <c r="AJ1670">
        <v>3</v>
      </c>
      <c r="AK1670">
        <v>397.75</v>
      </c>
      <c r="AN1670" t="s">
        <v>7138</v>
      </c>
      <c r="AO1670">
        <v>120000</v>
      </c>
      <c r="AU1670">
        <v>0</v>
      </c>
      <c r="AW1670" t="s">
        <v>7342</v>
      </c>
      <c r="AX1670" t="s">
        <v>7377</v>
      </c>
    </row>
    <row r="1671" spans="1:50">
      <c r="A1671" s="1">
        <f>HYPERLINK("https://lsnyc.legalserver.org/matter/dynamic-profile/view/1870402","18-1870402")</f>
        <v>0</v>
      </c>
      <c r="B1671" t="s">
        <v>63</v>
      </c>
      <c r="C1671" t="s">
        <v>104</v>
      </c>
      <c r="D1671" t="s">
        <v>234</v>
      </c>
      <c r="E1671" t="s">
        <v>271</v>
      </c>
      <c r="F1671" t="s">
        <v>1296</v>
      </c>
      <c r="G1671" t="s">
        <v>2327</v>
      </c>
      <c r="H1671" t="s">
        <v>3192</v>
      </c>
      <c r="I1671" t="s">
        <v>3568</v>
      </c>
      <c r="J1671" t="s">
        <v>3608</v>
      </c>
      <c r="K1671">
        <v>10463</v>
      </c>
      <c r="L1671" t="s">
        <v>3610</v>
      </c>
      <c r="M1671" t="s">
        <v>3610</v>
      </c>
      <c r="N1671" t="s">
        <v>4201</v>
      </c>
      <c r="O1671" t="s">
        <v>4209</v>
      </c>
      <c r="P1671" t="s">
        <v>4241</v>
      </c>
      <c r="Q1671" t="s">
        <v>4248</v>
      </c>
      <c r="R1671" t="s">
        <v>4258</v>
      </c>
      <c r="S1671" t="s">
        <v>3611</v>
      </c>
      <c r="U1671" t="s">
        <v>4268</v>
      </c>
      <c r="W1671" t="s">
        <v>499</v>
      </c>
      <c r="X1671">
        <v>1250</v>
      </c>
      <c r="Y1671" t="s">
        <v>4351</v>
      </c>
      <c r="Z1671" t="s">
        <v>4228</v>
      </c>
      <c r="AA1671" t="s">
        <v>4374</v>
      </c>
      <c r="AB1671" t="s">
        <v>5594</v>
      </c>
      <c r="AD1671" t="s">
        <v>6936</v>
      </c>
      <c r="AE1671">
        <v>0</v>
      </c>
      <c r="AF1671" t="s">
        <v>7101</v>
      </c>
      <c r="AH1671">
        <v>4</v>
      </c>
      <c r="AI1671">
        <v>2</v>
      </c>
      <c r="AJ1671">
        <v>0</v>
      </c>
      <c r="AK1671">
        <v>400.97</v>
      </c>
      <c r="AM1671" t="s">
        <v>7137</v>
      </c>
      <c r="AN1671" t="s">
        <v>7138</v>
      </c>
      <c r="AO1671">
        <v>66000</v>
      </c>
      <c r="AU1671">
        <v>2.65</v>
      </c>
      <c r="AV1671" t="s">
        <v>271</v>
      </c>
      <c r="AW1671" t="s">
        <v>63</v>
      </c>
    </row>
    <row r="1672" spans="1:50">
      <c r="A1672" s="1">
        <f>HYPERLINK("https://lsnyc.legalserver.org/matter/dynamic-profile/view/1869801","18-1869801")</f>
        <v>0</v>
      </c>
      <c r="B1672" t="s">
        <v>67</v>
      </c>
      <c r="C1672" t="s">
        <v>104</v>
      </c>
      <c r="D1672" t="s">
        <v>588</v>
      </c>
      <c r="E1672" t="s">
        <v>642</v>
      </c>
      <c r="F1672" t="s">
        <v>1517</v>
      </c>
      <c r="G1672" t="s">
        <v>2397</v>
      </c>
      <c r="H1672" t="s">
        <v>3250</v>
      </c>
      <c r="I1672" t="s">
        <v>3587</v>
      </c>
      <c r="J1672" t="s">
        <v>3604</v>
      </c>
      <c r="K1672">
        <v>10029</v>
      </c>
      <c r="L1672" t="s">
        <v>3610</v>
      </c>
      <c r="M1672" t="s">
        <v>3610</v>
      </c>
      <c r="O1672" t="s">
        <v>4211</v>
      </c>
      <c r="P1672" t="s">
        <v>4242</v>
      </c>
      <c r="Q1672" t="s">
        <v>4250</v>
      </c>
      <c r="R1672" t="s">
        <v>4258</v>
      </c>
      <c r="S1672" t="s">
        <v>3611</v>
      </c>
      <c r="U1672" t="s">
        <v>4271</v>
      </c>
      <c r="V1672" t="s">
        <v>4274</v>
      </c>
      <c r="W1672" t="s">
        <v>274</v>
      </c>
      <c r="X1672">
        <v>1091</v>
      </c>
      <c r="Y1672" t="s">
        <v>4351</v>
      </c>
      <c r="Z1672" t="s">
        <v>4356</v>
      </c>
      <c r="AA1672" t="s">
        <v>4373</v>
      </c>
      <c r="AB1672" t="s">
        <v>5699</v>
      </c>
      <c r="AD1672" t="s">
        <v>7034</v>
      </c>
      <c r="AE1672">
        <v>70</v>
      </c>
      <c r="AF1672" t="s">
        <v>7102</v>
      </c>
      <c r="AG1672" t="s">
        <v>3745</v>
      </c>
      <c r="AH1672">
        <v>30</v>
      </c>
      <c r="AI1672">
        <v>1</v>
      </c>
      <c r="AJ1672">
        <v>0</v>
      </c>
      <c r="AK1672">
        <v>401.32</v>
      </c>
      <c r="AN1672" t="s">
        <v>7138</v>
      </c>
      <c r="AO1672">
        <v>48720</v>
      </c>
      <c r="AU1672">
        <v>0.85</v>
      </c>
      <c r="AV1672" t="s">
        <v>209</v>
      </c>
      <c r="AW1672" t="s">
        <v>7343</v>
      </c>
    </row>
    <row r="1673" spans="1:50">
      <c r="A1673" s="1">
        <f>HYPERLINK("https://lsnyc.legalserver.org/matter/dynamic-profile/view/1856067","18-1856067")</f>
        <v>0</v>
      </c>
      <c r="B1673" t="s">
        <v>64</v>
      </c>
      <c r="C1673" t="s">
        <v>105</v>
      </c>
      <c r="D1673" t="s">
        <v>456</v>
      </c>
      <c r="F1673" t="s">
        <v>1518</v>
      </c>
      <c r="G1673" t="s">
        <v>1845</v>
      </c>
      <c r="H1673" t="s">
        <v>2642</v>
      </c>
      <c r="I1673" t="s">
        <v>3347</v>
      </c>
      <c r="J1673" t="s">
        <v>3604</v>
      </c>
      <c r="K1673">
        <v>10034</v>
      </c>
      <c r="L1673" t="s">
        <v>3610</v>
      </c>
      <c r="M1673" t="s">
        <v>3609</v>
      </c>
      <c r="O1673" t="s">
        <v>4213</v>
      </c>
      <c r="P1673" t="s">
        <v>4241</v>
      </c>
      <c r="R1673" t="s">
        <v>4258</v>
      </c>
      <c r="S1673" t="s">
        <v>3610</v>
      </c>
      <c r="U1673" t="s">
        <v>4268</v>
      </c>
      <c r="W1673" t="s">
        <v>456</v>
      </c>
      <c r="X1673">
        <v>946.1799999999999</v>
      </c>
      <c r="Y1673" t="s">
        <v>4351</v>
      </c>
      <c r="Z1673" t="s">
        <v>4228</v>
      </c>
      <c r="AB1673" t="s">
        <v>5700</v>
      </c>
      <c r="AE1673">
        <v>49</v>
      </c>
      <c r="AF1673" t="s">
        <v>7101</v>
      </c>
      <c r="AG1673" t="s">
        <v>7118</v>
      </c>
      <c r="AH1673">
        <v>33</v>
      </c>
      <c r="AI1673">
        <v>2</v>
      </c>
      <c r="AJ1673">
        <v>0</v>
      </c>
      <c r="AK1673">
        <v>401.92</v>
      </c>
      <c r="AN1673" t="s">
        <v>7139</v>
      </c>
      <c r="AO1673">
        <v>65272</v>
      </c>
      <c r="AU1673">
        <v>0.2</v>
      </c>
      <c r="AV1673" t="s">
        <v>335</v>
      </c>
      <c r="AW1673" t="s">
        <v>7342</v>
      </c>
    </row>
    <row r="1674" spans="1:50">
      <c r="A1674" s="1">
        <f>HYPERLINK("https://lsnyc.legalserver.org/matter/dynamic-profile/view/0829640","17-0829640")</f>
        <v>0</v>
      </c>
      <c r="B1674" t="s">
        <v>67</v>
      </c>
      <c r="C1674" t="s">
        <v>105</v>
      </c>
      <c r="D1674" t="s">
        <v>641</v>
      </c>
      <c r="F1674" t="s">
        <v>1417</v>
      </c>
      <c r="G1674" t="s">
        <v>2027</v>
      </c>
      <c r="H1674" t="s">
        <v>3251</v>
      </c>
      <c r="I1674" t="s">
        <v>3588</v>
      </c>
      <c r="J1674" t="s">
        <v>3604</v>
      </c>
      <c r="K1674">
        <v>10024</v>
      </c>
      <c r="L1674" t="s">
        <v>3610</v>
      </c>
      <c r="M1674" t="s">
        <v>3609</v>
      </c>
      <c r="N1674" t="s">
        <v>4184</v>
      </c>
      <c r="O1674" t="s">
        <v>4213</v>
      </c>
      <c r="P1674" t="s">
        <v>4241</v>
      </c>
      <c r="R1674" t="s">
        <v>4258</v>
      </c>
      <c r="S1674" t="s">
        <v>3610</v>
      </c>
      <c r="U1674" t="s">
        <v>4268</v>
      </c>
      <c r="W1674" t="s">
        <v>238</v>
      </c>
      <c r="X1674">
        <v>786.66</v>
      </c>
      <c r="Y1674" t="s">
        <v>4351</v>
      </c>
      <c r="Z1674" t="s">
        <v>4352</v>
      </c>
      <c r="AB1674" t="s">
        <v>5413</v>
      </c>
      <c r="AE1674">
        <v>12</v>
      </c>
      <c r="AF1674" t="s">
        <v>7101</v>
      </c>
      <c r="AG1674" t="s">
        <v>3745</v>
      </c>
      <c r="AH1674">
        <v>36</v>
      </c>
      <c r="AI1674">
        <v>2</v>
      </c>
      <c r="AJ1674">
        <v>1</v>
      </c>
      <c r="AK1674">
        <v>407.44</v>
      </c>
      <c r="AL1674" t="s">
        <v>638</v>
      </c>
      <c r="AN1674" t="s">
        <v>7138</v>
      </c>
      <c r="AO1674">
        <v>83200</v>
      </c>
      <c r="AU1674">
        <v>0.1</v>
      </c>
      <c r="AV1674" t="s">
        <v>625</v>
      </c>
      <c r="AW1674" t="s">
        <v>7341</v>
      </c>
    </row>
    <row r="1675" spans="1:50">
      <c r="A1675" s="1">
        <f>HYPERLINK("https://lsnyc.legalserver.org/matter/dynamic-profile/view/1868368","18-1868368")</f>
        <v>0</v>
      </c>
      <c r="B1675" t="s">
        <v>64</v>
      </c>
      <c r="C1675" t="s">
        <v>105</v>
      </c>
      <c r="D1675" t="s">
        <v>279</v>
      </c>
      <c r="F1675" t="s">
        <v>738</v>
      </c>
      <c r="G1675" t="s">
        <v>1656</v>
      </c>
      <c r="H1675" t="s">
        <v>2631</v>
      </c>
      <c r="I1675">
        <v>22</v>
      </c>
      <c r="J1675" t="s">
        <v>3604</v>
      </c>
      <c r="K1675">
        <v>10034</v>
      </c>
      <c r="L1675" t="s">
        <v>3610</v>
      </c>
      <c r="M1675" t="s">
        <v>3609</v>
      </c>
      <c r="O1675" t="s">
        <v>4219</v>
      </c>
      <c r="P1675" t="s">
        <v>4241</v>
      </c>
      <c r="R1675" t="s">
        <v>4258</v>
      </c>
      <c r="S1675" t="s">
        <v>3611</v>
      </c>
      <c r="U1675" t="s">
        <v>4268</v>
      </c>
      <c r="W1675" t="s">
        <v>279</v>
      </c>
      <c r="X1675">
        <v>1205</v>
      </c>
      <c r="Y1675" t="s">
        <v>4351</v>
      </c>
      <c r="Z1675" t="s">
        <v>4354</v>
      </c>
      <c r="AB1675" t="s">
        <v>5701</v>
      </c>
      <c r="AD1675" t="s">
        <v>7035</v>
      </c>
      <c r="AE1675">
        <v>25</v>
      </c>
      <c r="AF1675" t="s">
        <v>7101</v>
      </c>
      <c r="AG1675" t="s">
        <v>3745</v>
      </c>
      <c r="AH1675">
        <v>3</v>
      </c>
      <c r="AI1675">
        <v>1</v>
      </c>
      <c r="AJ1675">
        <v>0</v>
      </c>
      <c r="AK1675">
        <v>411.86</v>
      </c>
      <c r="AN1675" t="s">
        <v>7138</v>
      </c>
      <c r="AO1675">
        <v>50000</v>
      </c>
      <c r="AU1675">
        <v>20.85</v>
      </c>
      <c r="AV1675" t="s">
        <v>502</v>
      </c>
      <c r="AW1675" t="s">
        <v>7342</v>
      </c>
    </row>
    <row r="1676" spans="1:50">
      <c r="A1676" s="1">
        <f>HYPERLINK("https://lsnyc.legalserver.org/matter/dynamic-profile/view/1880625","18-1880625")</f>
        <v>0</v>
      </c>
      <c r="B1676" t="s">
        <v>61</v>
      </c>
      <c r="C1676" t="s">
        <v>104</v>
      </c>
      <c r="D1676" t="s">
        <v>385</v>
      </c>
      <c r="E1676" t="s">
        <v>385</v>
      </c>
      <c r="F1676" t="s">
        <v>1519</v>
      </c>
      <c r="G1676" t="s">
        <v>1843</v>
      </c>
      <c r="H1676" t="s">
        <v>2488</v>
      </c>
      <c r="I1676" t="s">
        <v>3589</v>
      </c>
      <c r="J1676" t="s">
        <v>3604</v>
      </c>
      <c r="K1676">
        <v>10033</v>
      </c>
      <c r="L1676" t="s">
        <v>3610</v>
      </c>
      <c r="M1676" t="s">
        <v>3610</v>
      </c>
      <c r="O1676" t="s">
        <v>4211</v>
      </c>
      <c r="P1676" t="s">
        <v>4242</v>
      </c>
      <c r="Q1676" t="s">
        <v>4250</v>
      </c>
      <c r="R1676" t="s">
        <v>4258</v>
      </c>
      <c r="S1676" t="s">
        <v>3610</v>
      </c>
      <c r="U1676" t="s">
        <v>4268</v>
      </c>
      <c r="W1676" t="s">
        <v>385</v>
      </c>
      <c r="X1676">
        <v>1407.82</v>
      </c>
      <c r="Y1676" t="s">
        <v>4351</v>
      </c>
      <c r="Z1676" t="s">
        <v>4354</v>
      </c>
      <c r="AA1676" t="s">
        <v>4373</v>
      </c>
      <c r="AB1676" t="s">
        <v>5702</v>
      </c>
      <c r="AD1676" t="s">
        <v>7036</v>
      </c>
      <c r="AE1676">
        <v>232</v>
      </c>
      <c r="AF1676" t="s">
        <v>7101</v>
      </c>
      <c r="AG1676" t="s">
        <v>7118</v>
      </c>
      <c r="AH1676">
        <v>38</v>
      </c>
      <c r="AI1676">
        <v>1</v>
      </c>
      <c r="AJ1676">
        <v>0</v>
      </c>
      <c r="AK1676">
        <v>411.86</v>
      </c>
      <c r="AN1676" t="s">
        <v>7138</v>
      </c>
      <c r="AO1676">
        <v>50000</v>
      </c>
      <c r="AU1676">
        <v>2.2</v>
      </c>
      <c r="AV1676" t="s">
        <v>385</v>
      </c>
      <c r="AW1676" t="s">
        <v>7342</v>
      </c>
      <c r="AX1676" t="s">
        <v>7377</v>
      </c>
    </row>
    <row r="1677" spans="1:50">
      <c r="A1677" s="1">
        <f>HYPERLINK("https://lsnyc.legalserver.org/matter/dynamic-profile/view/1876342","18-1876342")</f>
        <v>0</v>
      </c>
      <c r="B1677" t="s">
        <v>61</v>
      </c>
      <c r="C1677" t="s">
        <v>104</v>
      </c>
      <c r="D1677" t="s">
        <v>476</v>
      </c>
      <c r="E1677" t="s">
        <v>668</v>
      </c>
      <c r="F1677" t="s">
        <v>764</v>
      </c>
      <c r="G1677" t="s">
        <v>2398</v>
      </c>
      <c r="H1677" t="s">
        <v>3252</v>
      </c>
      <c r="I1677" t="s">
        <v>3294</v>
      </c>
      <c r="J1677" t="s">
        <v>3604</v>
      </c>
      <c r="K1677">
        <v>10034</v>
      </c>
      <c r="L1677" t="s">
        <v>3610</v>
      </c>
      <c r="M1677" t="s">
        <v>3610</v>
      </c>
      <c r="P1677" t="s">
        <v>4242</v>
      </c>
      <c r="Q1677" t="s">
        <v>4250</v>
      </c>
      <c r="R1677" t="s">
        <v>4258</v>
      </c>
      <c r="S1677" t="s">
        <v>3611</v>
      </c>
      <c r="U1677" t="s">
        <v>4268</v>
      </c>
      <c r="W1677" t="s">
        <v>476</v>
      </c>
      <c r="X1677">
        <v>1795</v>
      </c>
      <c r="Y1677" t="s">
        <v>4351</v>
      </c>
      <c r="Z1677" t="s">
        <v>4354</v>
      </c>
      <c r="AA1677" t="s">
        <v>4373</v>
      </c>
      <c r="AB1677" t="s">
        <v>5703</v>
      </c>
      <c r="AD1677" t="s">
        <v>7037</v>
      </c>
      <c r="AE1677">
        <v>28</v>
      </c>
      <c r="AF1677" t="s">
        <v>7101</v>
      </c>
      <c r="AG1677" t="s">
        <v>3745</v>
      </c>
      <c r="AH1677">
        <v>2</v>
      </c>
      <c r="AI1677">
        <v>2</v>
      </c>
      <c r="AJ1677">
        <v>0</v>
      </c>
      <c r="AK1677">
        <v>413.12</v>
      </c>
      <c r="AN1677" t="s">
        <v>7138</v>
      </c>
      <c r="AO1677">
        <v>68000</v>
      </c>
      <c r="AU1677">
        <v>2.3</v>
      </c>
      <c r="AV1677" t="s">
        <v>668</v>
      </c>
      <c r="AW1677" t="s">
        <v>7342</v>
      </c>
      <c r="AX1677" t="s">
        <v>7377</v>
      </c>
    </row>
    <row r="1678" spans="1:50">
      <c r="A1678" s="1">
        <f>HYPERLINK("https://lsnyc.legalserver.org/matter/dynamic-profile/view/1897686","19-1897686")</f>
        <v>0</v>
      </c>
      <c r="B1678" t="s">
        <v>53</v>
      </c>
      <c r="C1678" t="s">
        <v>105</v>
      </c>
      <c r="D1678" t="s">
        <v>146</v>
      </c>
      <c r="F1678" t="s">
        <v>1520</v>
      </c>
      <c r="G1678" t="s">
        <v>1708</v>
      </c>
      <c r="H1678" t="s">
        <v>2797</v>
      </c>
      <c r="I1678" t="s">
        <v>3379</v>
      </c>
      <c r="J1678" t="s">
        <v>3604</v>
      </c>
      <c r="K1678">
        <v>10035</v>
      </c>
      <c r="L1678" t="s">
        <v>3610</v>
      </c>
      <c r="M1678" t="s">
        <v>3610</v>
      </c>
      <c r="O1678" t="s">
        <v>4211</v>
      </c>
      <c r="P1678" t="s">
        <v>4245</v>
      </c>
      <c r="R1678" t="s">
        <v>4258</v>
      </c>
      <c r="S1678" t="s">
        <v>3610</v>
      </c>
      <c r="U1678" t="s">
        <v>4268</v>
      </c>
      <c r="V1678" t="s">
        <v>4274</v>
      </c>
      <c r="W1678" t="s">
        <v>319</v>
      </c>
      <c r="X1678">
        <v>1230</v>
      </c>
      <c r="Y1678" t="s">
        <v>4351</v>
      </c>
      <c r="Z1678" t="s">
        <v>4352</v>
      </c>
      <c r="AB1678" t="s">
        <v>5329</v>
      </c>
      <c r="AD1678" t="s">
        <v>7038</v>
      </c>
      <c r="AE1678">
        <v>60</v>
      </c>
      <c r="AF1678" t="s">
        <v>7104</v>
      </c>
      <c r="AG1678" t="s">
        <v>3745</v>
      </c>
      <c r="AH1678">
        <v>8</v>
      </c>
      <c r="AI1678">
        <v>2</v>
      </c>
      <c r="AJ1678">
        <v>0</v>
      </c>
      <c r="AK1678">
        <v>413.96</v>
      </c>
      <c r="AN1678" t="s">
        <v>7138</v>
      </c>
      <c r="AO1678">
        <v>70000</v>
      </c>
      <c r="AU1678">
        <v>0</v>
      </c>
      <c r="AW1678" t="s">
        <v>7341</v>
      </c>
    </row>
    <row r="1679" spans="1:50">
      <c r="A1679" s="1">
        <f>HYPERLINK("https://lsnyc.legalserver.org/matter/dynamic-profile/view/0830667","17-0830667")</f>
        <v>0</v>
      </c>
      <c r="B1679" t="s">
        <v>64</v>
      </c>
      <c r="C1679" t="s">
        <v>104</v>
      </c>
      <c r="D1679" t="s">
        <v>645</v>
      </c>
      <c r="E1679" t="s">
        <v>280</v>
      </c>
      <c r="F1679" t="s">
        <v>790</v>
      </c>
      <c r="G1679" t="s">
        <v>1604</v>
      </c>
      <c r="H1679" t="s">
        <v>2681</v>
      </c>
      <c r="I1679">
        <v>25</v>
      </c>
      <c r="J1679" t="s">
        <v>3604</v>
      </c>
      <c r="K1679">
        <v>10032</v>
      </c>
      <c r="L1679" t="s">
        <v>3609</v>
      </c>
      <c r="M1679" t="s">
        <v>3609</v>
      </c>
      <c r="O1679" t="s">
        <v>4213</v>
      </c>
      <c r="P1679" t="s">
        <v>4244</v>
      </c>
      <c r="Q1679" t="s">
        <v>4254</v>
      </c>
      <c r="R1679" t="s">
        <v>4258</v>
      </c>
      <c r="S1679" t="s">
        <v>3610</v>
      </c>
      <c r="U1679" t="s">
        <v>4268</v>
      </c>
      <c r="W1679" t="s">
        <v>238</v>
      </c>
      <c r="X1679">
        <v>1134.31</v>
      </c>
      <c r="Y1679" t="s">
        <v>4351</v>
      </c>
      <c r="Z1679" t="s">
        <v>4352</v>
      </c>
      <c r="AA1679" t="s">
        <v>4377</v>
      </c>
      <c r="AB1679" t="s">
        <v>5704</v>
      </c>
      <c r="AD1679" t="s">
        <v>7039</v>
      </c>
      <c r="AE1679">
        <v>44</v>
      </c>
      <c r="AF1679" t="s">
        <v>7101</v>
      </c>
      <c r="AG1679" t="s">
        <v>3745</v>
      </c>
      <c r="AH1679">
        <v>21</v>
      </c>
      <c r="AI1679">
        <v>1</v>
      </c>
      <c r="AJ1679">
        <v>0</v>
      </c>
      <c r="AK1679">
        <v>414.59</v>
      </c>
      <c r="AL1679" t="s">
        <v>4319</v>
      </c>
      <c r="AN1679" t="s">
        <v>7139</v>
      </c>
      <c r="AO1679">
        <v>50000</v>
      </c>
      <c r="AU1679">
        <v>0.1</v>
      </c>
      <c r="AV1679" t="s">
        <v>280</v>
      </c>
      <c r="AW1679" t="s">
        <v>7341</v>
      </c>
    </row>
    <row r="1680" spans="1:50">
      <c r="A1680" s="1">
        <f>HYPERLINK("https://lsnyc.legalserver.org/matter/dynamic-profile/view/0830668","17-0830668")</f>
        <v>0</v>
      </c>
      <c r="B1680" t="s">
        <v>64</v>
      </c>
      <c r="C1680" t="s">
        <v>104</v>
      </c>
      <c r="D1680" t="s">
        <v>645</v>
      </c>
      <c r="E1680" t="s">
        <v>277</v>
      </c>
      <c r="F1680" t="s">
        <v>790</v>
      </c>
      <c r="G1680" t="s">
        <v>1604</v>
      </c>
      <c r="H1680" t="s">
        <v>2681</v>
      </c>
      <c r="I1680">
        <v>25</v>
      </c>
      <c r="J1680" t="s">
        <v>3604</v>
      </c>
      <c r="K1680">
        <v>10032</v>
      </c>
      <c r="L1680" t="s">
        <v>3609</v>
      </c>
      <c r="M1680" t="s">
        <v>3609</v>
      </c>
      <c r="N1680" t="s">
        <v>4202</v>
      </c>
      <c r="O1680" t="s">
        <v>4211</v>
      </c>
      <c r="P1680" t="s">
        <v>4241</v>
      </c>
      <c r="Q1680" t="s">
        <v>4248</v>
      </c>
      <c r="R1680" t="s">
        <v>4258</v>
      </c>
      <c r="S1680" t="s">
        <v>3610</v>
      </c>
      <c r="U1680" t="s">
        <v>4268</v>
      </c>
      <c r="W1680" t="s">
        <v>238</v>
      </c>
      <c r="X1680">
        <v>1134.31</v>
      </c>
      <c r="Y1680" t="s">
        <v>4351</v>
      </c>
      <c r="Z1680" t="s">
        <v>4352</v>
      </c>
      <c r="AA1680" t="s">
        <v>4379</v>
      </c>
      <c r="AB1680" t="s">
        <v>5704</v>
      </c>
      <c r="AD1680" t="s">
        <v>7039</v>
      </c>
      <c r="AE1680">
        <v>44</v>
      </c>
      <c r="AF1680" t="s">
        <v>7101</v>
      </c>
      <c r="AG1680" t="s">
        <v>3745</v>
      </c>
      <c r="AH1680">
        <v>21</v>
      </c>
      <c r="AI1680">
        <v>1</v>
      </c>
      <c r="AJ1680">
        <v>0</v>
      </c>
      <c r="AK1680">
        <v>414.59</v>
      </c>
      <c r="AL1680" t="s">
        <v>4319</v>
      </c>
      <c r="AN1680" t="s">
        <v>7139</v>
      </c>
      <c r="AO1680">
        <v>50000</v>
      </c>
      <c r="AU1680">
        <v>0.1</v>
      </c>
      <c r="AV1680" t="s">
        <v>277</v>
      </c>
      <c r="AW1680" t="s">
        <v>7341</v>
      </c>
    </row>
    <row r="1681" spans="1:50">
      <c r="A1681" s="1">
        <f>HYPERLINK("https://lsnyc.legalserver.org/matter/dynamic-profile/view/0829654","17-0829654")</f>
        <v>0</v>
      </c>
      <c r="B1681" t="s">
        <v>67</v>
      </c>
      <c r="C1681" t="s">
        <v>105</v>
      </c>
      <c r="D1681" t="s">
        <v>641</v>
      </c>
      <c r="F1681" t="s">
        <v>1521</v>
      </c>
      <c r="G1681" t="s">
        <v>2399</v>
      </c>
      <c r="H1681" t="s">
        <v>3229</v>
      </c>
      <c r="I1681" t="s">
        <v>3560</v>
      </c>
      <c r="J1681" t="s">
        <v>3604</v>
      </c>
      <c r="K1681">
        <v>10024</v>
      </c>
      <c r="L1681" t="s">
        <v>3610</v>
      </c>
      <c r="M1681" t="s">
        <v>3609</v>
      </c>
      <c r="N1681" t="s">
        <v>4203</v>
      </c>
      <c r="O1681" t="s">
        <v>4213</v>
      </c>
      <c r="P1681" t="s">
        <v>4241</v>
      </c>
      <c r="R1681" t="s">
        <v>4258</v>
      </c>
      <c r="S1681" t="s">
        <v>3610</v>
      </c>
      <c r="U1681" t="s">
        <v>4268</v>
      </c>
      <c r="W1681" t="s">
        <v>238</v>
      </c>
      <c r="X1681">
        <v>894.33</v>
      </c>
      <c r="Y1681" t="s">
        <v>4351</v>
      </c>
      <c r="Z1681" t="s">
        <v>4352</v>
      </c>
      <c r="AB1681" t="s">
        <v>5705</v>
      </c>
      <c r="AD1681" t="s">
        <v>7040</v>
      </c>
      <c r="AE1681">
        <v>12</v>
      </c>
      <c r="AF1681" t="s">
        <v>7101</v>
      </c>
      <c r="AG1681" t="s">
        <v>3745</v>
      </c>
      <c r="AH1681">
        <v>33</v>
      </c>
      <c r="AI1681">
        <v>1</v>
      </c>
      <c r="AJ1681">
        <v>0</v>
      </c>
      <c r="AK1681">
        <v>414.59</v>
      </c>
      <c r="AN1681" t="s">
        <v>7138</v>
      </c>
      <c r="AO1681">
        <v>50000</v>
      </c>
      <c r="AU1681">
        <v>80</v>
      </c>
      <c r="AV1681" t="s">
        <v>396</v>
      </c>
      <c r="AW1681" t="s">
        <v>7341</v>
      </c>
    </row>
    <row r="1682" spans="1:50">
      <c r="A1682" s="1">
        <f>HYPERLINK("https://lsnyc.legalserver.org/matter/dynamic-profile/view/1891044","19-1891044")</f>
        <v>0</v>
      </c>
      <c r="B1682" t="s">
        <v>64</v>
      </c>
      <c r="C1682" t="s">
        <v>104</v>
      </c>
      <c r="D1682" t="s">
        <v>305</v>
      </c>
      <c r="E1682" t="s">
        <v>131</v>
      </c>
      <c r="F1682" t="s">
        <v>1522</v>
      </c>
      <c r="G1682" t="s">
        <v>2400</v>
      </c>
      <c r="H1682" t="s">
        <v>2983</v>
      </c>
      <c r="I1682" t="s">
        <v>3350</v>
      </c>
      <c r="J1682" t="s">
        <v>3604</v>
      </c>
      <c r="K1682">
        <v>10033</v>
      </c>
      <c r="L1682" t="s">
        <v>3610</v>
      </c>
      <c r="M1682" t="s">
        <v>3610</v>
      </c>
      <c r="O1682" t="s">
        <v>4219</v>
      </c>
      <c r="P1682" t="s">
        <v>4242</v>
      </c>
      <c r="Q1682" t="s">
        <v>4250</v>
      </c>
      <c r="R1682" t="s">
        <v>4258</v>
      </c>
      <c r="S1682" t="s">
        <v>3610</v>
      </c>
      <c r="U1682" t="s">
        <v>4268</v>
      </c>
      <c r="W1682" t="s">
        <v>305</v>
      </c>
      <c r="X1682">
        <v>1900</v>
      </c>
      <c r="Y1682" t="s">
        <v>4351</v>
      </c>
      <c r="Z1682" t="s">
        <v>4359</v>
      </c>
      <c r="AA1682" t="s">
        <v>4373</v>
      </c>
      <c r="AB1682" t="s">
        <v>5706</v>
      </c>
      <c r="AD1682" t="s">
        <v>7041</v>
      </c>
      <c r="AE1682">
        <v>60</v>
      </c>
      <c r="AF1682" t="s">
        <v>7101</v>
      </c>
      <c r="AG1682" t="s">
        <v>3745</v>
      </c>
      <c r="AH1682">
        <v>8</v>
      </c>
      <c r="AI1682">
        <v>1</v>
      </c>
      <c r="AJ1682">
        <v>0</v>
      </c>
      <c r="AK1682">
        <v>416.33</v>
      </c>
      <c r="AL1682" t="s">
        <v>7132</v>
      </c>
      <c r="AM1682" t="s">
        <v>7134</v>
      </c>
      <c r="AN1682" t="s">
        <v>7138</v>
      </c>
      <c r="AO1682">
        <v>52000</v>
      </c>
      <c r="AU1682">
        <v>0.01</v>
      </c>
      <c r="AV1682" t="s">
        <v>612</v>
      </c>
      <c r="AW1682" t="s">
        <v>7342</v>
      </c>
      <c r="AX1682" t="s">
        <v>7377</v>
      </c>
    </row>
    <row r="1683" spans="1:50">
      <c r="A1683" s="1">
        <f>HYPERLINK("https://lsnyc.legalserver.org/matter/dynamic-profile/view/1885229","18-1885229")</f>
        <v>0</v>
      </c>
      <c r="B1683" t="s">
        <v>53</v>
      </c>
      <c r="C1683" t="s">
        <v>105</v>
      </c>
      <c r="D1683" t="s">
        <v>485</v>
      </c>
      <c r="F1683" t="s">
        <v>1523</v>
      </c>
      <c r="G1683" t="s">
        <v>2401</v>
      </c>
      <c r="H1683" t="s">
        <v>2729</v>
      </c>
      <c r="I1683">
        <v>64</v>
      </c>
      <c r="J1683" t="s">
        <v>3604</v>
      </c>
      <c r="K1683">
        <v>10039</v>
      </c>
      <c r="L1683" t="s">
        <v>3610</v>
      </c>
      <c r="M1683" t="s">
        <v>3610</v>
      </c>
      <c r="N1683" t="s">
        <v>3767</v>
      </c>
      <c r="O1683" t="s">
        <v>4213</v>
      </c>
      <c r="P1683" t="s">
        <v>4241</v>
      </c>
      <c r="R1683" t="s">
        <v>4258</v>
      </c>
      <c r="S1683" t="s">
        <v>3610</v>
      </c>
      <c r="U1683" t="s">
        <v>4268</v>
      </c>
      <c r="V1683" t="s">
        <v>4274</v>
      </c>
      <c r="W1683" t="s">
        <v>485</v>
      </c>
      <c r="X1683">
        <v>611.4400000000001</v>
      </c>
      <c r="Y1683" t="s">
        <v>4351</v>
      </c>
      <c r="Z1683" t="s">
        <v>4352</v>
      </c>
      <c r="AB1683" t="s">
        <v>5707</v>
      </c>
      <c r="AD1683" t="s">
        <v>7042</v>
      </c>
      <c r="AE1683">
        <v>245</v>
      </c>
      <c r="AF1683" t="s">
        <v>7101</v>
      </c>
      <c r="AG1683" t="s">
        <v>3745</v>
      </c>
      <c r="AH1683">
        <v>39</v>
      </c>
      <c r="AI1683">
        <v>2</v>
      </c>
      <c r="AJ1683">
        <v>0</v>
      </c>
      <c r="AK1683">
        <v>419.2</v>
      </c>
      <c r="AN1683" t="s">
        <v>7138</v>
      </c>
      <c r="AO1683">
        <v>69000</v>
      </c>
      <c r="AU1683">
        <v>0</v>
      </c>
      <c r="AW1683" t="s">
        <v>7341</v>
      </c>
    </row>
    <row r="1684" spans="1:50">
      <c r="A1684" s="1">
        <f>HYPERLINK("https://lsnyc.legalserver.org/matter/dynamic-profile/view/1900516","19-1900516")</f>
        <v>0</v>
      </c>
      <c r="B1684" t="s">
        <v>68</v>
      </c>
      <c r="C1684" t="s">
        <v>104</v>
      </c>
      <c r="D1684" t="s">
        <v>196</v>
      </c>
      <c r="E1684" t="s">
        <v>612</v>
      </c>
      <c r="F1684" t="s">
        <v>1524</v>
      </c>
      <c r="G1684" t="s">
        <v>2402</v>
      </c>
      <c r="H1684" t="s">
        <v>2531</v>
      </c>
      <c r="I1684" t="s">
        <v>3286</v>
      </c>
      <c r="J1684" t="s">
        <v>3604</v>
      </c>
      <c r="K1684">
        <v>10035</v>
      </c>
      <c r="L1684" t="s">
        <v>3610</v>
      </c>
      <c r="M1684" t="s">
        <v>3609</v>
      </c>
      <c r="N1684" t="s">
        <v>4204</v>
      </c>
      <c r="O1684" t="s">
        <v>4209</v>
      </c>
      <c r="P1684" t="s">
        <v>4241</v>
      </c>
      <c r="Q1684" t="s">
        <v>4248</v>
      </c>
      <c r="R1684" t="s">
        <v>4258</v>
      </c>
      <c r="S1684" t="s">
        <v>3611</v>
      </c>
      <c r="U1684" t="s">
        <v>4268</v>
      </c>
      <c r="V1684" t="s">
        <v>4274</v>
      </c>
      <c r="W1684" t="s">
        <v>4296</v>
      </c>
      <c r="X1684">
        <v>1574.13</v>
      </c>
      <c r="Y1684" t="s">
        <v>4351</v>
      </c>
      <c r="Z1684" t="s">
        <v>4357</v>
      </c>
      <c r="AA1684" t="s">
        <v>4374</v>
      </c>
      <c r="AB1684" t="s">
        <v>5708</v>
      </c>
      <c r="AE1684">
        <v>25</v>
      </c>
      <c r="AF1684" t="s">
        <v>7101</v>
      </c>
      <c r="AG1684" t="s">
        <v>3745</v>
      </c>
      <c r="AH1684">
        <v>19</v>
      </c>
      <c r="AI1684">
        <v>4</v>
      </c>
      <c r="AJ1684">
        <v>0</v>
      </c>
      <c r="AK1684">
        <v>419.42</v>
      </c>
      <c r="AN1684" t="s">
        <v>7138</v>
      </c>
      <c r="AO1684">
        <v>108000</v>
      </c>
      <c r="AQ1684" t="s">
        <v>7196</v>
      </c>
      <c r="AR1684" t="s">
        <v>7229</v>
      </c>
      <c r="AS1684" t="s">
        <v>7231</v>
      </c>
      <c r="AT1684" t="s">
        <v>7283</v>
      </c>
      <c r="AU1684">
        <v>13.75</v>
      </c>
      <c r="AV1684" t="s">
        <v>659</v>
      </c>
      <c r="AW1684" t="s">
        <v>7341</v>
      </c>
      <c r="AX1684" t="s">
        <v>7377</v>
      </c>
    </row>
    <row r="1685" spans="1:50">
      <c r="A1685" s="1">
        <f>HYPERLINK("https://lsnyc.legalserver.org/matter/dynamic-profile/view/0822324","16-0822324")</f>
        <v>0</v>
      </c>
      <c r="B1685" t="s">
        <v>63</v>
      </c>
      <c r="C1685" t="s">
        <v>105</v>
      </c>
      <c r="D1685" t="s">
        <v>560</v>
      </c>
      <c r="F1685" t="s">
        <v>799</v>
      </c>
      <c r="G1685" t="s">
        <v>2403</v>
      </c>
      <c r="H1685" t="s">
        <v>2652</v>
      </c>
      <c r="I1685" t="s">
        <v>3333</v>
      </c>
      <c r="J1685" t="s">
        <v>3604</v>
      </c>
      <c r="K1685">
        <v>10034</v>
      </c>
      <c r="L1685" t="s">
        <v>3610</v>
      </c>
      <c r="M1685" t="s">
        <v>3609</v>
      </c>
      <c r="O1685" t="s">
        <v>4220</v>
      </c>
      <c r="P1685" t="s">
        <v>4243</v>
      </c>
      <c r="R1685" t="s">
        <v>4258</v>
      </c>
      <c r="S1685" t="s">
        <v>3610</v>
      </c>
      <c r="U1685" t="s">
        <v>4268</v>
      </c>
      <c r="W1685" t="s">
        <v>4295</v>
      </c>
      <c r="X1685">
        <v>1795</v>
      </c>
      <c r="Y1685" t="s">
        <v>4351</v>
      </c>
      <c r="Z1685" t="s">
        <v>4352</v>
      </c>
      <c r="AB1685" t="s">
        <v>5709</v>
      </c>
      <c r="AE1685">
        <v>22</v>
      </c>
      <c r="AF1685" t="s">
        <v>7101</v>
      </c>
      <c r="AG1685" t="s">
        <v>3745</v>
      </c>
      <c r="AH1685">
        <v>3</v>
      </c>
      <c r="AI1685">
        <v>3</v>
      </c>
      <c r="AJ1685">
        <v>0</v>
      </c>
      <c r="AK1685">
        <v>423.02</v>
      </c>
      <c r="AN1685" t="s">
        <v>7138</v>
      </c>
      <c r="AO1685">
        <v>128960</v>
      </c>
      <c r="AU1685">
        <v>0</v>
      </c>
      <c r="AW1685" t="s">
        <v>7341</v>
      </c>
    </row>
    <row r="1686" spans="1:50">
      <c r="A1686" s="1">
        <f>HYPERLINK("https://lsnyc.legalserver.org/matter/dynamic-profile/view/0822327","16-0822327")</f>
        <v>0</v>
      </c>
      <c r="B1686" t="s">
        <v>53</v>
      </c>
      <c r="C1686" t="s">
        <v>105</v>
      </c>
      <c r="D1686" t="s">
        <v>507</v>
      </c>
      <c r="F1686" t="s">
        <v>799</v>
      </c>
      <c r="G1686" t="s">
        <v>2403</v>
      </c>
      <c r="H1686" t="s">
        <v>2652</v>
      </c>
      <c r="I1686" t="s">
        <v>3333</v>
      </c>
      <c r="J1686" t="s">
        <v>3604</v>
      </c>
      <c r="K1686">
        <v>10034</v>
      </c>
      <c r="L1686" t="s">
        <v>3610</v>
      </c>
      <c r="M1686" t="s">
        <v>3609</v>
      </c>
      <c r="N1686" t="s">
        <v>4205</v>
      </c>
      <c r="O1686" t="s">
        <v>4220</v>
      </c>
      <c r="P1686" t="s">
        <v>4245</v>
      </c>
      <c r="R1686" t="s">
        <v>4258</v>
      </c>
      <c r="S1686" t="s">
        <v>3610</v>
      </c>
      <c r="U1686" t="s">
        <v>4268</v>
      </c>
      <c r="W1686" t="s">
        <v>507</v>
      </c>
      <c r="X1686">
        <v>1795</v>
      </c>
      <c r="Y1686" t="s">
        <v>4351</v>
      </c>
      <c r="Z1686" t="s">
        <v>4352</v>
      </c>
      <c r="AB1686" t="s">
        <v>5709</v>
      </c>
      <c r="AE1686">
        <v>22</v>
      </c>
      <c r="AF1686" t="s">
        <v>7101</v>
      </c>
      <c r="AG1686" t="s">
        <v>3745</v>
      </c>
      <c r="AH1686">
        <v>3</v>
      </c>
      <c r="AI1686">
        <v>3</v>
      </c>
      <c r="AJ1686">
        <v>0</v>
      </c>
      <c r="AK1686">
        <v>423.02</v>
      </c>
      <c r="AN1686" t="s">
        <v>7138</v>
      </c>
      <c r="AO1686">
        <v>128960</v>
      </c>
      <c r="AP1686" t="s">
        <v>7194</v>
      </c>
      <c r="AU1686">
        <v>0.1</v>
      </c>
      <c r="AV1686" t="s">
        <v>507</v>
      </c>
      <c r="AW1686" t="s">
        <v>7341</v>
      </c>
    </row>
    <row r="1687" spans="1:50">
      <c r="A1687" s="1">
        <f>HYPERLINK("https://lsnyc.legalserver.org/matter/dynamic-profile/view/1887883","19-1887883")</f>
        <v>0</v>
      </c>
      <c r="B1687" t="s">
        <v>52</v>
      </c>
      <c r="C1687" t="s">
        <v>104</v>
      </c>
      <c r="D1687" t="s">
        <v>194</v>
      </c>
      <c r="E1687" t="s">
        <v>113</v>
      </c>
      <c r="F1687" t="s">
        <v>924</v>
      </c>
      <c r="G1687" t="s">
        <v>2404</v>
      </c>
      <c r="H1687" t="s">
        <v>3253</v>
      </c>
      <c r="I1687" t="s">
        <v>3590</v>
      </c>
      <c r="J1687" t="s">
        <v>3604</v>
      </c>
      <c r="K1687">
        <v>10040</v>
      </c>
      <c r="L1687" t="s">
        <v>3610</v>
      </c>
      <c r="M1687" t="s">
        <v>3610</v>
      </c>
      <c r="O1687" t="s">
        <v>4219</v>
      </c>
      <c r="P1687" t="s">
        <v>4242</v>
      </c>
      <c r="Q1687" t="s">
        <v>4250</v>
      </c>
      <c r="R1687" t="s">
        <v>4258</v>
      </c>
      <c r="U1687" t="s">
        <v>4268</v>
      </c>
      <c r="W1687" t="s">
        <v>194</v>
      </c>
      <c r="X1687">
        <v>1072.59</v>
      </c>
      <c r="Y1687" t="s">
        <v>4351</v>
      </c>
      <c r="Z1687" t="s">
        <v>4357</v>
      </c>
      <c r="AA1687" t="s">
        <v>4373</v>
      </c>
      <c r="AB1687" t="s">
        <v>5710</v>
      </c>
      <c r="AD1687" t="s">
        <v>7043</v>
      </c>
      <c r="AE1687">
        <v>0</v>
      </c>
      <c r="AF1687" t="s">
        <v>7101</v>
      </c>
      <c r="AG1687" t="s">
        <v>3745</v>
      </c>
      <c r="AH1687">
        <v>14</v>
      </c>
      <c r="AI1687">
        <v>2</v>
      </c>
      <c r="AJ1687">
        <v>0</v>
      </c>
      <c r="AK1687">
        <v>431.35</v>
      </c>
      <c r="AN1687" t="s">
        <v>7139</v>
      </c>
      <c r="AO1687">
        <v>71000</v>
      </c>
      <c r="AU1687">
        <v>1.6</v>
      </c>
      <c r="AV1687" t="s">
        <v>7131</v>
      </c>
      <c r="AW1687" t="s">
        <v>7342</v>
      </c>
    </row>
    <row r="1688" spans="1:50">
      <c r="A1688" s="1">
        <f>HYPERLINK("https://lsnyc.legalserver.org/matter/dynamic-profile/view/1892828","19-1892828")</f>
        <v>0</v>
      </c>
      <c r="B1688" t="s">
        <v>64</v>
      </c>
      <c r="C1688" t="s">
        <v>104</v>
      </c>
      <c r="D1688" t="s">
        <v>245</v>
      </c>
      <c r="E1688" t="s">
        <v>131</v>
      </c>
      <c r="F1688" t="s">
        <v>1018</v>
      </c>
      <c r="G1688" t="s">
        <v>2405</v>
      </c>
      <c r="H1688" t="s">
        <v>2983</v>
      </c>
      <c r="I1688" t="s">
        <v>3274</v>
      </c>
      <c r="J1688" t="s">
        <v>3604</v>
      </c>
      <c r="K1688">
        <v>10033</v>
      </c>
      <c r="L1688" t="s">
        <v>3610</v>
      </c>
      <c r="M1688" t="s">
        <v>3610</v>
      </c>
      <c r="O1688" t="s">
        <v>4219</v>
      </c>
      <c r="P1688" t="s">
        <v>4242</v>
      </c>
      <c r="Q1688" t="s">
        <v>4250</v>
      </c>
      <c r="R1688" t="s">
        <v>4258</v>
      </c>
      <c r="S1688" t="s">
        <v>3610</v>
      </c>
      <c r="U1688" t="s">
        <v>4268</v>
      </c>
      <c r="W1688" t="s">
        <v>245</v>
      </c>
      <c r="X1688">
        <v>1700</v>
      </c>
      <c r="Y1688" t="s">
        <v>4351</v>
      </c>
      <c r="Z1688" t="s">
        <v>4359</v>
      </c>
      <c r="AA1688" t="s">
        <v>4373</v>
      </c>
      <c r="AB1688" t="s">
        <v>5711</v>
      </c>
      <c r="AE1688">
        <v>60</v>
      </c>
      <c r="AF1688" t="s">
        <v>7101</v>
      </c>
      <c r="AG1688" t="s">
        <v>3745</v>
      </c>
      <c r="AH1688">
        <v>16</v>
      </c>
      <c r="AI1688">
        <v>2</v>
      </c>
      <c r="AJ1688">
        <v>0</v>
      </c>
      <c r="AK1688">
        <v>431.7</v>
      </c>
      <c r="AL1688" t="s">
        <v>7132</v>
      </c>
      <c r="AM1688" t="s">
        <v>7134</v>
      </c>
      <c r="AN1688" t="s">
        <v>7138</v>
      </c>
      <c r="AO1688">
        <v>73000</v>
      </c>
      <c r="AU1688">
        <v>0.01</v>
      </c>
      <c r="AV1688" t="s">
        <v>131</v>
      </c>
      <c r="AW1688" t="s">
        <v>7342</v>
      </c>
      <c r="AX1688" t="s">
        <v>7377</v>
      </c>
    </row>
    <row r="1689" spans="1:50">
      <c r="A1689" s="1">
        <f>HYPERLINK("https://lsnyc.legalserver.org/matter/dynamic-profile/view/1846770","17-1846770")</f>
        <v>0</v>
      </c>
      <c r="B1689" t="s">
        <v>68</v>
      </c>
      <c r="C1689" t="s">
        <v>104</v>
      </c>
      <c r="D1689" t="s">
        <v>267</v>
      </c>
      <c r="E1689" t="s">
        <v>612</v>
      </c>
      <c r="F1689" t="s">
        <v>1524</v>
      </c>
      <c r="G1689" t="s">
        <v>2402</v>
      </c>
      <c r="H1689" t="s">
        <v>2531</v>
      </c>
      <c r="I1689" t="s">
        <v>3286</v>
      </c>
      <c r="J1689" t="s">
        <v>3604</v>
      </c>
      <c r="K1689">
        <v>10035</v>
      </c>
      <c r="L1689" t="s">
        <v>3610</v>
      </c>
      <c r="M1689" t="s">
        <v>3610</v>
      </c>
      <c r="N1689" t="s">
        <v>3709</v>
      </c>
      <c r="O1689" t="s">
        <v>4213</v>
      </c>
      <c r="P1689" t="s">
        <v>4241</v>
      </c>
      <c r="Q1689" t="s">
        <v>4248</v>
      </c>
      <c r="R1689" t="s">
        <v>4258</v>
      </c>
      <c r="S1689" t="s">
        <v>3610</v>
      </c>
      <c r="U1689" t="s">
        <v>4268</v>
      </c>
      <c r="V1689" t="s">
        <v>4274</v>
      </c>
      <c r="W1689" t="s">
        <v>472</v>
      </c>
      <c r="X1689">
        <v>1574.13</v>
      </c>
      <c r="Y1689" t="s">
        <v>4351</v>
      </c>
      <c r="Z1689" t="s">
        <v>4352</v>
      </c>
      <c r="AA1689" t="s">
        <v>4374</v>
      </c>
      <c r="AB1689" t="s">
        <v>5708</v>
      </c>
      <c r="AE1689">
        <v>35</v>
      </c>
      <c r="AF1689" t="s">
        <v>7101</v>
      </c>
      <c r="AG1689" t="s">
        <v>3745</v>
      </c>
      <c r="AH1689">
        <v>19</v>
      </c>
      <c r="AI1689">
        <v>4</v>
      </c>
      <c r="AJ1689">
        <v>0</v>
      </c>
      <c r="AK1689">
        <v>439.02</v>
      </c>
      <c r="AN1689" t="s">
        <v>7138</v>
      </c>
      <c r="AO1689">
        <v>108000</v>
      </c>
      <c r="AP1689" t="s">
        <v>7192</v>
      </c>
      <c r="AQ1689" t="s">
        <v>7201</v>
      </c>
      <c r="AR1689" t="s">
        <v>7230</v>
      </c>
      <c r="AS1689" t="s">
        <v>7231</v>
      </c>
      <c r="AT1689" t="s">
        <v>7283</v>
      </c>
      <c r="AU1689">
        <v>12.3</v>
      </c>
      <c r="AV1689" t="s">
        <v>7310</v>
      </c>
      <c r="AW1689" t="s">
        <v>7341</v>
      </c>
      <c r="AX1689" t="s">
        <v>7377</v>
      </c>
    </row>
    <row r="1690" spans="1:50">
      <c r="A1690" s="1">
        <f>HYPERLINK("https://lsnyc.legalserver.org/matter/dynamic-profile/view/1899127","19-1899127")</f>
        <v>0</v>
      </c>
      <c r="B1690" t="s">
        <v>52</v>
      </c>
      <c r="C1690" t="s">
        <v>105</v>
      </c>
      <c r="D1690" t="s">
        <v>613</v>
      </c>
      <c r="F1690" t="s">
        <v>725</v>
      </c>
      <c r="G1690" t="s">
        <v>2406</v>
      </c>
      <c r="H1690" t="s">
        <v>2789</v>
      </c>
      <c r="I1690" t="s">
        <v>3285</v>
      </c>
      <c r="J1690" t="s">
        <v>3604</v>
      </c>
      <c r="K1690">
        <v>10034</v>
      </c>
      <c r="L1690" t="s">
        <v>3610</v>
      </c>
      <c r="M1690" t="s">
        <v>3609</v>
      </c>
      <c r="O1690" t="s">
        <v>4211</v>
      </c>
      <c r="P1690" t="s">
        <v>4245</v>
      </c>
      <c r="R1690" t="s">
        <v>4258</v>
      </c>
      <c r="S1690" t="s">
        <v>3611</v>
      </c>
      <c r="U1690" t="s">
        <v>4268</v>
      </c>
      <c r="W1690" t="s">
        <v>613</v>
      </c>
      <c r="X1690">
        <v>1625</v>
      </c>
      <c r="Y1690" t="s">
        <v>4351</v>
      </c>
      <c r="Z1690" t="s">
        <v>4354</v>
      </c>
      <c r="AB1690" t="s">
        <v>5712</v>
      </c>
      <c r="AD1690" t="s">
        <v>7044</v>
      </c>
      <c r="AE1690">
        <v>28</v>
      </c>
      <c r="AF1690" t="s">
        <v>7101</v>
      </c>
      <c r="AG1690" t="s">
        <v>3745</v>
      </c>
      <c r="AH1690">
        <v>1</v>
      </c>
      <c r="AI1690">
        <v>1</v>
      </c>
      <c r="AJ1690">
        <v>0</v>
      </c>
      <c r="AK1690">
        <v>440.35</v>
      </c>
      <c r="AN1690" t="s">
        <v>7138</v>
      </c>
      <c r="AO1690">
        <v>55000</v>
      </c>
      <c r="AU1690">
        <v>1.3</v>
      </c>
      <c r="AV1690" t="s">
        <v>502</v>
      </c>
      <c r="AW1690" t="s">
        <v>7342</v>
      </c>
      <c r="AX1690" t="s">
        <v>7377</v>
      </c>
    </row>
    <row r="1691" spans="1:50">
      <c r="A1691" s="1">
        <f>HYPERLINK("https://lsnyc.legalserver.org/matter/dynamic-profile/view/1836023","17-1836023")</f>
        <v>0</v>
      </c>
      <c r="B1691" t="s">
        <v>53</v>
      </c>
      <c r="C1691" t="s">
        <v>105</v>
      </c>
      <c r="D1691" t="s">
        <v>449</v>
      </c>
      <c r="F1691" t="s">
        <v>1360</v>
      </c>
      <c r="G1691" t="s">
        <v>2407</v>
      </c>
      <c r="H1691" t="s">
        <v>2734</v>
      </c>
      <c r="I1691" t="s">
        <v>3319</v>
      </c>
      <c r="J1691" t="s">
        <v>3604</v>
      </c>
      <c r="K1691">
        <v>10040</v>
      </c>
      <c r="L1691" t="s">
        <v>3610</v>
      </c>
      <c r="M1691" t="s">
        <v>3610</v>
      </c>
      <c r="N1691" t="s">
        <v>3856</v>
      </c>
      <c r="O1691" t="s">
        <v>4220</v>
      </c>
      <c r="P1691" t="s">
        <v>4243</v>
      </c>
      <c r="R1691" t="s">
        <v>4258</v>
      </c>
      <c r="S1691" t="s">
        <v>3610</v>
      </c>
      <c r="U1691" t="s">
        <v>4268</v>
      </c>
      <c r="W1691" t="s">
        <v>354</v>
      </c>
      <c r="X1691">
        <v>1575</v>
      </c>
      <c r="Y1691" t="s">
        <v>4351</v>
      </c>
      <c r="Z1691" t="s">
        <v>4352</v>
      </c>
      <c r="AB1691" t="s">
        <v>5713</v>
      </c>
      <c r="AD1691" t="s">
        <v>7045</v>
      </c>
      <c r="AE1691">
        <v>43</v>
      </c>
      <c r="AF1691" t="s">
        <v>7101</v>
      </c>
      <c r="AG1691" t="s">
        <v>3745</v>
      </c>
      <c r="AH1691">
        <v>10</v>
      </c>
      <c r="AI1691">
        <v>2</v>
      </c>
      <c r="AJ1691">
        <v>1</v>
      </c>
      <c r="AK1691">
        <v>440.74</v>
      </c>
      <c r="AL1691" t="s">
        <v>7125</v>
      </c>
      <c r="AN1691" t="s">
        <v>7139</v>
      </c>
      <c r="AO1691">
        <v>90000</v>
      </c>
      <c r="AU1691">
        <v>0.75</v>
      </c>
      <c r="AV1691" t="s">
        <v>133</v>
      </c>
      <c r="AW1691" t="s">
        <v>7341</v>
      </c>
    </row>
    <row r="1692" spans="1:50">
      <c r="A1692" s="1">
        <f>HYPERLINK("https://lsnyc.legalserver.org/matter/dynamic-profile/view/1842721","17-1842721")</f>
        <v>0</v>
      </c>
      <c r="B1692" t="s">
        <v>53</v>
      </c>
      <c r="C1692" t="s">
        <v>105</v>
      </c>
      <c r="D1692" t="s">
        <v>375</v>
      </c>
      <c r="F1692" t="s">
        <v>1360</v>
      </c>
      <c r="G1692" t="s">
        <v>2407</v>
      </c>
      <c r="H1692" t="s">
        <v>2734</v>
      </c>
      <c r="I1692" t="s">
        <v>3319</v>
      </c>
      <c r="J1692" t="s">
        <v>3604</v>
      </c>
      <c r="K1692">
        <v>10040</v>
      </c>
      <c r="L1692" t="s">
        <v>3610</v>
      </c>
      <c r="M1692" t="s">
        <v>3610</v>
      </c>
      <c r="O1692" t="s">
        <v>4211</v>
      </c>
      <c r="P1692" t="s">
        <v>4242</v>
      </c>
      <c r="R1692" t="s">
        <v>4258</v>
      </c>
      <c r="S1692" t="s">
        <v>3611</v>
      </c>
      <c r="U1692" t="s">
        <v>4268</v>
      </c>
      <c r="W1692" t="s">
        <v>428</v>
      </c>
      <c r="X1692">
        <v>1575</v>
      </c>
      <c r="Y1692" t="s">
        <v>4351</v>
      </c>
      <c r="Z1692" t="s">
        <v>4354</v>
      </c>
      <c r="AB1692" t="s">
        <v>5713</v>
      </c>
      <c r="AD1692" t="s">
        <v>7045</v>
      </c>
      <c r="AE1692">
        <v>42</v>
      </c>
      <c r="AF1692" t="s">
        <v>7101</v>
      </c>
      <c r="AG1692" t="s">
        <v>3745</v>
      </c>
      <c r="AH1692">
        <v>10</v>
      </c>
      <c r="AI1692">
        <v>2</v>
      </c>
      <c r="AJ1692">
        <v>1</v>
      </c>
      <c r="AK1692">
        <v>440.74</v>
      </c>
      <c r="AL1692" t="s">
        <v>7125</v>
      </c>
      <c r="AN1692" t="s">
        <v>7139</v>
      </c>
      <c r="AO1692">
        <v>90000</v>
      </c>
      <c r="AU1692">
        <v>0.2</v>
      </c>
      <c r="AV1692" t="s">
        <v>377</v>
      </c>
      <c r="AW1692" t="s">
        <v>7342</v>
      </c>
    </row>
    <row r="1693" spans="1:50">
      <c r="A1693" s="1">
        <f>HYPERLINK("https://lsnyc.legalserver.org/matter/dynamic-profile/view/1840086","17-1840086")</f>
        <v>0</v>
      </c>
      <c r="B1693" t="s">
        <v>53</v>
      </c>
      <c r="C1693" t="s">
        <v>104</v>
      </c>
      <c r="D1693" t="s">
        <v>498</v>
      </c>
      <c r="E1693" t="s">
        <v>548</v>
      </c>
      <c r="F1693" t="s">
        <v>1525</v>
      </c>
      <c r="G1693" t="s">
        <v>2408</v>
      </c>
      <c r="H1693" t="s">
        <v>2833</v>
      </c>
      <c r="I1693">
        <v>65</v>
      </c>
      <c r="J1693" t="s">
        <v>3604</v>
      </c>
      <c r="K1693">
        <v>10040</v>
      </c>
      <c r="L1693" t="s">
        <v>3610</v>
      </c>
      <c r="M1693" t="s">
        <v>3610</v>
      </c>
      <c r="N1693" t="s">
        <v>3883</v>
      </c>
      <c r="O1693" t="s">
        <v>4213</v>
      </c>
      <c r="P1693" t="s">
        <v>4241</v>
      </c>
      <c r="Q1693" t="s">
        <v>4248</v>
      </c>
      <c r="R1693" t="s">
        <v>4258</v>
      </c>
      <c r="S1693" t="s">
        <v>3610</v>
      </c>
      <c r="U1693" t="s">
        <v>4268</v>
      </c>
      <c r="W1693" t="s">
        <v>354</v>
      </c>
      <c r="X1693">
        <v>1850</v>
      </c>
      <c r="Y1693" t="s">
        <v>4351</v>
      </c>
      <c r="Z1693" t="s">
        <v>4352</v>
      </c>
      <c r="AA1693" t="s">
        <v>4379</v>
      </c>
      <c r="AB1693" t="s">
        <v>5714</v>
      </c>
      <c r="AD1693" t="s">
        <v>7046</v>
      </c>
      <c r="AE1693">
        <v>45</v>
      </c>
      <c r="AF1693" t="s">
        <v>7101</v>
      </c>
      <c r="AG1693" t="s">
        <v>3745</v>
      </c>
      <c r="AH1693">
        <v>1</v>
      </c>
      <c r="AI1693">
        <v>2</v>
      </c>
      <c r="AJ1693">
        <v>2</v>
      </c>
      <c r="AK1693">
        <v>447.15</v>
      </c>
      <c r="AL1693" t="s">
        <v>183</v>
      </c>
      <c r="AN1693" t="s">
        <v>7138</v>
      </c>
      <c r="AO1693">
        <v>110000</v>
      </c>
      <c r="AQ1693" t="s">
        <v>7197</v>
      </c>
      <c r="AR1693" t="s">
        <v>7220</v>
      </c>
      <c r="AS1693" t="s">
        <v>7231</v>
      </c>
      <c r="AT1693" t="s">
        <v>7260</v>
      </c>
      <c r="AU1693">
        <v>1.9</v>
      </c>
      <c r="AV1693" t="s">
        <v>548</v>
      </c>
      <c r="AW1693" t="s">
        <v>7342</v>
      </c>
    </row>
    <row r="1694" spans="1:50">
      <c r="A1694" s="1">
        <f>HYPERLINK("https://lsnyc.legalserver.org/matter/dynamic-profile/view/1847293","17-1847293")</f>
        <v>0</v>
      </c>
      <c r="B1694" t="s">
        <v>53</v>
      </c>
      <c r="C1694" t="s">
        <v>105</v>
      </c>
      <c r="D1694" t="s">
        <v>132</v>
      </c>
      <c r="F1694" t="s">
        <v>1525</v>
      </c>
      <c r="G1694" t="s">
        <v>2408</v>
      </c>
      <c r="H1694" t="s">
        <v>2833</v>
      </c>
      <c r="I1694">
        <v>65</v>
      </c>
      <c r="J1694" t="s">
        <v>3604</v>
      </c>
      <c r="K1694">
        <v>10040</v>
      </c>
      <c r="L1694" t="s">
        <v>3610</v>
      </c>
      <c r="M1694" t="s">
        <v>3609</v>
      </c>
      <c r="N1694" t="s">
        <v>3883</v>
      </c>
      <c r="O1694" t="s">
        <v>4213</v>
      </c>
      <c r="P1694" t="s">
        <v>4245</v>
      </c>
      <c r="R1694" t="s">
        <v>4258</v>
      </c>
      <c r="S1694" t="s">
        <v>3610</v>
      </c>
      <c r="U1694" t="s">
        <v>4268</v>
      </c>
      <c r="W1694" t="s">
        <v>132</v>
      </c>
      <c r="X1694">
        <v>1850</v>
      </c>
      <c r="Y1694" t="s">
        <v>4351</v>
      </c>
      <c r="Z1694" t="s">
        <v>4354</v>
      </c>
      <c r="AB1694" t="s">
        <v>5714</v>
      </c>
      <c r="AD1694" t="s">
        <v>7046</v>
      </c>
      <c r="AE1694">
        <v>45</v>
      </c>
      <c r="AF1694" t="s">
        <v>7101</v>
      </c>
      <c r="AG1694" t="s">
        <v>3745</v>
      </c>
      <c r="AH1694">
        <v>1</v>
      </c>
      <c r="AI1694">
        <v>2</v>
      </c>
      <c r="AJ1694">
        <v>2</v>
      </c>
      <c r="AK1694">
        <v>447.15</v>
      </c>
      <c r="AL1694" t="s">
        <v>183</v>
      </c>
      <c r="AN1694" t="s">
        <v>7138</v>
      </c>
      <c r="AO1694">
        <v>220000</v>
      </c>
      <c r="AU1694">
        <v>0.4</v>
      </c>
      <c r="AV1694" t="s">
        <v>132</v>
      </c>
      <c r="AW1694" t="s">
        <v>7342</v>
      </c>
    </row>
    <row r="1695" spans="1:50">
      <c r="A1695" s="1">
        <f>HYPERLINK("https://lsnyc.legalserver.org/matter/dynamic-profile/view/1838642","17-1838642")</f>
        <v>0</v>
      </c>
      <c r="B1695" t="s">
        <v>64</v>
      </c>
      <c r="C1695" t="s">
        <v>105</v>
      </c>
      <c r="D1695" t="s">
        <v>189</v>
      </c>
      <c r="F1695" t="s">
        <v>978</v>
      </c>
      <c r="G1695" t="s">
        <v>2409</v>
      </c>
      <c r="H1695" t="s">
        <v>3254</v>
      </c>
      <c r="I1695" t="s">
        <v>3316</v>
      </c>
      <c r="J1695" t="s">
        <v>3604</v>
      </c>
      <c r="K1695">
        <v>10034</v>
      </c>
      <c r="L1695" t="s">
        <v>3610</v>
      </c>
      <c r="M1695" t="s">
        <v>3609</v>
      </c>
      <c r="O1695" t="s">
        <v>4213</v>
      </c>
      <c r="P1695" t="s">
        <v>4241</v>
      </c>
      <c r="R1695" t="s">
        <v>4258</v>
      </c>
      <c r="S1695" t="s">
        <v>3610</v>
      </c>
      <c r="U1695" t="s">
        <v>4268</v>
      </c>
      <c r="W1695" t="s">
        <v>189</v>
      </c>
      <c r="X1695">
        <v>949</v>
      </c>
      <c r="Y1695" t="s">
        <v>4351</v>
      </c>
      <c r="Z1695" t="s">
        <v>4352</v>
      </c>
      <c r="AB1695" t="s">
        <v>5715</v>
      </c>
      <c r="AD1695" t="s">
        <v>7047</v>
      </c>
      <c r="AE1695">
        <v>0</v>
      </c>
      <c r="AF1695" t="s">
        <v>7101</v>
      </c>
      <c r="AG1695" t="s">
        <v>3745</v>
      </c>
      <c r="AH1695">
        <v>15</v>
      </c>
      <c r="AI1695">
        <v>3</v>
      </c>
      <c r="AJ1695">
        <v>1</v>
      </c>
      <c r="AK1695">
        <v>447.15</v>
      </c>
      <c r="AN1695" t="s">
        <v>7139</v>
      </c>
      <c r="AO1695">
        <v>110000</v>
      </c>
      <c r="AU1695">
        <v>0.45</v>
      </c>
      <c r="AV1695" t="s">
        <v>335</v>
      </c>
      <c r="AW1695" t="s">
        <v>7341</v>
      </c>
    </row>
    <row r="1696" spans="1:50">
      <c r="A1696" s="1">
        <f>HYPERLINK("https://lsnyc.legalserver.org/matter/dynamic-profile/view/1864874","18-1864874")</f>
        <v>0</v>
      </c>
      <c r="B1696" t="s">
        <v>53</v>
      </c>
      <c r="C1696" t="s">
        <v>105</v>
      </c>
      <c r="D1696" t="s">
        <v>634</v>
      </c>
      <c r="F1696" t="s">
        <v>1526</v>
      </c>
      <c r="G1696" t="s">
        <v>2410</v>
      </c>
      <c r="H1696" t="s">
        <v>2636</v>
      </c>
      <c r="I1696" t="s">
        <v>3408</v>
      </c>
      <c r="J1696" t="s">
        <v>3604</v>
      </c>
      <c r="K1696">
        <v>10031</v>
      </c>
      <c r="L1696" t="s">
        <v>3610</v>
      </c>
      <c r="M1696" t="s">
        <v>3609</v>
      </c>
      <c r="O1696" t="s">
        <v>4211</v>
      </c>
      <c r="P1696" t="s">
        <v>4245</v>
      </c>
      <c r="R1696" t="s">
        <v>4258</v>
      </c>
      <c r="S1696" t="s">
        <v>3610</v>
      </c>
      <c r="U1696" t="s">
        <v>4268</v>
      </c>
      <c r="W1696" t="s">
        <v>634</v>
      </c>
      <c r="X1696">
        <v>1600</v>
      </c>
      <c r="Y1696" t="s">
        <v>4351</v>
      </c>
      <c r="Z1696" t="s">
        <v>4352</v>
      </c>
      <c r="AB1696" t="s">
        <v>5716</v>
      </c>
      <c r="AD1696" t="s">
        <v>7048</v>
      </c>
      <c r="AE1696">
        <v>48</v>
      </c>
      <c r="AF1696" t="s">
        <v>7105</v>
      </c>
      <c r="AG1696" t="s">
        <v>3745</v>
      </c>
      <c r="AH1696">
        <v>1</v>
      </c>
      <c r="AI1696">
        <v>1</v>
      </c>
      <c r="AJ1696">
        <v>0</v>
      </c>
      <c r="AK1696">
        <v>453.05</v>
      </c>
      <c r="AN1696" t="s">
        <v>7138</v>
      </c>
      <c r="AO1696">
        <v>55000</v>
      </c>
      <c r="AU1696">
        <v>2.75</v>
      </c>
      <c r="AV1696" t="s">
        <v>655</v>
      </c>
      <c r="AW1696" t="s">
        <v>7341</v>
      </c>
      <c r="AX1696" t="s">
        <v>7377</v>
      </c>
    </row>
    <row r="1697" spans="1:50">
      <c r="A1697" s="1">
        <f>HYPERLINK("https://lsnyc.legalserver.org/matter/dynamic-profile/view/1901226","19-1901226")</f>
        <v>0</v>
      </c>
      <c r="B1697" t="s">
        <v>63</v>
      </c>
      <c r="C1697" t="s">
        <v>104</v>
      </c>
      <c r="D1697" t="s">
        <v>426</v>
      </c>
      <c r="E1697" t="s">
        <v>512</v>
      </c>
      <c r="F1697" t="s">
        <v>701</v>
      </c>
      <c r="G1697" t="s">
        <v>2411</v>
      </c>
      <c r="H1697" t="s">
        <v>3255</v>
      </c>
      <c r="I1697" t="s">
        <v>3356</v>
      </c>
      <c r="J1697" t="s">
        <v>3604</v>
      </c>
      <c r="K1697">
        <v>10032</v>
      </c>
      <c r="L1697" t="s">
        <v>3610</v>
      </c>
      <c r="M1697" t="s">
        <v>3609</v>
      </c>
      <c r="O1697" t="s">
        <v>4219</v>
      </c>
      <c r="P1697" t="s">
        <v>4245</v>
      </c>
      <c r="Q1697" t="s">
        <v>4249</v>
      </c>
      <c r="R1697" t="s">
        <v>4258</v>
      </c>
      <c r="S1697" t="s">
        <v>3611</v>
      </c>
      <c r="U1697" t="s">
        <v>4268</v>
      </c>
      <c r="W1697" t="s">
        <v>426</v>
      </c>
      <c r="X1697">
        <v>2036.46</v>
      </c>
      <c r="Y1697" t="s">
        <v>4351</v>
      </c>
      <c r="Z1697" t="s">
        <v>4354</v>
      </c>
      <c r="AA1697" t="s">
        <v>4384</v>
      </c>
      <c r="AB1697" t="s">
        <v>5717</v>
      </c>
      <c r="AE1697">
        <v>14</v>
      </c>
      <c r="AF1697" t="s">
        <v>7101</v>
      </c>
      <c r="AG1697" t="s">
        <v>3745</v>
      </c>
      <c r="AH1697">
        <v>2</v>
      </c>
      <c r="AI1697">
        <v>1</v>
      </c>
      <c r="AJ1697">
        <v>0</v>
      </c>
      <c r="AK1697">
        <v>456.37</v>
      </c>
      <c r="AN1697" t="s">
        <v>7138</v>
      </c>
      <c r="AO1697">
        <v>57000</v>
      </c>
      <c r="AU1697">
        <v>0.1</v>
      </c>
      <c r="AV1697" t="s">
        <v>512</v>
      </c>
      <c r="AW1697" t="s">
        <v>7342</v>
      </c>
      <c r="AX1697" t="s">
        <v>7377</v>
      </c>
    </row>
    <row r="1698" spans="1:50">
      <c r="A1698" s="1">
        <f>HYPERLINK("https://lsnyc.legalserver.org/matter/dynamic-profile/view/1840192","17-1840192")</f>
        <v>0</v>
      </c>
      <c r="B1698" t="s">
        <v>53</v>
      </c>
      <c r="C1698" t="s">
        <v>104</v>
      </c>
      <c r="D1698" t="s">
        <v>258</v>
      </c>
      <c r="E1698" t="s">
        <v>488</v>
      </c>
      <c r="F1698" t="s">
        <v>1507</v>
      </c>
      <c r="G1698" t="s">
        <v>2412</v>
      </c>
      <c r="H1698" t="s">
        <v>2833</v>
      </c>
      <c r="I1698">
        <v>34</v>
      </c>
      <c r="J1698" t="s">
        <v>3604</v>
      </c>
      <c r="K1698">
        <v>10040</v>
      </c>
      <c r="L1698" t="s">
        <v>3610</v>
      </c>
      <c r="M1698" t="s">
        <v>3610</v>
      </c>
      <c r="N1698" t="s">
        <v>3883</v>
      </c>
      <c r="O1698" t="s">
        <v>4213</v>
      </c>
      <c r="P1698" t="s">
        <v>4241</v>
      </c>
      <c r="Q1698" t="s">
        <v>4248</v>
      </c>
      <c r="R1698" t="s">
        <v>4258</v>
      </c>
      <c r="S1698" t="s">
        <v>3610</v>
      </c>
      <c r="U1698" t="s">
        <v>4268</v>
      </c>
      <c r="W1698" t="s">
        <v>354</v>
      </c>
      <c r="X1698">
        <v>1405</v>
      </c>
      <c r="Y1698" t="s">
        <v>4351</v>
      </c>
      <c r="Z1698" t="s">
        <v>4352</v>
      </c>
      <c r="AA1698" t="s">
        <v>4379</v>
      </c>
      <c r="AB1698" t="s">
        <v>5718</v>
      </c>
      <c r="AD1698" t="s">
        <v>7049</v>
      </c>
      <c r="AE1698">
        <v>45</v>
      </c>
      <c r="AF1698" t="s">
        <v>7101</v>
      </c>
      <c r="AG1698" t="s">
        <v>3745</v>
      </c>
      <c r="AH1698">
        <v>2</v>
      </c>
      <c r="AI1698">
        <v>1</v>
      </c>
      <c r="AJ1698">
        <v>0</v>
      </c>
      <c r="AK1698">
        <v>464.34</v>
      </c>
      <c r="AL1698" t="s">
        <v>183</v>
      </c>
      <c r="AN1698" t="s">
        <v>7138</v>
      </c>
      <c r="AO1698">
        <v>56000</v>
      </c>
      <c r="AQ1698" t="s">
        <v>7197</v>
      </c>
      <c r="AR1698" t="s">
        <v>7220</v>
      </c>
      <c r="AS1698" t="s">
        <v>7231</v>
      </c>
      <c r="AT1698" t="s">
        <v>7260</v>
      </c>
      <c r="AU1698">
        <v>2.5</v>
      </c>
      <c r="AV1698" t="s">
        <v>488</v>
      </c>
      <c r="AW1698" t="s">
        <v>7342</v>
      </c>
    </row>
    <row r="1699" spans="1:50">
      <c r="A1699" s="1">
        <f>HYPERLINK("https://lsnyc.legalserver.org/matter/dynamic-profile/view/1874350","18-1874350")</f>
        <v>0</v>
      </c>
      <c r="B1699" t="s">
        <v>83</v>
      </c>
      <c r="C1699" t="s">
        <v>104</v>
      </c>
      <c r="D1699" t="s">
        <v>435</v>
      </c>
      <c r="E1699" t="s">
        <v>156</v>
      </c>
      <c r="F1699" t="s">
        <v>1527</v>
      </c>
      <c r="G1699" t="s">
        <v>2143</v>
      </c>
      <c r="H1699" t="s">
        <v>2939</v>
      </c>
      <c r="I1699" t="s">
        <v>3343</v>
      </c>
      <c r="J1699" t="s">
        <v>3604</v>
      </c>
      <c r="K1699">
        <v>10034</v>
      </c>
      <c r="L1699" t="s">
        <v>3610</v>
      </c>
      <c r="M1699" t="s">
        <v>3610</v>
      </c>
      <c r="O1699" t="s">
        <v>4212</v>
      </c>
      <c r="P1699" t="s">
        <v>4243</v>
      </c>
      <c r="Q1699" t="s">
        <v>4254</v>
      </c>
      <c r="R1699" t="s">
        <v>4258</v>
      </c>
      <c r="S1699" t="s">
        <v>3611</v>
      </c>
      <c r="U1699" t="s">
        <v>4270</v>
      </c>
      <c r="V1699" t="s">
        <v>4274</v>
      </c>
      <c r="W1699" t="s">
        <v>435</v>
      </c>
      <c r="X1699">
        <v>960</v>
      </c>
      <c r="Y1699" t="s">
        <v>4351</v>
      </c>
      <c r="Z1699" t="s">
        <v>4354</v>
      </c>
      <c r="AA1699" t="s">
        <v>4376</v>
      </c>
      <c r="AB1699" t="s">
        <v>5719</v>
      </c>
      <c r="AD1699" t="s">
        <v>7050</v>
      </c>
      <c r="AE1699">
        <v>101</v>
      </c>
      <c r="AF1699" t="s">
        <v>7105</v>
      </c>
      <c r="AG1699" t="s">
        <v>3745</v>
      </c>
      <c r="AH1699">
        <v>16</v>
      </c>
      <c r="AI1699">
        <v>1</v>
      </c>
      <c r="AJ1699">
        <v>0</v>
      </c>
      <c r="AK1699">
        <v>477.76</v>
      </c>
      <c r="AN1699" t="s">
        <v>7138</v>
      </c>
      <c r="AO1699">
        <v>58000</v>
      </c>
      <c r="AQ1699" t="s">
        <v>7198</v>
      </c>
      <c r="AR1699" t="s">
        <v>7205</v>
      </c>
      <c r="AS1699" t="s">
        <v>7231</v>
      </c>
      <c r="AT1699" t="s">
        <v>7279</v>
      </c>
      <c r="AU1699">
        <v>53.15</v>
      </c>
      <c r="AV1699" t="s">
        <v>679</v>
      </c>
      <c r="AW1699" t="s">
        <v>7341</v>
      </c>
    </row>
    <row r="1700" spans="1:50">
      <c r="A1700" s="1">
        <f>HYPERLINK("https://lsnyc.legalserver.org/matter/dynamic-profile/view/1835983","17-1835983")</f>
        <v>0</v>
      </c>
      <c r="B1700" t="s">
        <v>53</v>
      </c>
      <c r="C1700" t="s">
        <v>105</v>
      </c>
      <c r="D1700" t="s">
        <v>449</v>
      </c>
      <c r="F1700" t="s">
        <v>725</v>
      </c>
      <c r="G1700" t="s">
        <v>1846</v>
      </c>
      <c r="H1700" t="s">
        <v>2734</v>
      </c>
      <c r="I1700" t="s">
        <v>3287</v>
      </c>
      <c r="J1700" t="s">
        <v>3604</v>
      </c>
      <c r="K1700">
        <v>10040</v>
      </c>
      <c r="L1700" t="s">
        <v>3610</v>
      </c>
      <c r="M1700" t="s">
        <v>3609</v>
      </c>
      <c r="O1700" t="s">
        <v>4220</v>
      </c>
      <c r="P1700" t="s">
        <v>4243</v>
      </c>
      <c r="R1700" t="s">
        <v>4258</v>
      </c>
      <c r="S1700" t="s">
        <v>3610</v>
      </c>
      <c r="U1700" t="s">
        <v>4268</v>
      </c>
      <c r="W1700" t="s">
        <v>4282</v>
      </c>
      <c r="X1700">
        <v>1102</v>
      </c>
      <c r="Y1700" t="s">
        <v>4351</v>
      </c>
      <c r="Z1700" t="s">
        <v>4352</v>
      </c>
      <c r="AB1700" t="s">
        <v>5720</v>
      </c>
      <c r="AD1700" t="s">
        <v>7051</v>
      </c>
      <c r="AE1700">
        <v>43</v>
      </c>
      <c r="AF1700" t="s">
        <v>7101</v>
      </c>
      <c r="AG1700" t="s">
        <v>3745</v>
      </c>
      <c r="AH1700">
        <v>12</v>
      </c>
      <c r="AI1700">
        <v>2</v>
      </c>
      <c r="AJ1700">
        <v>0</v>
      </c>
      <c r="AK1700">
        <v>480.3</v>
      </c>
      <c r="AL1700" t="s">
        <v>4311</v>
      </c>
      <c r="AN1700" t="s">
        <v>7138</v>
      </c>
      <c r="AO1700">
        <v>78000</v>
      </c>
      <c r="AU1700">
        <v>0</v>
      </c>
      <c r="AW1700" t="s">
        <v>7341</v>
      </c>
    </row>
    <row r="1701" spans="1:50">
      <c r="A1701" s="1">
        <f>HYPERLINK("https://lsnyc.legalserver.org/matter/dynamic-profile/view/1903227","19-1903227")</f>
        <v>0</v>
      </c>
      <c r="B1701" t="s">
        <v>64</v>
      </c>
      <c r="C1701" t="s">
        <v>104</v>
      </c>
      <c r="D1701" t="s">
        <v>396</v>
      </c>
      <c r="E1701" t="s">
        <v>678</v>
      </c>
      <c r="F1701" t="s">
        <v>1119</v>
      </c>
      <c r="G1701" t="s">
        <v>2413</v>
      </c>
      <c r="H1701" t="s">
        <v>3256</v>
      </c>
      <c r="I1701" t="s">
        <v>3591</v>
      </c>
      <c r="J1701" t="s">
        <v>3604</v>
      </c>
      <c r="K1701">
        <v>10034</v>
      </c>
      <c r="L1701" t="s">
        <v>3610</v>
      </c>
      <c r="M1701" t="s">
        <v>3609</v>
      </c>
      <c r="O1701" t="s">
        <v>4219</v>
      </c>
      <c r="P1701" t="s">
        <v>4242</v>
      </c>
      <c r="Q1701" t="s">
        <v>4250</v>
      </c>
      <c r="R1701" t="s">
        <v>4258</v>
      </c>
      <c r="S1701" t="s">
        <v>3611</v>
      </c>
      <c r="U1701" t="s">
        <v>4268</v>
      </c>
      <c r="W1701" t="s">
        <v>396</v>
      </c>
      <c r="X1701">
        <v>1900</v>
      </c>
      <c r="Y1701" t="s">
        <v>4351</v>
      </c>
      <c r="Z1701" t="s">
        <v>4354</v>
      </c>
      <c r="AA1701" t="s">
        <v>4373</v>
      </c>
      <c r="AB1701" t="s">
        <v>5721</v>
      </c>
      <c r="AD1701" t="s">
        <v>7052</v>
      </c>
      <c r="AE1701">
        <v>85</v>
      </c>
      <c r="AF1701" t="s">
        <v>7101</v>
      </c>
      <c r="AG1701" t="s">
        <v>3745</v>
      </c>
      <c r="AH1701">
        <v>10</v>
      </c>
      <c r="AI1701">
        <v>1</v>
      </c>
      <c r="AJ1701">
        <v>0</v>
      </c>
      <c r="AK1701">
        <v>480.38</v>
      </c>
      <c r="AN1701" t="s">
        <v>7138</v>
      </c>
      <c r="AO1701">
        <v>60000</v>
      </c>
      <c r="AU1701">
        <v>1.3</v>
      </c>
      <c r="AV1701" t="s">
        <v>666</v>
      </c>
      <c r="AW1701" t="s">
        <v>7342</v>
      </c>
      <c r="AX1701" t="s">
        <v>7377</v>
      </c>
    </row>
    <row r="1702" spans="1:50">
      <c r="A1702" s="1">
        <f>HYPERLINK("https://lsnyc.legalserver.org/matter/dynamic-profile/view/1877603","18-1877603")</f>
        <v>0</v>
      </c>
      <c r="B1702" t="s">
        <v>63</v>
      </c>
      <c r="C1702" t="s">
        <v>104</v>
      </c>
      <c r="D1702" t="s">
        <v>108</v>
      </c>
      <c r="E1702" t="s">
        <v>108</v>
      </c>
      <c r="F1702" t="s">
        <v>716</v>
      </c>
      <c r="G1702" t="s">
        <v>1587</v>
      </c>
      <c r="H1702" t="s">
        <v>2487</v>
      </c>
      <c r="J1702" t="s">
        <v>3604</v>
      </c>
      <c r="K1702">
        <v>10033</v>
      </c>
      <c r="L1702" t="s">
        <v>3610</v>
      </c>
      <c r="M1702" t="s">
        <v>3610</v>
      </c>
      <c r="N1702" t="s">
        <v>4206</v>
      </c>
      <c r="O1702" t="s">
        <v>4213</v>
      </c>
      <c r="P1702" t="s">
        <v>4241</v>
      </c>
      <c r="Q1702" t="s">
        <v>4248</v>
      </c>
      <c r="R1702" t="s">
        <v>4258</v>
      </c>
      <c r="S1702" t="s">
        <v>3610</v>
      </c>
      <c r="U1702" t="s">
        <v>4268</v>
      </c>
      <c r="W1702" t="s">
        <v>308</v>
      </c>
      <c r="X1702">
        <v>1200</v>
      </c>
      <c r="Y1702" t="s">
        <v>4351</v>
      </c>
      <c r="Z1702" t="s">
        <v>4358</v>
      </c>
      <c r="AA1702" t="s">
        <v>4379</v>
      </c>
      <c r="AB1702" t="s">
        <v>4427</v>
      </c>
      <c r="AE1702">
        <v>25</v>
      </c>
      <c r="AF1702" t="s">
        <v>7101</v>
      </c>
      <c r="AG1702" t="s">
        <v>3745</v>
      </c>
      <c r="AH1702">
        <v>37</v>
      </c>
      <c r="AI1702">
        <v>2</v>
      </c>
      <c r="AJ1702">
        <v>1</v>
      </c>
      <c r="AK1702">
        <v>481.23</v>
      </c>
      <c r="AN1702" t="s">
        <v>7138</v>
      </c>
      <c r="AO1702">
        <v>100000</v>
      </c>
      <c r="AU1702">
        <v>0.1</v>
      </c>
      <c r="AV1702" t="s">
        <v>108</v>
      </c>
      <c r="AW1702" t="s">
        <v>63</v>
      </c>
    </row>
    <row r="1703" spans="1:50">
      <c r="A1703" s="1">
        <f>HYPERLINK("https://lsnyc.legalserver.org/matter/dynamic-profile/view/1860988","18-1860988")</f>
        <v>0</v>
      </c>
      <c r="B1703" t="s">
        <v>51</v>
      </c>
      <c r="C1703" t="s">
        <v>104</v>
      </c>
      <c r="D1703" t="s">
        <v>475</v>
      </c>
      <c r="E1703" t="s">
        <v>293</v>
      </c>
      <c r="F1703" t="s">
        <v>1528</v>
      </c>
      <c r="G1703" t="s">
        <v>2414</v>
      </c>
      <c r="H1703" t="s">
        <v>2561</v>
      </c>
      <c r="I1703" t="s">
        <v>3344</v>
      </c>
      <c r="J1703" t="s">
        <v>3604</v>
      </c>
      <c r="K1703">
        <v>10029</v>
      </c>
      <c r="L1703" t="s">
        <v>3610</v>
      </c>
      <c r="M1703" t="s">
        <v>3610</v>
      </c>
      <c r="O1703" t="s">
        <v>4211</v>
      </c>
      <c r="P1703" t="s">
        <v>4242</v>
      </c>
      <c r="Q1703" t="s">
        <v>4250</v>
      </c>
      <c r="R1703" t="s">
        <v>4258</v>
      </c>
      <c r="S1703" t="s">
        <v>3610</v>
      </c>
      <c r="U1703" t="s">
        <v>4268</v>
      </c>
      <c r="V1703" t="s">
        <v>4274</v>
      </c>
      <c r="W1703" t="s">
        <v>475</v>
      </c>
      <c r="X1703">
        <v>2047.96</v>
      </c>
      <c r="Y1703" t="s">
        <v>4351</v>
      </c>
      <c r="Z1703" t="s">
        <v>4361</v>
      </c>
      <c r="AA1703" t="s">
        <v>4373</v>
      </c>
      <c r="AB1703" t="s">
        <v>5650</v>
      </c>
      <c r="AD1703" t="s">
        <v>7053</v>
      </c>
      <c r="AE1703">
        <v>28</v>
      </c>
      <c r="AF1703" t="s">
        <v>7101</v>
      </c>
      <c r="AG1703" t="s">
        <v>3745</v>
      </c>
      <c r="AH1703">
        <v>9</v>
      </c>
      <c r="AI1703">
        <v>2</v>
      </c>
      <c r="AJ1703">
        <v>0</v>
      </c>
      <c r="AK1703">
        <v>486.03</v>
      </c>
      <c r="AN1703" t="s">
        <v>7138</v>
      </c>
      <c r="AO1703">
        <v>80000</v>
      </c>
      <c r="AU1703">
        <v>2.5</v>
      </c>
      <c r="AV1703" t="s">
        <v>617</v>
      </c>
      <c r="AW1703" t="s">
        <v>7341</v>
      </c>
    </row>
    <row r="1704" spans="1:50">
      <c r="A1704" s="1">
        <f>HYPERLINK("https://lsnyc.legalserver.org/matter/dynamic-profile/view/1856063","18-1856063")</f>
        <v>0</v>
      </c>
      <c r="B1704" t="s">
        <v>64</v>
      </c>
      <c r="C1704" t="s">
        <v>105</v>
      </c>
      <c r="D1704" t="s">
        <v>456</v>
      </c>
      <c r="F1704" t="s">
        <v>715</v>
      </c>
      <c r="G1704" t="s">
        <v>1656</v>
      </c>
      <c r="H1704" t="s">
        <v>2642</v>
      </c>
      <c r="J1704" t="s">
        <v>3604</v>
      </c>
      <c r="K1704">
        <v>10034</v>
      </c>
      <c r="L1704" t="s">
        <v>3610</v>
      </c>
      <c r="M1704" t="s">
        <v>3609</v>
      </c>
      <c r="O1704" t="s">
        <v>4213</v>
      </c>
      <c r="P1704" t="s">
        <v>4241</v>
      </c>
      <c r="R1704" t="s">
        <v>4258</v>
      </c>
      <c r="S1704" t="s">
        <v>3610</v>
      </c>
      <c r="U1704" t="s">
        <v>4268</v>
      </c>
      <c r="W1704" t="s">
        <v>456</v>
      </c>
      <c r="X1704">
        <v>0</v>
      </c>
      <c r="Y1704" t="s">
        <v>4351</v>
      </c>
      <c r="Z1704" t="s">
        <v>4352</v>
      </c>
      <c r="AB1704" t="s">
        <v>5722</v>
      </c>
      <c r="AE1704">
        <v>49</v>
      </c>
      <c r="AF1704" t="s">
        <v>7101</v>
      </c>
      <c r="AG1704" t="s">
        <v>3745</v>
      </c>
      <c r="AH1704">
        <v>0</v>
      </c>
      <c r="AI1704">
        <v>2</v>
      </c>
      <c r="AJ1704">
        <v>0</v>
      </c>
      <c r="AK1704">
        <v>486.45</v>
      </c>
      <c r="AN1704" t="s">
        <v>7139</v>
      </c>
      <c r="AO1704">
        <v>79000</v>
      </c>
      <c r="AU1704">
        <v>3.15</v>
      </c>
      <c r="AV1704" t="s">
        <v>510</v>
      </c>
      <c r="AW1704" t="s">
        <v>7342</v>
      </c>
    </row>
    <row r="1705" spans="1:50">
      <c r="A1705" s="1">
        <f>HYPERLINK("https://lsnyc.legalserver.org/matter/dynamic-profile/view/0829646","17-0829646")</f>
        <v>0</v>
      </c>
      <c r="B1705" t="s">
        <v>67</v>
      </c>
      <c r="C1705" t="s">
        <v>105</v>
      </c>
      <c r="D1705" t="s">
        <v>641</v>
      </c>
      <c r="F1705" t="s">
        <v>1529</v>
      </c>
      <c r="G1705" t="s">
        <v>2415</v>
      </c>
      <c r="H1705" t="s">
        <v>3229</v>
      </c>
      <c r="I1705" t="s">
        <v>3474</v>
      </c>
      <c r="J1705" t="s">
        <v>3604</v>
      </c>
      <c r="K1705">
        <v>10024</v>
      </c>
      <c r="L1705" t="s">
        <v>3609</v>
      </c>
      <c r="M1705" t="s">
        <v>3609</v>
      </c>
      <c r="O1705" t="s">
        <v>4213</v>
      </c>
      <c r="P1705" t="s">
        <v>4245</v>
      </c>
      <c r="R1705" t="s">
        <v>4258</v>
      </c>
      <c r="S1705" t="s">
        <v>3610</v>
      </c>
      <c r="U1705" t="s">
        <v>4268</v>
      </c>
      <c r="W1705" t="s">
        <v>238</v>
      </c>
      <c r="X1705">
        <v>3150</v>
      </c>
      <c r="Y1705" t="s">
        <v>4351</v>
      </c>
      <c r="Z1705" t="s">
        <v>4352</v>
      </c>
      <c r="AB1705" t="s">
        <v>5723</v>
      </c>
      <c r="AD1705" t="s">
        <v>7054</v>
      </c>
      <c r="AE1705">
        <v>12</v>
      </c>
      <c r="AF1705" t="s">
        <v>7103</v>
      </c>
      <c r="AG1705" t="s">
        <v>3745</v>
      </c>
      <c r="AH1705">
        <v>1</v>
      </c>
      <c r="AI1705">
        <v>2</v>
      </c>
      <c r="AJ1705">
        <v>0</v>
      </c>
      <c r="AK1705">
        <v>492.61</v>
      </c>
      <c r="AN1705" t="s">
        <v>7138</v>
      </c>
      <c r="AO1705">
        <v>80000</v>
      </c>
      <c r="AU1705">
        <v>0</v>
      </c>
      <c r="AW1705" t="s">
        <v>7341</v>
      </c>
    </row>
    <row r="1706" spans="1:50">
      <c r="A1706" s="1">
        <f>HYPERLINK("https://lsnyc.legalserver.org/matter/dynamic-profile/view/1902191","19-1902191")</f>
        <v>0</v>
      </c>
      <c r="B1706" t="s">
        <v>52</v>
      </c>
      <c r="C1706" t="s">
        <v>105</v>
      </c>
      <c r="D1706" t="s">
        <v>467</v>
      </c>
      <c r="F1706" t="s">
        <v>1114</v>
      </c>
      <c r="G1706" t="s">
        <v>2416</v>
      </c>
      <c r="H1706" t="s">
        <v>3166</v>
      </c>
      <c r="I1706" t="s">
        <v>3592</v>
      </c>
      <c r="J1706" t="s">
        <v>3604</v>
      </c>
      <c r="K1706">
        <v>10033</v>
      </c>
      <c r="L1706" t="s">
        <v>3610</v>
      </c>
      <c r="M1706" t="s">
        <v>3609</v>
      </c>
      <c r="P1706" t="s">
        <v>4246</v>
      </c>
      <c r="R1706" t="s">
        <v>4258</v>
      </c>
      <c r="S1706" t="s">
        <v>3611</v>
      </c>
      <c r="U1706" t="s">
        <v>4268</v>
      </c>
      <c r="W1706" t="s">
        <v>467</v>
      </c>
      <c r="X1706">
        <v>2070</v>
      </c>
      <c r="Y1706" t="s">
        <v>4351</v>
      </c>
      <c r="Z1706" t="s">
        <v>4354</v>
      </c>
      <c r="AB1706" t="s">
        <v>5724</v>
      </c>
      <c r="AD1706" t="s">
        <v>7055</v>
      </c>
      <c r="AE1706">
        <v>91</v>
      </c>
      <c r="AF1706" t="s">
        <v>7101</v>
      </c>
      <c r="AG1706" t="s">
        <v>3745</v>
      </c>
      <c r="AH1706">
        <v>7</v>
      </c>
      <c r="AI1706">
        <v>1</v>
      </c>
      <c r="AJ1706">
        <v>0</v>
      </c>
      <c r="AK1706">
        <v>498.83</v>
      </c>
      <c r="AN1706" t="s">
        <v>7138</v>
      </c>
      <c r="AO1706">
        <v>62304</v>
      </c>
      <c r="AU1706">
        <v>0</v>
      </c>
      <c r="AW1706" t="s">
        <v>7342</v>
      </c>
      <c r="AX1706" t="s">
        <v>7377</v>
      </c>
    </row>
    <row r="1707" spans="1:50">
      <c r="A1707" s="1">
        <f>HYPERLINK("https://lsnyc.legalserver.org/matter/dynamic-profile/view/1874809","18-1874809")</f>
        <v>0</v>
      </c>
      <c r="B1707" t="s">
        <v>73</v>
      </c>
      <c r="C1707" t="s">
        <v>104</v>
      </c>
      <c r="D1707" t="s">
        <v>646</v>
      </c>
      <c r="E1707" t="s">
        <v>360</v>
      </c>
      <c r="F1707" t="s">
        <v>1040</v>
      </c>
      <c r="G1707" t="s">
        <v>1579</v>
      </c>
      <c r="H1707" t="s">
        <v>3238</v>
      </c>
      <c r="I1707" t="s">
        <v>3314</v>
      </c>
      <c r="J1707" t="s">
        <v>3604</v>
      </c>
      <c r="K1707">
        <v>10032</v>
      </c>
      <c r="L1707" t="s">
        <v>3610</v>
      </c>
      <c r="M1707" t="s">
        <v>3609</v>
      </c>
      <c r="O1707" t="s">
        <v>4211</v>
      </c>
      <c r="P1707" t="s">
        <v>4242</v>
      </c>
      <c r="Q1707" t="s">
        <v>4250</v>
      </c>
      <c r="R1707" t="s">
        <v>4258</v>
      </c>
      <c r="S1707" t="s">
        <v>3611</v>
      </c>
      <c r="U1707" t="s">
        <v>4268</v>
      </c>
      <c r="V1707" t="s">
        <v>4274</v>
      </c>
      <c r="W1707" t="s">
        <v>646</v>
      </c>
      <c r="X1707">
        <v>1136.19</v>
      </c>
      <c r="Y1707" t="s">
        <v>4351</v>
      </c>
      <c r="Z1707" t="s">
        <v>4354</v>
      </c>
      <c r="AA1707" t="s">
        <v>4373</v>
      </c>
      <c r="AB1707" t="s">
        <v>5725</v>
      </c>
      <c r="AD1707" t="s">
        <v>7056</v>
      </c>
      <c r="AE1707">
        <v>53</v>
      </c>
      <c r="AF1707" t="s">
        <v>7101</v>
      </c>
      <c r="AG1707" t="s">
        <v>3745</v>
      </c>
      <c r="AH1707">
        <v>40</v>
      </c>
      <c r="AI1707">
        <v>3</v>
      </c>
      <c r="AJ1707">
        <v>0</v>
      </c>
      <c r="AK1707">
        <v>503.37</v>
      </c>
      <c r="AN1707" t="s">
        <v>7138</v>
      </c>
      <c r="AO1707">
        <v>104600</v>
      </c>
      <c r="AU1707">
        <v>1</v>
      </c>
      <c r="AV1707" t="s">
        <v>646</v>
      </c>
      <c r="AW1707" t="s">
        <v>7342</v>
      </c>
    </row>
    <row r="1708" spans="1:50">
      <c r="A1708" s="1">
        <f>HYPERLINK("https://lsnyc.legalserver.org/matter/dynamic-profile/view/0826228","17-0826228")</f>
        <v>0</v>
      </c>
      <c r="B1708" t="s">
        <v>64</v>
      </c>
      <c r="C1708" t="s">
        <v>104</v>
      </c>
      <c r="D1708" t="s">
        <v>394</v>
      </c>
      <c r="E1708" t="s">
        <v>277</v>
      </c>
      <c r="F1708" t="s">
        <v>713</v>
      </c>
      <c r="G1708" t="s">
        <v>2417</v>
      </c>
      <c r="H1708" t="s">
        <v>2576</v>
      </c>
      <c r="I1708" t="s">
        <v>3348</v>
      </c>
      <c r="J1708" t="s">
        <v>3604</v>
      </c>
      <c r="K1708">
        <v>10040</v>
      </c>
      <c r="L1708" t="s">
        <v>3610</v>
      </c>
      <c r="M1708" t="s">
        <v>3609</v>
      </c>
      <c r="O1708" t="s">
        <v>4213</v>
      </c>
      <c r="P1708" t="s">
        <v>4241</v>
      </c>
      <c r="Q1708" t="s">
        <v>4248</v>
      </c>
      <c r="R1708" t="s">
        <v>4258</v>
      </c>
      <c r="S1708" t="s">
        <v>3610</v>
      </c>
      <c r="U1708" t="s">
        <v>4268</v>
      </c>
      <c r="W1708" t="s">
        <v>4301</v>
      </c>
      <c r="X1708">
        <v>886.1900000000001</v>
      </c>
      <c r="Y1708" t="s">
        <v>4351</v>
      </c>
      <c r="Z1708" t="s">
        <v>4357</v>
      </c>
      <c r="AA1708" t="s">
        <v>4379</v>
      </c>
      <c r="AB1708" t="s">
        <v>5726</v>
      </c>
      <c r="AD1708" t="s">
        <v>7057</v>
      </c>
      <c r="AE1708">
        <v>83</v>
      </c>
      <c r="AF1708" t="s">
        <v>7101</v>
      </c>
      <c r="AG1708" t="s">
        <v>3745</v>
      </c>
      <c r="AH1708">
        <v>29</v>
      </c>
      <c r="AI1708">
        <v>3</v>
      </c>
      <c r="AJ1708">
        <v>0</v>
      </c>
      <c r="AK1708">
        <v>511.23</v>
      </c>
      <c r="AL1708" t="s">
        <v>518</v>
      </c>
      <c r="AN1708" t="s">
        <v>7138</v>
      </c>
      <c r="AO1708">
        <v>103064</v>
      </c>
      <c r="AU1708">
        <v>0</v>
      </c>
      <c r="AV1708" t="s">
        <v>191</v>
      </c>
      <c r="AW1708" t="s">
        <v>7341</v>
      </c>
    </row>
    <row r="1709" spans="1:50">
      <c r="A1709" s="1">
        <f>HYPERLINK("https://lsnyc.legalserver.org/matter/dynamic-profile/view/1880520","18-1880520")</f>
        <v>0</v>
      </c>
      <c r="B1709" t="s">
        <v>52</v>
      </c>
      <c r="C1709" t="s">
        <v>104</v>
      </c>
      <c r="D1709" t="s">
        <v>263</v>
      </c>
      <c r="E1709" t="s">
        <v>442</v>
      </c>
      <c r="F1709" t="s">
        <v>1530</v>
      </c>
      <c r="G1709" t="s">
        <v>2418</v>
      </c>
      <c r="H1709" t="s">
        <v>2754</v>
      </c>
      <c r="I1709" t="s">
        <v>3593</v>
      </c>
      <c r="J1709" t="s">
        <v>3604</v>
      </c>
      <c r="K1709">
        <v>10040</v>
      </c>
      <c r="L1709" t="s">
        <v>3611</v>
      </c>
      <c r="M1709" t="s">
        <v>3610</v>
      </c>
      <c r="P1709" t="s">
        <v>4242</v>
      </c>
      <c r="Q1709" t="s">
        <v>4250</v>
      </c>
      <c r="R1709" t="s">
        <v>4258</v>
      </c>
      <c r="S1709" t="s">
        <v>3611</v>
      </c>
      <c r="U1709" t="s">
        <v>4268</v>
      </c>
      <c r="W1709" t="s">
        <v>263</v>
      </c>
      <c r="X1709">
        <v>1625</v>
      </c>
      <c r="Y1709" t="s">
        <v>4351</v>
      </c>
      <c r="Z1709" t="s">
        <v>4354</v>
      </c>
      <c r="AA1709" t="s">
        <v>4373</v>
      </c>
      <c r="AB1709" t="s">
        <v>5277</v>
      </c>
      <c r="AD1709" t="s">
        <v>7058</v>
      </c>
      <c r="AE1709">
        <v>47</v>
      </c>
      <c r="AF1709" t="s">
        <v>7105</v>
      </c>
      <c r="AG1709" t="s">
        <v>3745</v>
      </c>
      <c r="AH1709">
        <v>0</v>
      </c>
      <c r="AI1709">
        <v>2</v>
      </c>
      <c r="AJ1709">
        <v>0</v>
      </c>
      <c r="AK1709">
        <v>516.4</v>
      </c>
      <c r="AN1709" t="s">
        <v>7138</v>
      </c>
      <c r="AO1709">
        <v>85000</v>
      </c>
      <c r="AU1709">
        <v>0.8</v>
      </c>
      <c r="AV1709" t="s">
        <v>4318</v>
      </c>
      <c r="AW1709" t="s">
        <v>7342</v>
      </c>
    </row>
    <row r="1710" spans="1:50">
      <c r="A1710" s="1">
        <f>HYPERLINK("https://lsnyc.legalserver.org/matter/dynamic-profile/view/1886079","18-1886079")</f>
        <v>0</v>
      </c>
      <c r="B1710" t="s">
        <v>53</v>
      </c>
      <c r="C1710" t="s">
        <v>105</v>
      </c>
      <c r="D1710" t="s">
        <v>109</v>
      </c>
      <c r="F1710" t="s">
        <v>978</v>
      </c>
      <c r="G1710" t="s">
        <v>1622</v>
      </c>
      <c r="H1710" t="s">
        <v>2998</v>
      </c>
      <c r="I1710">
        <v>8</v>
      </c>
      <c r="J1710" t="s">
        <v>3604</v>
      </c>
      <c r="K1710">
        <v>10029</v>
      </c>
      <c r="L1710" t="s">
        <v>3610</v>
      </c>
      <c r="M1710" t="s">
        <v>3610</v>
      </c>
      <c r="N1710" t="s">
        <v>3983</v>
      </c>
      <c r="O1710" t="s">
        <v>4213</v>
      </c>
      <c r="P1710" t="s">
        <v>4241</v>
      </c>
      <c r="R1710" t="s">
        <v>4258</v>
      </c>
      <c r="S1710" t="s">
        <v>3610</v>
      </c>
      <c r="U1710" t="s">
        <v>4268</v>
      </c>
      <c r="V1710" t="s">
        <v>4274</v>
      </c>
      <c r="W1710" t="s">
        <v>109</v>
      </c>
      <c r="X1710">
        <v>932.17</v>
      </c>
      <c r="Y1710" t="s">
        <v>4351</v>
      </c>
      <c r="Z1710" t="s">
        <v>4352</v>
      </c>
      <c r="AB1710" t="s">
        <v>5727</v>
      </c>
      <c r="AD1710" t="s">
        <v>7059</v>
      </c>
      <c r="AE1710">
        <v>6</v>
      </c>
      <c r="AF1710" t="s">
        <v>7101</v>
      </c>
      <c r="AG1710" t="s">
        <v>3745</v>
      </c>
      <c r="AH1710">
        <v>23</v>
      </c>
      <c r="AI1710">
        <v>4</v>
      </c>
      <c r="AJ1710">
        <v>1</v>
      </c>
      <c r="AK1710">
        <v>516.66</v>
      </c>
      <c r="AN1710" t="s">
        <v>7139</v>
      </c>
      <c r="AO1710">
        <v>152000</v>
      </c>
      <c r="AU1710">
        <v>1.25</v>
      </c>
      <c r="AV1710" t="s">
        <v>676</v>
      </c>
      <c r="AW1710" t="s">
        <v>7341</v>
      </c>
    </row>
    <row r="1711" spans="1:50">
      <c r="A1711" s="1">
        <f>HYPERLINK("https://lsnyc.legalserver.org/matter/dynamic-profile/view/1890836","19-1890836")</f>
        <v>0</v>
      </c>
      <c r="B1711" t="s">
        <v>64</v>
      </c>
      <c r="C1711" t="s">
        <v>104</v>
      </c>
      <c r="D1711" t="s">
        <v>569</v>
      </c>
      <c r="E1711" t="s">
        <v>131</v>
      </c>
      <c r="F1711" t="s">
        <v>1145</v>
      </c>
      <c r="G1711" t="s">
        <v>2419</v>
      </c>
      <c r="H1711" t="s">
        <v>2983</v>
      </c>
      <c r="I1711" t="s">
        <v>3320</v>
      </c>
      <c r="J1711" t="s">
        <v>3604</v>
      </c>
      <c r="K1711">
        <v>10033</v>
      </c>
      <c r="L1711" t="s">
        <v>3610</v>
      </c>
      <c r="M1711" t="s">
        <v>3610</v>
      </c>
      <c r="O1711" t="s">
        <v>4219</v>
      </c>
      <c r="P1711" t="s">
        <v>4242</v>
      </c>
      <c r="Q1711" t="s">
        <v>4250</v>
      </c>
      <c r="R1711" t="s">
        <v>4258</v>
      </c>
      <c r="S1711" t="s">
        <v>3610</v>
      </c>
      <c r="U1711" t="s">
        <v>4268</v>
      </c>
      <c r="W1711" t="s">
        <v>569</v>
      </c>
      <c r="X1711">
        <v>1200</v>
      </c>
      <c r="Y1711" t="s">
        <v>4351</v>
      </c>
      <c r="Z1711" t="s">
        <v>4359</v>
      </c>
      <c r="AA1711" t="s">
        <v>4373</v>
      </c>
      <c r="AB1711" t="s">
        <v>5728</v>
      </c>
      <c r="AD1711" t="s">
        <v>7060</v>
      </c>
      <c r="AE1711">
        <v>60</v>
      </c>
      <c r="AF1711" t="s">
        <v>7101</v>
      </c>
      <c r="AG1711" t="s">
        <v>3745</v>
      </c>
      <c r="AH1711">
        <v>22</v>
      </c>
      <c r="AI1711">
        <v>1</v>
      </c>
      <c r="AJ1711">
        <v>0</v>
      </c>
      <c r="AK1711">
        <v>520.42</v>
      </c>
      <c r="AN1711" t="s">
        <v>7138</v>
      </c>
      <c r="AO1711">
        <v>65000</v>
      </c>
      <c r="AU1711">
        <v>0.01</v>
      </c>
      <c r="AV1711" t="s">
        <v>131</v>
      </c>
      <c r="AW1711" t="s">
        <v>7342</v>
      </c>
      <c r="AX1711" t="s">
        <v>7377</v>
      </c>
    </row>
    <row r="1712" spans="1:50">
      <c r="A1712" s="1">
        <f>HYPERLINK("https://lsnyc.legalserver.org/matter/dynamic-profile/view/1846417","17-1846417")</f>
        <v>0</v>
      </c>
      <c r="B1712" t="s">
        <v>68</v>
      </c>
      <c r="C1712" t="s">
        <v>105</v>
      </c>
      <c r="D1712" t="s">
        <v>647</v>
      </c>
      <c r="F1712" t="s">
        <v>771</v>
      </c>
      <c r="G1712" t="s">
        <v>2420</v>
      </c>
      <c r="H1712" t="s">
        <v>3257</v>
      </c>
      <c r="I1712" t="s">
        <v>3306</v>
      </c>
      <c r="J1712" t="s">
        <v>3604</v>
      </c>
      <c r="K1712">
        <v>10035</v>
      </c>
      <c r="L1712" t="s">
        <v>3610</v>
      </c>
      <c r="M1712" t="s">
        <v>3609</v>
      </c>
      <c r="N1712" t="s">
        <v>3654</v>
      </c>
      <c r="O1712" t="s">
        <v>4213</v>
      </c>
      <c r="P1712" t="s">
        <v>4241</v>
      </c>
      <c r="R1712" t="s">
        <v>4258</v>
      </c>
      <c r="S1712" t="s">
        <v>3610</v>
      </c>
      <c r="U1712" t="s">
        <v>4268</v>
      </c>
      <c r="V1712" t="s">
        <v>4274</v>
      </c>
      <c r="W1712" t="s">
        <v>647</v>
      </c>
      <c r="X1712">
        <v>1830</v>
      </c>
      <c r="Y1712" t="s">
        <v>4351</v>
      </c>
      <c r="Z1712" t="s">
        <v>4352</v>
      </c>
      <c r="AB1712" t="s">
        <v>5729</v>
      </c>
      <c r="AD1712" t="s">
        <v>7061</v>
      </c>
      <c r="AE1712">
        <v>35</v>
      </c>
      <c r="AF1712" t="s">
        <v>7101</v>
      </c>
      <c r="AG1712" t="s">
        <v>3745</v>
      </c>
      <c r="AH1712">
        <v>8</v>
      </c>
      <c r="AI1712">
        <v>1</v>
      </c>
      <c r="AJ1712">
        <v>0</v>
      </c>
      <c r="AK1712">
        <v>522.39</v>
      </c>
      <c r="AN1712" t="s">
        <v>7138</v>
      </c>
      <c r="AO1712">
        <v>63000</v>
      </c>
      <c r="AU1712">
        <v>1.35</v>
      </c>
      <c r="AV1712" t="s">
        <v>150</v>
      </c>
      <c r="AW1712" t="s">
        <v>7341</v>
      </c>
      <c r="AX1712" t="s">
        <v>7377</v>
      </c>
    </row>
    <row r="1713" spans="1:50">
      <c r="A1713" s="1">
        <f>HYPERLINK("https://lsnyc.legalserver.org/matter/dynamic-profile/view/1874199","18-1874199")</f>
        <v>0</v>
      </c>
      <c r="B1713" t="s">
        <v>62</v>
      </c>
      <c r="C1713" t="s">
        <v>105</v>
      </c>
      <c r="D1713" t="s">
        <v>173</v>
      </c>
      <c r="F1713" t="s">
        <v>1531</v>
      </c>
      <c r="G1713" t="s">
        <v>2421</v>
      </c>
      <c r="H1713" t="s">
        <v>2488</v>
      </c>
      <c r="I1713" t="s">
        <v>3416</v>
      </c>
      <c r="J1713" t="s">
        <v>3604</v>
      </c>
      <c r="K1713">
        <v>10033</v>
      </c>
      <c r="L1713" t="s">
        <v>3610</v>
      </c>
      <c r="M1713" t="s">
        <v>3610</v>
      </c>
      <c r="O1713" t="s">
        <v>4213</v>
      </c>
      <c r="P1713" t="s">
        <v>4241</v>
      </c>
      <c r="R1713" t="s">
        <v>4258</v>
      </c>
      <c r="S1713" t="s">
        <v>3610</v>
      </c>
      <c r="U1713" t="s">
        <v>4268</v>
      </c>
      <c r="W1713" t="s">
        <v>173</v>
      </c>
      <c r="X1713">
        <v>2595</v>
      </c>
      <c r="Y1713" t="s">
        <v>4351</v>
      </c>
      <c r="Z1713" t="s">
        <v>4352</v>
      </c>
      <c r="AB1713" t="s">
        <v>5730</v>
      </c>
      <c r="AD1713" t="s">
        <v>7062</v>
      </c>
      <c r="AE1713">
        <v>232</v>
      </c>
      <c r="AF1713" t="s">
        <v>7101</v>
      </c>
      <c r="AG1713" t="s">
        <v>3745</v>
      </c>
      <c r="AH1713">
        <v>1</v>
      </c>
      <c r="AI1713">
        <v>1</v>
      </c>
      <c r="AJ1713">
        <v>0</v>
      </c>
      <c r="AK1713">
        <v>535.42</v>
      </c>
      <c r="AN1713" t="s">
        <v>7138</v>
      </c>
      <c r="AO1713">
        <v>65000</v>
      </c>
      <c r="AU1713">
        <v>0.1</v>
      </c>
      <c r="AV1713" t="s">
        <v>606</v>
      </c>
      <c r="AW1713" t="s">
        <v>7342</v>
      </c>
    </row>
    <row r="1714" spans="1:50">
      <c r="A1714" s="1">
        <f>HYPERLINK("https://lsnyc.legalserver.org/matter/dynamic-profile/view/1867161","18-1867161")</f>
        <v>0</v>
      </c>
      <c r="B1714" t="s">
        <v>64</v>
      </c>
      <c r="C1714" t="s">
        <v>104</v>
      </c>
      <c r="D1714" t="s">
        <v>240</v>
      </c>
      <c r="E1714" t="s">
        <v>165</v>
      </c>
      <c r="F1714" t="s">
        <v>1532</v>
      </c>
      <c r="G1714" t="s">
        <v>2422</v>
      </c>
      <c r="H1714" t="s">
        <v>3258</v>
      </c>
      <c r="I1714" t="s">
        <v>3520</v>
      </c>
      <c r="J1714" t="s">
        <v>3604</v>
      </c>
      <c r="K1714">
        <v>10034</v>
      </c>
      <c r="L1714" t="s">
        <v>3610</v>
      </c>
      <c r="M1714" t="s">
        <v>3609</v>
      </c>
      <c r="O1714" t="s">
        <v>4213</v>
      </c>
      <c r="P1714" t="s">
        <v>4244</v>
      </c>
      <c r="Q1714" t="s">
        <v>4250</v>
      </c>
      <c r="R1714" t="s">
        <v>4258</v>
      </c>
      <c r="S1714" t="s">
        <v>3611</v>
      </c>
      <c r="U1714" t="s">
        <v>4268</v>
      </c>
      <c r="W1714" t="s">
        <v>240</v>
      </c>
      <c r="X1714">
        <v>1900</v>
      </c>
      <c r="Y1714" t="s">
        <v>4351</v>
      </c>
      <c r="Z1714" t="s">
        <v>4354</v>
      </c>
      <c r="AA1714" t="s">
        <v>4373</v>
      </c>
      <c r="AB1714" t="s">
        <v>5731</v>
      </c>
      <c r="AD1714" t="s">
        <v>7063</v>
      </c>
      <c r="AE1714">
        <v>0</v>
      </c>
      <c r="AF1714" t="s">
        <v>7101</v>
      </c>
      <c r="AG1714" t="s">
        <v>3745</v>
      </c>
      <c r="AH1714">
        <v>3</v>
      </c>
      <c r="AI1714">
        <v>2</v>
      </c>
      <c r="AJ1714">
        <v>0</v>
      </c>
      <c r="AK1714">
        <v>540.58</v>
      </c>
      <c r="AN1714" t="s">
        <v>7138</v>
      </c>
      <c r="AO1714">
        <v>88978.85000000001</v>
      </c>
      <c r="AU1714">
        <v>0.1</v>
      </c>
      <c r="AV1714" t="s">
        <v>165</v>
      </c>
      <c r="AW1714" t="s">
        <v>7342</v>
      </c>
    </row>
    <row r="1715" spans="1:50">
      <c r="A1715" s="1">
        <f>HYPERLINK("https://lsnyc.legalserver.org/matter/dynamic-profile/view/1876215","18-1876215")</f>
        <v>0</v>
      </c>
      <c r="B1715" t="s">
        <v>61</v>
      </c>
      <c r="C1715" t="s">
        <v>104</v>
      </c>
      <c r="D1715" t="s">
        <v>138</v>
      </c>
      <c r="E1715" t="s">
        <v>138</v>
      </c>
      <c r="F1715" t="s">
        <v>1533</v>
      </c>
      <c r="G1715" t="s">
        <v>2423</v>
      </c>
      <c r="H1715" t="s">
        <v>3259</v>
      </c>
      <c r="I1715" t="s">
        <v>3356</v>
      </c>
      <c r="J1715" t="s">
        <v>3604</v>
      </c>
      <c r="K1715">
        <v>10040</v>
      </c>
      <c r="L1715" t="s">
        <v>3610</v>
      </c>
      <c r="M1715" t="s">
        <v>3610</v>
      </c>
      <c r="O1715" t="s">
        <v>4218</v>
      </c>
      <c r="P1715" t="s">
        <v>4242</v>
      </c>
      <c r="Q1715" t="s">
        <v>4250</v>
      </c>
      <c r="R1715" t="s">
        <v>4258</v>
      </c>
      <c r="S1715" t="s">
        <v>3611</v>
      </c>
      <c r="U1715" t="s">
        <v>4268</v>
      </c>
      <c r="W1715" t="s">
        <v>138</v>
      </c>
      <c r="X1715">
        <v>1550</v>
      </c>
      <c r="Y1715" t="s">
        <v>4351</v>
      </c>
      <c r="Z1715" t="s">
        <v>4354</v>
      </c>
      <c r="AA1715" t="s">
        <v>4373</v>
      </c>
      <c r="AB1715" t="s">
        <v>5732</v>
      </c>
      <c r="AD1715" t="s">
        <v>7064</v>
      </c>
      <c r="AE1715">
        <v>39</v>
      </c>
      <c r="AF1715" t="s">
        <v>7101</v>
      </c>
      <c r="AG1715" t="s">
        <v>3745</v>
      </c>
      <c r="AH1715">
        <v>7</v>
      </c>
      <c r="AI1715">
        <v>1</v>
      </c>
      <c r="AJ1715">
        <v>0</v>
      </c>
      <c r="AK1715">
        <v>556.84</v>
      </c>
      <c r="AN1715" t="s">
        <v>7138</v>
      </c>
      <c r="AO1715">
        <v>67600</v>
      </c>
      <c r="AU1715">
        <v>2.1</v>
      </c>
      <c r="AV1715" t="s">
        <v>138</v>
      </c>
      <c r="AW1715" t="s">
        <v>7342</v>
      </c>
      <c r="AX1715" t="s">
        <v>7377</v>
      </c>
    </row>
    <row r="1716" spans="1:50">
      <c r="A1716" s="1">
        <f>HYPERLINK("https://lsnyc.legalserver.org/matter/dynamic-profile/view/1898855","19-1898855")</f>
        <v>0</v>
      </c>
      <c r="B1716" t="s">
        <v>61</v>
      </c>
      <c r="C1716" t="s">
        <v>105</v>
      </c>
      <c r="D1716" t="s">
        <v>273</v>
      </c>
      <c r="F1716" t="s">
        <v>1040</v>
      </c>
      <c r="G1716" t="s">
        <v>2424</v>
      </c>
      <c r="H1716" t="s">
        <v>3260</v>
      </c>
      <c r="I1716" t="s">
        <v>3334</v>
      </c>
      <c r="J1716" t="s">
        <v>3604</v>
      </c>
      <c r="K1716">
        <v>10040</v>
      </c>
      <c r="L1716" t="s">
        <v>3610</v>
      </c>
      <c r="M1716" t="s">
        <v>3610</v>
      </c>
      <c r="O1716" t="s">
        <v>4219</v>
      </c>
      <c r="P1716" t="s">
        <v>4242</v>
      </c>
      <c r="R1716" t="s">
        <v>4258</v>
      </c>
      <c r="S1716" t="s">
        <v>3611</v>
      </c>
      <c r="U1716" t="s">
        <v>4268</v>
      </c>
      <c r="W1716" t="s">
        <v>273</v>
      </c>
      <c r="X1716">
        <v>1065</v>
      </c>
      <c r="Y1716" t="s">
        <v>4351</v>
      </c>
      <c r="Z1716" t="s">
        <v>4354</v>
      </c>
      <c r="AB1716" t="s">
        <v>5733</v>
      </c>
      <c r="AD1716" t="s">
        <v>7065</v>
      </c>
      <c r="AE1716">
        <v>30</v>
      </c>
      <c r="AF1716" t="s">
        <v>7101</v>
      </c>
      <c r="AG1716" t="s">
        <v>3745</v>
      </c>
      <c r="AH1716">
        <v>21</v>
      </c>
      <c r="AI1716">
        <v>3</v>
      </c>
      <c r="AJ1716">
        <v>0</v>
      </c>
      <c r="AK1716">
        <v>557.9</v>
      </c>
      <c r="AN1716" t="s">
        <v>7138</v>
      </c>
      <c r="AO1716">
        <v>119000</v>
      </c>
      <c r="AU1716">
        <v>1.5</v>
      </c>
      <c r="AV1716" t="s">
        <v>408</v>
      </c>
      <c r="AW1716" t="s">
        <v>7342</v>
      </c>
      <c r="AX1716" t="s">
        <v>7377</v>
      </c>
    </row>
    <row r="1717" spans="1:50">
      <c r="A1717" s="1">
        <f>HYPERLINK("https://lsnyc.legalserver.org/matter/dynamic-profile/view/1869909","18-1869909")</f>
        <v>0</v>
      </c>
      <c r="B1717" t="s">
        <v>56</v>
      </c>
      <c r="C1717" t="s">
        <v>104</v>
      </c>
      <c r="D1717" t="s">
        <v>128</v>
      </c>
      <c r="E1717" t="s">
        <v>665</v>
      </c>
      <c r="F1717" t="s">
        <v>1534</v>
      </c>
      <c r="G1717" t="s">
        <v>2425</v>
      </c>
      <c r="H1717" t="s">
        <v>3261</v>
      </c>
      <c r="I1717" t="s">
        <v>3594</v>
      </c>
      <c r="J1717" t="s">
        <v>3604</v>
      </c>
      <c r="K1717">
        <v>10034</v>
      </c>
      <c r="L1717" t="s">
        <v>3610</v>
      </c>
      <c r="M1717" t="s">
        <v>3610</v>
      </c>
      <c r="O1717" t="s">
        <v>4218</v>
      </c>
      <c r="P1717" t="s">
        <v>4245</v>
      </c>
      <c r="Q1717" t="s">
        <v>4250</v>
      </c>
      <c r="R1717" t="s">
        <v>4258</v>
      </c>
      <c r="S1717" t="s">
        <v>3610</v>
      </c>
      <c r="U1717" t="s">
        <v>4268</v>
      </c>
      <c r="W1717" t="s">
        <v>128</v>
      </c>
      <c r="X1717">
        <v>2145</v>
      </c>
      <c r="Y1717" t="s">
        <v>4351</v>
      </c>
      <c r="Z1717" t="s">
        <v>4354</v>
      </c>
      <c r="AA1717" t="s">
        <v>4373</v>
      </c>
      <c r="AB1717" t="s">
        <v>5734</v>
      </c>
      <c r="AD1717" t="s">
        <v>7066</v>
      </c>
      <c r="AE1717">
        <v>228</v>
      </c>
      <c r="AF1717" t="s">
        <v>7101</v>
      </c>
      <c r="AG1717" t="s">
        <v>3745</v>
      </c>
      <c r="AH1717">
        <v>2</v>
      </c>
      <c r="AI1717">
        <v>2</v>
      </c>
      <c r="AJ1717">
        <v>1</v>
      </c>
      <c r="AK1717">
        <v>558.23</v>
      </c>
      <c r="AN1717" t="s">
        <v>7138</v>
      </c>
      <c r="AO1717">
        <v>116000</v>
      </c>
      <c r="AU1717">
        <v>0.2</v>
      </c>
      <c r="AV1717" t="s">
        <v>665</v>
      </c>
      <c r="AW1717" t="s">
        <v>7342</v>
      </c>
    </row>
    <row r="1718" spans="1:50">
      <c r="A1718" s="1">
        <f>HYPERLINK("https://lsnyc.legalserver.org/matter/dynamic-profile/view/1894881","19-1894881")</f>
        <v>0</v>
      </c>
      <c r="B1718" t="s">
        <v>64</v>
      </c>
      <c r="C1718" t="s">
        <v>105</v>
      </c>
      <c r="D1718" t="s">
        <v>539</v>
      </c>
      <c r="F1718" t="s">
        <v>1136</v>
      </c>
      <c r="G1718" t="s">
        <v>2426</v>
      </c>
      <c r="H1718" t="s">
        <v>2671</v>
      </c>
      <c r="I1718">
        <v>53</v>
      </c>
      <c r="J1718" t="s">
        <v>3604</v>
      </c>
      <c r="K1718">
        <v>10034</v>
      </c>
      <c r="L1718" t="s">
        <v>3610</v>
      </c>
      <c r="M1718" t="s">
        <v>3610</v>
      </c>
      <c r="O1718" t="s">
        <v>4213</v>
      </c>
      <c r="P1718" t="s">
        <v>4246</v>
      </c>
      <c r="R1718" t="s">
        <v>4258</v>
      </c>
      <c r="S1718" t="s">
        <v>3610</v>
      </c>
      <c r="U1718" t="s">
        <v>4268</v>
      </c>
      <c r="W1718" t="s">
        <v>319</v>
      </c>
      <c r="X1718">
        <v>2012.58</v>
      </c>
      <c r="Y1718" t="s">
        <v>4351</v>
      </c>
      <c r="Z1718" t="s">
        <v>4354</v>
      </c>
      <c r="AB1718" t="s">
        <v>5735</v>
      </c>
      <c r="AD1718" t="s">
        <v>7067</v>
      </c>
      <c r="AE1718">
        <v>20</v>
      </c>
      <c r="AF1718" t="s">
        <v>7101</v>
      </c>
      <c r="AG1718" t="s">
        <v>3745</v>
      </c>
      <c r="AH1718">
        <v>9</v>
      </c>
      <c r="AI1718">
        <v>3</v>
      </c>
      <c r="AJ1718">
        <v>0</v>
      </c>
      <c r="AK1718">
        <v>565.4</v>
      </c>
      <c r="AM1718" t="s">
        <v>7134</v>
      </c>
      <c r="AN1718" t="s">
        <v>7138</v>
      </c>
      <c r="AO1718">
        <v>120600</v>
      </c>
      <c r="AU1718">
        <v>0</v>
      </c>
      <c r="AW1718" t="s">
        <v>7359</v>
      </c>
    </row>
    <row r="1719" spans="1:50">
      <c r="A1719" s="1">
        <f>HYPERLINK("https://lsnyc.legalserver.org/matter/dynamic-profile/view/0804129","16-0804129")</f>
        <v>0</v>
      </c>
      <c r="B1719" t="s">
        <v>67</v>
      </c>
      <c r="C1719" t="s">
        <v>104</v>
      </c>
      <c r="D1719" t="s">
        <v>648</v>
      </c>
      <c r="E1719" t="s">
        <v>209</v>
      </c>
      <c r="F1719" t="s">
        <v>1043</v>
      </c>
      <c r="G1719" t="s">
        <v>2427</v>
      </c>
      <c r="H1719" t="s">
        <v>2595</v>
      </c>
      <c r="I1719" t="s">
        <v>3334</v>
      </c>
      <c r="J1719" t="s">
        <v>3604</v>
      </c>
      <c r="K1719">
        <v>10035</v>
      </c>
      <c r="L1719" t="s">
        <v>3609</v>
      </c>
      <c r="M1719" t="s">
        <v>3609</v>
      </c>
      <c r="N1719" t="s">
        <v>4207</v>
      </c>
      <c r="O1719" t="s">
        <v>4210</v>
      </c>
      <c r="P1719" t="s">
        <v>4241</v>
      </c>
      <c r="Q1719" t="s">
        <v>4248</v>
      </c>
      <c r="R1719" t="s">
        <v>4258</v>
      </c>
      <c r="S1719" t="s">
        <v>3610</v>
      </c>
      <c r="U1719" t="s">
        <v>4268</v>
      </c>
      <c r="V1719" t="s">
        <v>4274</v>
      </c>
      <c r="W1719" t="s">
        <v>4349</v>
      </c>
      <c r="X1719">
        <v>140</v>
      </c>
      <c r="Y1719" t="s">
        <v>4351</v>
      </c>
      <c r="AA1719" t="s">
        <v>4374</v>
      </c>
      <c r="AB1719" t="s">
        <v>5736</v>
      </c>
      <c r="AD1719" t="s">
        <v>7068</v>
      </c>
      <c r="AE1719">
        <v>16</v>
      </c>
      <c r="AF1719" t="s">
        <v>7104</v>
      </c>
      <c r="AH1719">
        <v>25</v>
      </c>
      <c r="AI1719">
        <v>2</v>
      </c>
      <c r="AJ1719">
        <v>0</v>
      </c>
      <c r="AK1719">
        <v>575.9299999999999</v>
      </c>
      <c r="AN1719" t="s">
        <v>7138</v>
      </c>
      <c r="AO1719">
        <v>92263.39999999999</v>
      </c>
      <c r="AU1719">
        <v>212.2</v>
      </c>
      <c r="AV1719" t="s">
        <v>461</v>
      </c>
      <c r="AW1719" t="s">
        <v>7341</v>
      </c>
    </row>
    <row r="1720" spans="1:50">
      <c r="A1720" s="1">
        <f>HYPERLINK("https://lsnyc.legalserver.org/matter/dynamic-profile/view/1890830","19-1890830")</f>
        <v>0</v>
      </c>
      <c r="B1720" t="s">
        <v>64</v>
      </c>
      <c r="C1720" t="s">
        <v>104</v>
      </c>
      <c r="D1720" t="s">
        <v>569</v>
      </c>
      <c r="E1720" t="s">
        <v>131</v>
      </c>
      <c r="F1720" t="s">
        <v>801</v>
      </c>
      <c r="G1720" t="s">
        <v>1643</v>
      </c>
      <c r="H1720" t="s">
        <v>2983</v>
      </c>
      <c r="I1720" t="s">
        <v>3304</v>
      </c>
      <c r="J1720" t="s">
        <v>3604</v>
      </c>
      <c r="K1720">
        <v>10033</v>
      </c>
      <c r="L1720" t="s">
        <v>3610</v>
      </c>
      <c r="M1720" t="s">
        <v>3610</v>
      </c>
      <c r="O1720" t="s">
        <v>4219</v>
      </c>
      <c r="P1720" t="s">
        <v>4242</v>
      </c>
      <c r="Q1720" t="s">
        <v>4250</v>
      </c>
      <c r="R1720" t="s">
        <v>4258</v>
      </c>
      <c r="S1720" t="s">
        <v>3610</v>
      </c>
      <c r="U1720" t="s">
        <v>4268</v>
      </c>
      <c r="W1720" t="s">
        <v>569</v>
      </c>
      <c r="X1720">
        <v>1450</v>
      </c>
      <c r="Y1720" t="s">
        <v>4351</v>
      </c>
      <c r="Z1720" t="s">
        <v>4359</v>
      </c>
      <c r="AA1720" t="s">
        <v>4373</v>
      </c>
      <c r="AB1720" t="s">
        <v>5737</v>
      </c>
      <c r="AD1720" t="s">
        <v>7069</v>
      </c>
      <c r="AE1720">
        <v>60</v>
      </c>
      <c r="AF1720" t="s">
        <v>7101</v>
      </c>
      <c r="AG1720" t="s">
        <v>3745</v>
      </c>
      <c r="AH1720">
        <v>27</v>
      </c>
      <c r="AI1720">
        <v>3</v>
      </c>
      <c r="AJ1720">
        <v>0</v>
      </c>
      <c r="AK1720">
        <v>576.65</v>
      </c>
      <c r="AN1720" t="s">
        <v>7138</v>
      </c>
      <c r="AO1720">
        <v>123000</v>
      </c>
      <c r="AU1720">
        <v>0.01</v>
      </c>
      <c r="AV1720" t="s">
        <v>612</v>
      </c>
      <c r="AW1720" t="s">
        <v>7342</v>
      </c>
      <c r="AX1720" t="s">
        <v>7377</v>
      </c>
    </row>
    <row r="1721" spans="1:50">
      <c r="A1721" s="1">
        <f>HYPERLINK("https://lsnyc.legalserver.org/matter/dynamic-profile/view/1841949","17-1841949")</f>
        <v>0</v>
      </c>
      <c r="B1721" t="s">
        <v>53</v>
      </c>
      <c r="C1721" t="s">
        <v>104</v>
      </c>
      <c r="D1721" t="s">
        <v>312</v>
      </c>
      <c r="E1721" t="s">
        <v>335</v>
      </c>
      <c r="F1721" t="s">
        <v>1535</v>
      </c>
      <c r="G1721" t="s">
        <v>2428</v>
      </c>
      <c r="H1721" t="s">
        <v>2828</v>
      </c>
      <c r="I1721" t="s">
        <v>3595</v>
      </c>
      <c r="J1721" t="s">
        <v>3604</v>
      </c>
      <c r="K1721">
        <v>10034</v>
      </c>
      <c r="L1721" t="s">
        <v>3610</v>
      </c>
      <c r="M1721" t="s">
        <v>3610</v>
      </c>
      <c r="O1721" t="s">
        <v>4213</v>
      </c>
      <c r="P1721" t="s">
        <v>4245</v>
      </c>
      <c r="Q1721" t="s">
        <v>4249</v>
      </c>
      <c r="R1721" t="s">
        <v>4258</v>
      </c>
      <c r="S1721" t="s">
        <v>3610</v>
      </c>
      <c r="U1721" t="s">
        <v>4268</v>
      </c>
      <c r="W1721" t="s">
        <v>133</v>
      </c>
      <c r="X1721">
        <v>1734</v>
      </c>
      <c r="Y1721" t="s">
        <v>4351</v>
      </c>
      <c r="Z1721" t="s">
        <v>4354</v>
      </c>
      <c r="AA1721" t="s">
        <v>4373</v>
      </c>
      <c r="AB1721" t="s">
        <v>5738</v>
      </c>
      <c r="AD1721" t="s">
        <v>7070</v>
      </c>
      <c r="AE1721">
        <v>65</v>
      </c>
      <c r="AF1721" t="s">
        <v>7101</v>
      </c>
      <c r="AG1721" t="s">
        <v>3745</v>
      </c>
      <c r="AH1721">
        <v>1</v>
      </c>
      <c r="AI1721">
        <v>2</v>
      </c>
      <c r="AJ1721">
        <v>0</v>
      </c>
      <c r="AK1721">
        <v>584.98</v>
      </c>
      <c r="AN1721" t="s">
        <v>7138</v>
      </c>
      <c r="AO1721">
        <v>95000</v>
      </c>
      <c r="AU1721">
        <v>0.3</v>
      </c>
      <c r="AV1721" t="s">
        <v>335</v>
      </c>
      <c r="AW1721" t="s">
        <v>7342</v>
      </c>
    </row>
    <row r="1722" spans="1:50">
      <c r="A1722" s="1">
        <f>HYPERLINK("https://lsnyc.legalserver.org/matter/dynamic-profile/view/1871583","18-1871583")</f>
        <v>0</v>
      </c>
      <c r="B1722" t="s">
        <v>61</v>
      </c>
      <c r="C1722" t="s">
        <v>105</v>
      </c>
      <c r="D1722" t="s">
        <v>119</v>
      </c>
      <c r="F1722" t="s">
        <v>1119</v>
      </c>
      <c r="G1722" t="s">
        <v>2429</v>
      </c>
      <c r="H1722" t="s">
        <v>2472</v>
      </c>
      <c r="I1722" t="s">
        <v>3324</v>
      </c>
      <c r="J1722" t="s">
        <v>3604</v>
      </c>
      <c r="K1722">
        <v>10034</v>
      </c>
      <c r="L1722" t="s">
        <v>3610</v>
      </c>
      <c r="M1722" t="s">
        <v>3610</v>
      </c>
      <c r="N1722" t="s">
        <v>3619</v>
      </c>
      <c r="O1722" t="s">
        <v>4213</v>
      </c>
      <c r="P1722" t="s">
        <v>4241</v>
      </c>
      <c r="R1722" t="s">
        <v>4258</v>
      </c>
      <c r="S1722" t="s">
        <v>3610</v>
      </c>
      <c r="U1722" t="s">
        <v>4268</v>
      </c>
      <c r="W1722" t="s">
        <v>119</v>
      </c>
      <c r="X1722">
        <v>1595</v>
      </c>
      <c r="Y1722" t="s">
        <v>4351</v>
      </c>
      <c r="Z1722" t="s">
        <v>4354</v>
      </c>
      <c r="AB1722" t="s">
        <v>5739</v>
      </c>
      <c r="AE1722">
        <v>67</v>
      </c>
      <c r="AF1722" t="s">
        <v>7101</v>
      </c>
      <c r="AG1722" t="s">
        <v>3745</v>
      </c>
      <c r="AH1722">
        <v>1</v>
      </c>
      <c r="AI1722">
        <v>1</v>
      </c>
      <c r="AJ1722">
        <v>0</v>
      </c>
      <c r="AK1722">
        <v>589.36</v>
      </c>
      <c r="AN1722" t="s">
        <v>7138</v>
      </c>
      <c r="AO1722">
        <v>71548</v>
      </c>
      <c r="AU1722">
        <v>0.2</v>
      </c>
      <c r="AV1722" t="s">
        <v>4293</v>
      </c>
      <c r="AW1722" t="s">
        <v>7342</v>
      </c>
      <c r="AX1722" t="s">
        <v>7377</v>
      </c>
    </row>
    <row r="1723" spans="1:50">
      <c r="A1723" s="1">
        <f>HYPERLINK("https://lsnyc.legalserver.org/matter/dynamic-profile/view/1869925","18-1869925")</f>
        <v>0</v>
      </c>
      <c r="B1723" t="s">
        <v>56</v>
      </c>
      <c r="C1723" t="s">
        <v>104</v>
      </c>
      <c r="D1723" t="s">
        <v>128</v>
      </c>
      <c r="E1723" t="s">
        <v>665</v>
      </c>
      <c r="F1723" t="s">
        <v>1536</v>
      </c>
      <c r="G1723" t="s">
        <v>2430</v>
      </c>
      <c r="H1723" t="s">
        <v>2482</v>
      </c>
      <c r="I1723" t="s">
        <v>3596</v>
      </c>
      <c r="J1723" t="s">
        <v>3604</v>
      </c>
      <c r="K1723">
        <v>10034</v>
      </c>
      <c r="L1723" t="s">
        <v>3610</v>
      </c>
      <c r="M1723" t="s">
        <v>3610</v>
      </c>
      <c r="O1723" t="s">
        <v>4218</v>
      </c>
      <c r="P1723" t="s">
        <v>4245</v>
      </c>
      <c r="Q1723" t="s">
        <v>4250</v>
      </c>
      <c r="R1723" t="s">
        <v>4258</v>
      </c>
      <c r="S1723" t="s">
        <v>3610</v>
      </c>
      <c r="U1723" t="s">
        <v>4268</v>
      </c>
      <c r="W1723" t="s">
        <v>128</v>
      </c>
      <c r="X1723">
        <v>2025</v>
      </c>
      <c r="Y1723" t="s">
        <v>4351</v>
      </c>
      <c r="Z1723" t="s">
        <v>4354</v>
      </c>
      <c r="AA1723" t="s">
        <v>4373</v>
      </c>
      <c r="AB1723" t="s">
        <v>5740</v>
      </c>
      <c r="AE1723">
        <v>228</v>
      </c>
      <c r="AF1723" t="s">
        <v>7101</v>
      </c>
      <c r="AG1723" t="s">
        <v>3745</v>
      </c>
      <c r="AH1723">
        <v>3</v>
      </c>
      <c r="AI1723">
        <v>2</v>
      </c>
      <c r="AJ1723">
        <v>3</v>
      </c>
      <c r="AK1723">
        <v>590.84</v>
      </c>
      <c r="AN1723" t="s">
        <v>7138</v>
      </c>
      <c r="AO1723">
        <v>173826</v>
      </c>
      <c r="AU1723">
        <v>0.2</v>
      </c>
      <c r="AV1723" t="s">
        <v>665</v>
      </c>
      <c r="AW1723" t="s">
        <v>7342</v>
      </c>
    </row>
    <row r="1724" spans="1:50">
      <c r="A1724" s="1">
        <f>HYPERLINK("https://lsnyc.legalserver.org/matter/dynamic-profile/view/1891629","19-1891629")</f>
        <v>0</v>
      </c>
      <c r="B1724" t="s">
        <v>62</v>
      </c>
      <c r="C1724" t="s">
        <v>104</v>
      </c>
      <c r="D1724" t="s">
        <v>605</v>
      </c>
      <c r="E1724" t="s">
        <v>442</v>
      </c>
      <c r="F1724" t="s">
        <v>1537</v>
      </c>
      <c r="G1724" t="s">
        <v>2431</v>
      </c>
      <c r="H1724" t="s">
        <v>3262</v>
      </c>
      <c r="I1724" t="s">
        <v>3518</v>
      </c>
      <c r="J1724" t="s">
        <v>3604</v>
      </c>
      <c r="K1724">
        <v>10032</v>
      </c>
      <c r="L1724" t="s">
        <v>3610</v>
      </c>
      <c r="M1724" t="s">
        <v>3610</v>
      </c>
      <c r="O1724" t="s">
        <v>4209</v>
      </c>
      <c r="P1724" t="s">
        <v>4242</v>
      </c>
      <c r="Q1724" t="s">
        <v>4250</v>
      </c>
      <c r="R1724" t="s">
        <v>4258</v>
      </c>
      <c r="S1724" t="s">
        <v>3611</v>
      </c>
      <c r="U1724" t="s">
        <v>4268</v>
      </c>
      <c r="W1724" t="s">
        <v>4350</v>
      </c>
      <c r="X1724">
        <v>2182</v>
      </c>
      <c r="Y1724" t="s">
        <v>4351</v>
      </c>
      <c r="Z1724" t="s">
        <v>4354</v>
      </c>
      <c r="AA1724" t="s">
        <v>4373</v>
      </c>
      <c r="AB1724" t="s">
        <v>5741</v>
      </c>
      <c r="AE1724">
        <v>74</v>
      </c>
      <c r="AF1724" t="s">
        <v>7101</v>
      </c>
      <c r="AG1724" t="s">
        <v>3745</v>
      </c>
      <c r="AH1724">
        <v>16</v>
      </c>
      <c r="AI1724">
        <v>1</v>
      </c>
      <c r="AJ1724">
        <v>1</v>
      </c>
      <c r="AK1724">
        <v>591.37</v>
      </c>
      <c r="AN1724" t="s">
        <v>7138</v>
      </c>
      <c r="AO1724">
        <v>100000</v>
      </c>
      <c r="AU1724">
        <v>1</v>
      </c>
      <c r="AV1724" t="s">
        <v>605</v>
      </c>
      <c r="AW1724" t="s">
        <v>7340</v>
      </c>
    </row>
    <row r="1725" spans="1:50">
      <c r="A1725" s="1">
        <f>HYPERLINK("https://lsnyc.legalserver.org/matter/dynamic-profile/view/1867785","18-1867785")</f>
        <v>0</v>
      </c>
      <c r="B1725" t="s">
        <v>62</v>
      </c>
      <c r="C1725" t="s">
        <v>105</v>
      </c>
      <c r="D1725" t="s">
        <v>106</v>
      </c>
      <c r="F1725" t="s">
        <v>982</v>
      </c>
      <c r="G1725" t="s">
        <v>1769</v>
      </c>
      <c r="H1725" t="s">
        <v>3089</v>
      </c>
      <c r="I1725" t="s">
        <v>3356</v>
      </c>
      <c r="J1725" t="s">
        <v>3604</v>
      </c>
      <c r="K1725">
        <v>10032</v>
      </c>
      <c r="L1725" t="s">
        <v>3610</v>
      </c>
      <c r="M1725" t="s">
        <v>3609</v>
      </c>
      <c r="P1725" t="s">
        <v>4241</v>
      </c>
      <c r="R1725" t="s">
        <v>4258</v>
      </c>
      <c r="S1725" t="s">
        <v>3611</v>
      </c>
      <c r="U1725" t="s">
        <v>4268</v>
      </c>
      <c r="W1725" t="s">
        <v>106</v>
      </c>
      <c r="X1725">
        <v>1465.22</v>
      </c>
      <c r="Y1725" t="s">
        <v>4351</v>
      </c>
      <c r="Z1725" t="s">
        <v>4354</v>
      </c>
      <c r="AB1725" t="s">
        <v>5742</v>
      </c>
      <c r="AD1725" t="s">
        <v>7071</v>
      </c>
      <c r="AE1725">
        <v>0</v>
      </c>
      <c r="AF1725" t="s">
        <v>7101</v>
      </c>
      <c r="AG1725" t="s">
        <v>3745</v>
      </c>
      <c r="AH1725">
        <v>24</v>
      </c>
      <c r="AI1725">
        <v>1</v>
      </c>
      <c r="AJ1725">
        <v>0</v>
      </c>
      <c r="AK1725">
        <v>593.08</v>
      </c>
      <c r="AN1725" t="s">
        <v>7139</v>
      </c>
      <c r="AO1725">
        <v>72000</v>
      </c>
      <c r="AU1725">
        <v>116</v>
      </c>
      <c r="AV1725" t="s">
        <v>156</v>
      </c>
      <c r="AW1725" t="s">
        <v>7342</v>
      </c>
    </row>
    <row r="1726" spans="1:50">
      <c r="A1726" s="1">
        <f>HYPERLINK("https://lsnyc.legalserver.org/matter/dynamic-profile/view/1887967","19-1887967")</f>
        <v>0</v>
      </c>
      <c r="B1726" t="s">
        <v>61</v>
      </c>
      <c r="C1726" t="s">
        <v>105</v>
      </c>
      <c r="D1726" t="s">
        <v>194</v>
      </c>
      <c r="F1726" t="s">
        <v>1538</v>
      </c>
      <c r="G1726" t="s">
        <v>2152</v>
      </c>
      <c r="H1726" t="s">
        <v>3263</v>
      </c>
      <c r="I1726">
        <v>4</v>
      </c>
      <c r="J1726" t="s">
        <v>3604</v>
      </c>
      <c r="K1726">
        <v>10034</v>
      </c>
      <c r="L1726" t="s">
        <v>3610</v>
      </c>
      <c r="M1726" t="s">
        <v>3610</v>
      </c>
      <c r="N1726" t="s">
        <v>3739</v>
      </c>
      <c r="O1726" t="s">
        <v>4213</v>
      </c>
      <c r="P1726" t="s">
        <v>4241</v>
      </c>
      <c r="R1726" t="s">
        <v>4258</v>
      </c>
      <c r="S1726" t="s">
        <v>3610</v>
      </c>
      <c r="U1726" t="s">
        <v>4268</v>
      </c>
      <c r="W1726" t="s">
        <v>194</v>
      </c>
      <c r="X1726">
        <v>1614.34</v>
      </c>
      <c r="Y1726" t="s">
        <v>4351</v>
      </c>
      <c r="Z1726" t="s">
        <v>4354</v>
      </c>
      <c r="AB1726" t="s">
        <v>5743</v>
      </c>
      <c r="AD1726" t="s">
        <v>7072</v>
      </c>
      <c r="AE1726">
        <v>25</v>
      </c>
      <c r="AF1726" t="s">
        <v>7101</v>
      </c>
      <c r="AG1726" t="s">
        <v>3745</v>
      </c>
      <c r="AH1726">
        <v>8</v>
      </c>
      <c r="AI1726">
        <v>3</v>
      </c>
      <c r="AJ1726">
        <v>0</v>
      </c>
      <c r="AK1726">
        <v>594.3200000000001</v>
      </c>
      <c r="AN1726" t="s">
        <v>7139</v>
      </c>
      <c r="AO1726">
        <v>123500</v>
      </c>
      <c r="AU1726">
        <v>0</v>
      </c>
      <c r="AW1726" t="s">
        <v>7342</v>
      </c>
    </row>
    <row r="1727" spans="1:50">
      <c r="A1727" s="1">
        <f>HYPERLINK("https://lsnyc.legalserver.org/matter/dynamic-profile/view/1856593","18-1856593")</f>
        <v>0</v>
      </c>
      <c r="B1727" t="s">
        <v>79</v>
      </c>
      <c r="C1727" t="s">
        <v>104</v>
      </c>
      <c r="D1727" t="s">
        <v>509</v>
      </c>
      <c r="E1727" t="s">
        <v>669</v>
      </c>
      <c r="F1727" t="s">
        <v>767</v>
      </c>
      <c r="G1727" t="s">
        <v>2230</v>
      </c>
      <c r="H1727" t="s">
        <v>3264</v>
      </c>
      <c r="I1727" t="s">
        <v>3597</v>
      </c>
      <c r="J1727" t="s">
        <v>3604</v>
      </c>
      <c r="K1727">
        <v>10128</v>
      </c>
      <c r="L1727" t="s">
        <v>3610</v>
      </c>
      <c r="M1727" t="s">
        <v>3609</v>
      </c>
      <c r="O1727" t="s">
        <v>4211</v>
      </c>
      <c r="P1727" t="s">
        <v>4245</v>
      </c>
      <c r="Q1727" t="s">
        <v>4249</v>
      </c>
      <c r="R1727" t="s">
        <v>4258</v>
      </c>
      <c r="S1727" t="s">
        <v>3611</v>
      </c>
      <c r="U1727" t="s">
        <v>4271</v>
      </c>
      <c r="W1727" t="s">
        <v>276</v>
      </c>
      <c r="X1727">
        <v>1355</v>
      </c>
      <c r="Y1727" t="s">
        <v>4351</v>
      </c>
      <c r="Z1727" t="s">
        <v>4354</v>
      </c>
      <c r="AA1727" t="s">
        <v>4373</v>
      </c>
      <c r="AB1727" t="s">
        <v>5744</v>
      </c>
      <c r="AD1727" t="s">
        <v>7073</v>
      </c>
      <c r="AE1727">
        <v>0</v>
      </c>
      <c r="AF1727" t="s">
        <v>7111</v>
      </c>
      <c r="AG1727" t="s">
        <v>3745</v>
      </c>
      <c r="AH1727">
        <v>33</v>
      </c>
      <c r="AI1727">
        <v>2</v>
      </c>
      <c r="AJ1727">
        <v>0</v>
      </c>
      <c r="AK1727">
        <v>608.62</v>
      </c>
      <c r="AN1727" t="s">
        <v>7138</v>
      </c>
      <c r="AO1727">
        <v>98839.16</v>
      </c>
      <c r="AU1727">
        <v>10.1</v>
      </c>
      <c r="AV1727" t="s">
        <v>669</v>
      </c>
      <c r="AW1727" t="s">
        <v>7344</v>
      </c>
    </row>
    <row r="1728" spans="1:50">
      <c r="A1728" s="1">
        <f>HYPERLINK("https://lsnyc.legalserver.org/matter/dynamic-profile/view/1847568","17-1847568")</f>
        <v>0</v>
      </c>
      <c r="B1728" t="s">
        <v>55</v>
      </c>
      <c r="C1728" t="s">
        <v>104</v>
      </c>
      <c r="D1728" t="s">
        <v>609</v>
      </c>
      <c r="E1728" t="s">
        <v>303</v>
      </c>
      <c r="F1728" t="s">
        <v>786</v>
      </c>
      <c r="G1728" t="s">
        <v>2432</v>
      </c>
      <c r="H1728" t="s">
        <v>3265</v>
      </c>
      <c r="I1728" t="s">
        <v>3408</v>
      </c>
      <c r="J1728" t="s">
        <v>3604</v>
      </c>
      <c r="K1728">
        <v>10035</v>
      </c>
      <c r="L1728" t="s">
        <v>3610</v>
      </c>
      <c r="M1728" t="s">
        <v>3610</v>
      </c>
      <c r="O1728" t="s">
        <v>4211</v>
      </c>
      <c r="P1728" t="s">
        <v>4245</v>
      </c>
      <c r="Q1728" t="s">
        <v>4249</v>
      </c>
      <c r="R1728" t="s">
        <v>4258</v>
      </c>
      <c r="S1728" t="s">
        <v>3610</v>
      </c>
      <c r="U1728" t="s">
        <v>4268</v>
      </c>
      <c r="V1728" t="s">
        <v>4274</v>
      </c>
      <c r="W1728" t="s">
        <v>609</v>
      </c>
      <c r="X1728">
        <v>1650</v>
      </c>
      <c r="Y1728" t="s">
        <v>4351</v>
      </c>
      <c r="Z1728" t="s">
        <v>4353</v>
      </c>
      <c r="AA1728" t="s">
        <v>4377</v>
      </c>
      <c r="AB1728" t="s">
        <v>5745</v>
      </c>
      <c r="AD1728" t="s">
        <v>7074</v>
      </c>
      <c r="AE1728">
        <v>36</v>
      </c>
      <c r="AF1728" t="s">
        <v>7101</v>
      </c>
      <c r="AG1728" t="s">
        <v>3745</v>
      </c>
      <c r="AH1728">
        <v>1</v>
      </c>
      <c r="AI1728">
        <v>1</v>
      </c>
      <c r="AJ1728">
        <v>0</v>
      </c>
      <c r="AK1728">
        <v>621.89</v>
      </c>
      <c r="AN1728" t="s">
        <v>7138</v>
      </c>
      <c r="AO1728">
        <v>75000</v>
      </c>
      <c r="AU1728">
        <v>1</v>
      </c>
      <c r="AV1728" t="s">
        <v>609</v>
      </c>
      <c r="AW1728" t="s">
        <v>57</v>
      </c>
    </row>
    <row r="1729" spans="1:49">
      <c r="A1729" s="1">
        <f>HYPERLINK("https://lsnyc.legalserver.org/matter/dynamic-profile/view/1869099","18-1869099")</f>
        <v>0</v>
      </c>
      <c r="B1729" t="s">
        <v>90</v>
      </c>
      <c r="C1729" t="s">
        <v>105</v>
      </c>
      <c r="D1729" t="s">
        <v>649</v>
      </c>
      <c r="F1729" t="s">
        <v>1539</v>
      </c>
      <c r="G1729" t="s">
        <v>2433</v>
      </c>
      <c r="H1729" t="s">
        <v>3042</v>
      </c>
      <c r="I1729" t="s">
        <v>3291</v>
      </c>
      <c r="J1729" t="s">
        <v>3604</v>
      </c>
      <c r="K1729">
        <v>10034</v>
      </c>
      <c r="L1729" t="s">
        <v>3610</v>
      </c>
      <c r="M1729" t="s">
        <v>3609</v>
      </c>
      <c r="N1729" t="s">
        <v>4025</v>
      </c>
      <c r="O1729" t="s">
        <v>4220</v>
      </c>
      <c r="P1729" t="s">
        <v>4243</v>
      </c>
      <c r="R1729" t="s">
        <v>4258</v>
      </c>
      <c r="S1729" t="s">
        <v>3610</v>
      </c>
      <c r="U1729" t="s">
        <v>4268</v>
      </c>
      <c r="W1729" t="s">
        <v>649</v>
      </c>
      <c r="X1729">
        <v>1750.51</v>
      </c>
      <c r="Y1729" t="s">
        <v>4351</v>
      </c>
      <c r="Z1729" t="s">
        <v>4359</v>
      </c>
      <c r="AB1729" t="s">
        <v>5746</v>
      </c>
      <c r="AD1729" t="s">
        <v>7075</v>
      </c>
      <c r="AE1729">
        <v>72</v>
      </c>
      <c r="AF1729" t="s">
        <v>7101</v>
      </c>
      <c r="AG1729" t="s">
        <v>3745</v>
      </c>
      <c r="AH1729">
        <v>11</v>
      </c>
      <c r="AI1729">
        <v>2</v>
      </c>
      <c r="AJ1729">
        <v>0</v>
      </c>
      <c r="AK1729">
        <v>631.83</v>
      </c>
      <c r="AN1729" t="s">
        <v>7138</v>
      </c>
      <c r="AO1729">
        <v>104000</v>
      </c>
      <c r="AU1729">
        <v>1</v>
      </c>
      <c r="AV1729" t="s">
        <v>149</v>
      </c>
      <c r="AW1729" t="s">
        <v>7342</v>
      </c>
    </row>
    <row r="1730" spans="1:49">
      <c r="A1730" s="1">
        <f>HYPERLINK("https://lsnyc.legalserver.org/matter/dynamic-profile/view/1869102","18-1869102")</f>
        <v>0</v>
      </c>
      <c r="B1730" t="s">
        <v>90</v>
      </c>
      <c r="C1730" t="s">
        <v>105</v>
      </c>
      <c r="D1730" t="s">
        <v>649</v>
      </c>
      <c r="F1730" t="s">
        <v>1539</v>
      </c>
      <c r="G1730" t="s">
        <v>2433</v>
      </c>
      <c r="H1730" t="s">
        <v>3042</v>
      </c>
      <c r="I1730" t="s">
        <v>3291</v>
      </c>
      <c r="J1730" t="s">
        <v>3604</v>
      </c>
      <c r="K1730">
        <v>10034</v>
      </c>
      <c r="L1730" t="s">
        <v>3610</v>
      </c>
      <c r="M1730" t="s">
        <v>3609</v>
      </c>
      <c r="N1730" t="s">
        <v>4026</v>
      </c>
      <c r="O1730" t="s">
        <v>4220</v>
      </c>
      <c r="P1730" t="s">
        <v>4243</v>
      </c>
      <c r="R1730" t="s">
        <v>4258</v>
      </c>
      <c r="S1730" t="s">
        <v>3610</v>
      </c>
      <c r="U1730" t="s">
        <v>4268</v>
      </c>
      <c r="W1730" t="s">
        <v>649</v>
      </c>
      <c r="X1730">
        <v>1750.51</v>
      </c>
      <c r="Y1730" t="s">
        <v>4351</v>
      </c>
      <c r="Z1730" t="s">
        <v>4359</v>
      </c>
      <c r="AB1730" t="s">
        <v>5746</v>
      </c>
      <c r="AD1730" t="s">
        <v>7075</v>
      </c>
      <c r="AE1730">
        <v>72</v>
      </c>
      <c r="AF1730" t="s">
        <v>7101</v>
      </c>
      <c r="AG1730" t="s">
        <v>3745</v>
      </c>
      <c r="AH1730">
        <v>11</v>
      </c>
      <c r="AI1730">
        <v>2</v>
      </c>
      <c r="AJ1730">
        <v>0</v>
      </c>
      <c r="AK1730">
        <v>631.83</v>
      </c>
      <c r="AN1730" t="s">
        <v>7138</v>
      </c>
      <c r="AO1730">
        <v>104000</v>
      </c>
      <c r="AU1730">
        <v>0</v>
      </c>
      <c r="AW1730" t="s">
        <v>7342</v>
      </c>
    </row>
    <row r="1731" spans="1:49">
      <c r="A1731" s="1">
        <f>HYPERLINK("https://lsnyc.legalserver.org/matter/dynamic-profile/view/1869088","18-1869088")</f>
        <v>0</v>
      </c>
      <c r="B1731" t="s">
        <v>90</v>
      </c>
      <c r="C1731" t="s">
        <v>105</v>
      </c>
      <c r="D1731" t="s">
        <v>649</v>
      </c>
      <c r="F1731" t="s">
        <v>1540</v>
      </c>
      <c r="G1731" t="s">
        <v>2434</v>
      </c>
      <c r="H1731" t="s">
        <v>3042</v>
      </c>
      <c r="I1731" t="s">
        <v>3286</v>
      </c>
      <c r="J1731" t="s">
        <v>3604</v>
      </c>
      <c r="K1731">
        <v>10034</v>
      </c>
      <c r="L1731" t="s">
        <v>3610</v>
      </c>
      <c r="M1731" t="s">
        <v>3609</v>
      </c>
      <c r="N1731" t="s">
        <v>4025</v>
      </c>
      <c r="O1731" t="s">
        <v>4220</v>
      </c>
      <c r="P1731" t="s">
        <v>4243</v>
      </c>
      <c r="R1731" t="s">
        <v>4258</v>
      </c>
      <c r="S1731" t="s">
        <v>3610</v>
      </c>
      <c r="U1731" t="s">
        <v>4268</v>
      </c>
      <c r="W1731" t="s">
        <v>649</v>
      </c>
      <c r="X1731">
        <v>1753</v>
      </c>
      <c r="Y1731" t="s">
        <v>4351</v>
      </c>
      <c r="Z1731" t="s">
        <v>4359</v>
      </c>
      <c r="AB1731" t="s">
        <v>5747</v>
      </c>
      <c r="AD1731" t="s">
        <v>7076</v>
      </c>
      <c r="AE1731">
        <v>72</v>
      </c>
      <c r="AF1731" t="s">
        <v>7101</v>
      </c>
      <c r="AG1731" t="s">
        <v>3745</v>
      </c>
      <c r="AH1731">
        <v>22</v>
      </c>
      <c r="AI1731">
        <v>2</v>
      </c>
      <c r="AJ1731">
        <v>0</v>
      </c>
      <c r="AK1731">
        <v>642.58</v>
      </c>
      <c r="AN1731" t="s">
        <v>7138</v>
      </c>
      <c r="AO1731">
        <v>105768</v>
      </c>
      <c r="AU1731">
        <v>3.9</v>
      </c>
      <c r="AV1731" t="s">
        <v>149</v>
      </c>
      <c r="AW1731" t="s">
        <v>7342</v>
      </c>
    </row>
    <row r="1732" spans="1:49">
      <c r="A1732" s="1">
        <f>HYPERLINK("https://lsnyc.legalserver.org/matter/dynamic-profile/view/1869096","18-1869096")</f>
        <v>0</v>
      </c>
      <c r="B1732" t="s">
        <v>90</v>
      </c>
      <c r="C1732" t="s">
        <v>105</v>
      </c>
      <c r="D1732" t="s">
        <v>649</v>
      </c>
      <c r="F1732" t="s">
        <v>1540</v>
      </c>
      <c r="G1732" t="s">
        <v>2434</v>
      </c>
      <c r="H1732" t="s">
        <v>3042</v>
      </c>
      <c r="I1732" t="s">
        <v>3286</v>
      </c>
      <c r="J1732" t="s">
        <v>3604</v>
      </c>
      <c r="K1732">
        <v>10034</v>
      </c>
      <c r="L1732" t="s">
        <v>3610</v>
      </c>
      <c r="M1732" t="s">
        <v>3609</v>
      </c>
      <c r="N1732" t="s">
        <v>4026</v>
      </c>
      <c r="O1732" t="s">
        <v>4220</v>
      </c>
      <c r="P1732" t="s">
        <v>4243</v>
      </c>
      <c r="R1732" t="s">
        <v>4258</v>
      </c>
      <c r="S1732" t="s">
        <v>3610</v>
      </c>
      <c r="U1732" t="s">
        <v>4268</v>
      </c>
      <c r="W1732" t="s">
        <v>649</v>
      </c>
      <c r="X1732">
        <v>1753</v>
      </c>
      <c r="Y1732" t="s">
        <v>4351</v>
      </c>
      <c r="Z1732" t="s">
        <v>4359</v>
      </c>
      <c r="AB1732" t="s">
        <v>5747</v>
      </c>
      <c r="AD1732" t="s">
        <v>7076</v>
      </c>
      <c r="AE1732">
        <v>72</v>
      </c>
      <c r="AF1732" t="s">
        <v>7101</v>
      </c>
      <c r="AG1732" t="s">
        <v>3745</v>
      </c>
      <c r="AH1732">
        <v>22</v>
      </c>
      <c r="AI1732">
        <v>2</v>
      </c>
      <c r="AJ1732">
        <v>0</v>
      </c>
      <c r="AK1732">
        <v>642.58</v>
      </c>
      <c r="AN1732" t="s">
        <v>7138</v>
      </c>
      <c r="AO1732">
        <v>105768</v>
      </c>
      <c r="AU1732">
        <v>34.85</v>
      </c>
      <c r="AV1732" t="s">
        <v>7293</v>
      </c>
      <c r="AW1732" t="s">
        <v>7342</v>
      </c>
    </row>
    <row r="1733" spans="1:49">
      <c r="A1733" s="1">
        <f>HYPERLINK("https://lsnyc.legalserver.org/matter/dynamic-profile/view/1845585","17-1845585")</f>
        <v>0</v>
      </c>
      <c r="B1733" t="s">
        <v>51</v>
      </c>
      <c r="C1733" t="s">
        <v>104</v>
      </c>
      <c r="D1733" t="s">
        <v>650</v>
      </c>
      <c r="E1733" t="s">
        <v>653</v>
      </c>
      <c r="F1733" t="s">
        <v>1541</v>
      </c>
      <c r="G1733" t="s">
        <v>2435</v>
      </c>
      <c r="H1733" t="s">
        <v>3199</v>
      </c>
      <c r="I1733">
        <v>12</v>
      </c>
      <c r="J1733" t="s">
        <v>3604</v>
      </c>
      <c r="K1733">
        <v>10029</v>
      </c>
      <c r="L1733" t="s">
        <v>3610</v>
      </c>
      <c r="M1733" t="s">
        <v>3610</v>
      </c>
      <c r="O1733" t="s">
        <v>4211</v>
      </c>
      <c r="P1733" t="s">
        <v>4242</v>
      </c>
      <c r="Q1733" t="s">
        <v>4250</v>
      </c>
      <c r="R1733" t="s">
        <v>4258</v>
      </c>
      <c r="S1733" t="s">
        <v>3610</v>
      </c>
      <c r="U1733" t="s">
        <v>4268</v>
      </c>
      <c r="V1733" t="s">
        <v>4274</v>
      </c>
      <c r="W1733" t="s">
        <v>363</v>
      </c>
      <c r="X1733">
        <v>2500</v>
      </c>
      <c r="Y1733" t="s">
        <v>4351</v>
      </c>
      <c r="Z1733" t="s">
        <v>4352</v>
      </c>
      <c r="AA1733" t="s">
        <v>4373</v>
      </c>
      <c r="AB1733" t="s">
        <v>5748</v>
      </c>
      <c r="AD1733" t="s">
        <v>7077</v>
      </c>
      <c r="AE1733">
        <v>24</v>
      </c>
      <c r="AF1733" t="s">
        <v>7105</v>
      </c>
      <c r="AG1733" t="s">
        <v>3745</v>
      </c>
      <c r="AH1733">
        <v>4</v>
      </c>
      <c r="AI1733">
        <v>2</v>
      </c>
      <c r="AJ1733">
        <v>0</v>
      </c>
      <c r="AK1733">
        <v>646.55</v>
      </c>
      <c r="AN1733" t="s">
        <v>7138</v>
      </c>
      <c r="AO1733">
        <v>105000</v>
      </c>
      <c r="AU1733">
        <v>1.7</v>
      </c>
      <c r="AV1733" t="s">
        <v>7309</v>
      </c>
      <c r="AW1733" t="s">
        <v>7341</v>
      </c>
    </row>
    <row r="1734" spans="1:49">
      <c r="A1734" s="1">
        <f>HYPERLINK("https://lsnyc.legalserver.org/matter/dynamic-profile/view/0824155","17-0824155")</f>
        <v>0</v>
      </c>
      <c r="B1734" t="s">
        <v>64</v>
      </c>
      <c r="C1734" t="s">
        <v>105</v>
      </c>
      <c r="D1734" t="s">
        <v>651</v>
      </c>
      <c r="F1734" t="s">
        <v>1542</v>
      </c>
      <c r="G1734" t="s">
        <v>2436</v>
      </c>
      <c r="H1734" t="s">
        <v>2576</v>
      </c>
      <c r="I1734" t="s">
        <v>3335</v>
      </c>
      <c r="J1734" t="s">
        <v>3604</v>
      </c>
      <c r="K1734">
        <v>10040</v>
      </c>
      <c r="L1734" t="s">
        <v>3610</v>
      </c>
      <c r="M1734" t="s">
        <v>3609</v>
      </c>
      <c r="N1734" t="s">
        <v>3780</v>
      </c>
      <c r="O1734" t="s">
        <v>4213</v>
      </c>
      <c r="P1734" t="s">
        <v>4241</v>
      </c>
      <c r="R1734" t="s">
        <v>4258</v>
      </c>
      <c r="S1734" t="s">
        <v>3610</v>
      </c>
      <c r="U1734" t="s">
        <v>4268</v>
      </c>
      <c r="W1734" t="s">
        <v>4301</v>
      </c>
      <c r="X1734">
        <v>1250</v>
      </c>
      <c r="Y1734" t="s">
        <v>4351</v>
      </c>
      <c r="Z1734" t="s">
        <v>4352</v>
      </c>
      <c r="AB1734" t="s">
        <v>5749</v>
      </c>
      <c r="AD1734" t="s">
        <v>7078</v>
      </c>
      <c r="AE1734">
        <v>83</v>
      </c>
      <c r="AF1734" t="s">
        <v>7101</v>
      </c>
      <c r="AG1734" t="s">
        <v>3745</v>
      </c>
      <c r="AH1734">
        <v>3</v>
      </c>
      <c r="AI1734">
        <v>2</v>
      </c>
      <c r="AJ1734">
        <v>0</v>
      </c>
      <c r="AK1734">
        <v>655.4299999999999</v>
      </c>
      <c r="AL1734" t="s">
        <v>518</v>
      </c>
      <c r="AN1734" t="s">
        <v>7138</v>
      </c>
      <c r="AO1734">
        <v>105000</v>
      </c>
      <c r="AU1734">
        <v>0</v>
      </c>
      <c r="AV1734" t="s">
        <v>191</v>
      </c>
      <c r="AW1734" t="s">
        <v>7341</v>
      </c>
    </row>
    <row r="1735" spans="1:49">
      <c r="A1735" s="1">
        <f>HYPERLINK("https://lsnyc.legalserver.org/matter/dynamic-profile/view/1880269","18-1880269")</f>
        <v>0</v>
      </c>
      <c r="B1735" t="s">
        <v>52</v>
      </c>
      <c r="C1735" t="s">
        <v>105</v>
      </c>
      <c r="D1735" t="s">
        <v>417</v>
      </c>
      <c r="F1735" t="s">
        <v>801</v>
      </c>
      <c r="G1735" t="s">
        <v>704</v>
      </c>
      <c r="H1735" t="s">
        <v>3192</v>
      </c>
      <c r="I1735" t="s">
        <v>3375</v>
      </c>
      <c r="J1735" t="s">
        <v>3604</v>
      </c>
      <c r="K1735">
        <v>10463</v>
      </c>
      <c r="L1735" t="s">
        <v>3610</v>
      </c>
      <c r="M1735" t="s">
        <v>3610</v>
      </c>
      <c r="O1735" t="s">
        <v>4213</v>
      </c>
      <c r="P1735" t="s">
        <v>4241</v>
      </c>
      <c r="R1735" t="s">
        <v>4258</v>
      </c>
      <c r="S1735" t="s">
        <v>3610</v>
      </c>
      <c r="U1735" t="s">
        <v>4268</v>
      </c>
      <c r="W1735" t="s">
        <v>417</v>
      </c>
      <c r="X1735">
        <v>1652</v>
      </c>
      <c r="Y1735" t="s">
        <v>4351</v>
      </c>
      <c r="Z1735" t="s">
        <v>4354</v>
      </c>
      <c r="AB1735" t="s">
        <v>5750</v>
      </c>
      <c r="AE1735">
        <v>84</v>
      </c>
      <c r="AF1735" t="s">
        <v>7101</v>
      </c>
      <c r="AG1735" t="s">
        <v>3745</v>
      </c>
      <c r="AH1735">
        <v>10</v>
      </c>
      <c r="AI1735">
        <v>1</v>
      </c>
      <c r="AJ1735">
        <v>0</v>
      </c>
      <c r="AK1735">
        <v>658.98</v>
      </c>
      <c r="AN1735" t="s">
        <v>7138</v>
      </c>
      <c r="AO1735">
        <v>80000</v>
      </c>
      <c r="AU1735">
        <v>20.1</v>
      </c>
      <c r="AV1735" t="s">
        <v>683</v>
      </c>
      <c r="AW1735" t="s">
        <v>7342</v>
      </c>
    </row>
    <row r="1736" spans="1:49">
      <c r="A1736" s="1">
        <f>HYPERLINK("https://lsnyc.legalserver.org/matter/dynamic-profile/view/1863061","18-1863061")</f>
        <v>0</v>
      </c>
      <c r="B1736" t="s">
        <v>56</v>
      </c>
      <c r="C1736" t="s">
        <v>105</v>
      </c>
      <c r="D1736" t="s">
        <v>314</v>
      </c>
      <c r="F1736" t="s">
        <v>1543</v>
      </c>
      <c r="G1736" t="s">
        <v>2437</v>
      </c>
      <c r="H1736" t="s">
        <v>2471</v>
      </c>
      <c r="I1736" t="s">
        <v>3375</v>
      </c>
      <c r="J1736" t="s">
        <v>3604</v>
      </c>
      <c r="K1736">
        <v>10034</v>
      </c>
      <c r="L1736" t="s">
        <v>3610</v>
      </c>
      <c r="M1736" t="s">
        <v>3610</v>
      </c>
      <c r="O1736" t="s">
        <v>4213</v>
      </c>
      <c r="P1736" t="s">
        <v>4241</v>
      </c>
      <c r="R1736" t="s">
        <v>4258</v>
      </c>
      <c r="S1736" t="s">
        <v>3610</v>
      </c>
      <c r="U1736" t="s">
        <v>4268</v>
      </c>
      <c r="W1736" t="s">
        <v>4297</v>
      </c>
      <c r="X1736">
        <v>1363.5</v>
      </c>
      <c r="Y1736" t="s">
        <v>4351</v>
      </c>
      <c r="Z1736" t="s">
        <v>4354</v>
      </c>
      <c r="AB1736" t="s">
        <v>5751</v>
      </c>
      <c r="AD1736" t="s">
        <v>7079</v>
      </c>
      <c r="AE1736">
        <v>63</v>
      </c>
      <c r="AF1736" t="s">
        <v>7101</v>
      </c>
      <c r="AG1736" t="s">
        <v>3745</v>
      </c>
      <c r="AH1736">
        <v>4</v>
      </c>
      <c r="AI1736">
        <v>2</v>
      </c>
      <c r="AJ1736">
        <v>0</v>
      </c>
      <c r="AK1736">
        <v>662.21</v>
      </c>
      <c r="AN1736" t="s">
        <v>7138</v>
      </c>
      <c r="AO1736">
        <v>109000</v>
      </c>
      <c r="AU1736">
        <v>0.05</v>
      </c>
      <c r="AV1736" t="s">
        <v>612</v>
      </c>
      <c r="AW1736" t="s">
        <v>7342</v>
      </c>
    </row>
    <row r="1737" spans="1:49">
      <c r="A1737" s="1">
        <f>HYPERLINK("https://lsnyc.legalserver.org/matter/dynamic-profile/view/0824249","17-0824249")</f>
        <v>0</v>
      </c>
      <c r="B1737" t="s">
        <v>64</v>
      </c>
      <c r="C1737" t="s">
        <v>105</v>
      </c>
      <c r="D1737" t="s">
        <v>446</v>
      </c>
      <c r="F1737" t="s">
        <v>1253</v>
      </c>
      <c r="G1737" t="s">
        <v>2438</v>
      </c>
      <c r="H1737" t="s">
        <v>2819</v>
      </c>
      <c r="I1737" t="s">
        <v>3274</v>
      </c>
      <c r="J1737" t="s">
        <v>3604</v>
      </c>
      <c r="K1737">
        <v>10040</v>
      </c>
      <c r="L1737" t="s">
        <v>3610</v>
      </c>
      <c r="M1737" t="s">
        <v>3609</v>
      </c>
      <c r="N1737" t="s">
        <v>3780</v>
      </c>
      <c r="O1737" t="s">
        <v>4213</v>
      </c>
      <c r="P1737" t="s">
        <v>4241</v>
      </c>
      <c r="R1737" t="s">
        <v>4258</v>
      </c>
      <c r="S1737" t="s">
        <v>3610</v>
      </c>
      <c r="U1737" t="s">
        <v>4268</v>
      </c>
      <c r="W1737" t="s">
        <v>4301</v>
      </c>
      <c r="X1737">
        <v>2450</v>
      </c>
      <c r="Y1737" t="s">
        <v>4351</v>
      </c>
      <c r="Z1737" t="s">
        <v>4352</v>
      </c>
      <c r="AB1737" t="s">
        <v>5752</v>
      </c>
      <c r="AD1737" t="s">
        <v>7080</v>
      </c>
      <c r="AE1737">
        <v>83</v>
      </c>
      <c r="AF1737" t="s">
        <v>7101</v>
      </c>
      <c r="AG1737" t="s">
        <v>3745</v>
      </c>
      <c r="AH1737">
        <v>0</v>
      </c>
      <c r="AI1737">
        <v>2</v>
      </c>
      <c r="AJ1737">
        <v>0</v>
      </c>
      <c r="AK1737">
        <v>692.88</v>
      </c>
      <c r="AL1737" t="s">
        <v>518</v>
      </c>
      <c r="AN1737" t="s">
        <v>7138</v>
      </c>
      <c r="AO1737">
        <v>111000</v>
      </c>
      <c r="AU1737">
        <v>0</v>
      </c>
      <c r="AV1737" t="s">
        <v>191</v>
      </c>
      <c r="AW1737" t="s">
        <v>7341</v>
      </c>
    </row>
    <row r="1738" spans="1:49">
      <c r="A1738" s="1">
        <f>HYPERLINK("https://lsnyc.legalserver.org/matter/dynamic-profile/view/1894909","19-1894909")</f>
        <v>0</v>
      </c>
      <c r="B1738" t="s">
        <v>64</v>
      </c>
      <c r="C1738" t="s">
        <v>105</v>
      </c>
      <c r="D1738" t="s">
        <v>319</v>
      </c>
      <c r="F1738" t="s">
        <v>844</v>
      </c>
      <c r="G1738" t="s">
        <v>2439</v>
      </c>
      <c r="H1738" t="s">
        <v>2671</v>
      </c>
      <c r="I1738">
        <v>52</v>
      </c>
      <c r="J1738" t="s">
        <v>3604</v>
      </c>
      <c r="K1738">
        <v>10034</v>
      </c>
      <c r="L1738" t="s">
        <v>3610</v>
      </c>
      <c r="M1738" t="s">
        <v>3610</v>
      </c>
      <c r="O1738" t="s">
        <v>4213</v>
      </c>
      <c r="P1738" t="s">
        <v>4246</v>
      </c>
      <c r="R1738" t="s">
        <v>4258</v>
      </c>
      <c r="S1738" t="s">
        <v>3610</v>
      </c>
      <c r="U1738" t="s">
        <v>4268</v>
      </c>
      <c r="W1738" t="s">
        <v>319</v>
      </c>
      <c r="X1738">
        <v>1818.44</v>
      </c>
      <c r="Y1738" t="s">
        <v>4351</v>
      </c>
      <c r="Z1738" t="s">
        <v>4354</v>
      </c>
      <c r="AB1738" t="s">
        <v>5753</v>
      </c>
      <c r="AD1738" t="s">
        <v>7081</v>
      </c>
      <c r="AE1738">
        <v>20</v>
      </c>
      <c r="AF1738" t="s">
        <v>7101</v>
      </c>
      <c r="AG1738" t="s">
        <v>3745</v>
      </c>
      <c r="AH1738">
        <v>12</v>
      </c>
      <c r="AI1738">
        <v>4</v>
      </c>
      <c r="AJ1738">
        <v>0</v>
      </c>
      <c r="AK1738">
        <v>701.75</v>
      </c>
      <c r="AN1738" t="s">
        <v>7138</v>
      </c>
      <c r="AO1738">
        <v>180700</v>
      </c>
      <c r="AU1738">
        <v>0</v>
      </c>
      <c r="AW1738" t="s">
        <v>7359</v>
      </c>
    </row>
    <row r="1739" spans="1:49">
      <c r="A1739" s="1">
        <f>HYPERLINK("https://lsnyc.legalserver.org/matter/dynamic-profile/view/1870331","18-1870331")</f>
        <v>0</v>
      </c>
      <c r="B1739" t="s">
        <v>90</v>
      </c>
      <c r="C1739" t="s">
        <v>105</v>
      </c>
      <c r="D1739" t="s">
        <v>234</v>
      </c>
      <c r="F1739" t="s">
        <v>696</v>
      </c>
      <c r="G1739" t="s">
        <v>2440</v>
      </c>
      <c r="H1739" t="s">
        <v>3042</v>
      </c>
      <c r="I1739" t="s">
        <v>3502</v>
      </c>
      <c r="J1739" t="s">
        <v>3604</v>
      </c>
      <c r="K1739">
        <v>10034</v>
      </c>
      <c r="L1739" t="s">
        <v>3610</v>
      </c>
      <c r="M1739" t="s">
        <v>3609</v>
      </c>
      <c r="N1739" t="s">
        <v>4025</v>
      </c>
      <c r="O1739" t="s">
        <v>4220</v>
      </c>
      <c r="P1739" t="s">
        <v>4243</v>
      </c>
      <c r="R1739" t="s">
        <v>4258</v>
      </c>
      <c r="S1739" t="s">
        <v>3610</v>
      </c>
      <c r="U1739" t="s">
        <v>4268</v>
      </c>
      <c r="W1739" t="s">
        <v>443</v>
      </c>
      <c r="X1739">
        <v>1618.37</v>
      </c>
      <c r="Y1739" t="s">
        <v>4351</v>
      </c>
      <c r="Z1739" t="s">
        <v>4359</v>
      </c>
      <c r="AB1739" t="s">
        <v>5754</v>
      </c>
      <c r="AD1739" t="s">
        <v>7082</v>
      </c>
      <c r="AE1739">
        <v>72</v>
      </c>
      <c r="AF1739" t="s">
        <v>7101</v>
      </c>
      <c r="AG1739" t="s">
        <v>3745</v>
      </c>
      <c r="AH1739">
        <v>29</v>
      </c>
      <c r="AI1739">
        <v>1</v>
      </c>
      <c r="AJ1739">
        <v>0</v>
      </c>
      <c r="AK1739">
        <v>702.96</v>
      </c>
      <c r="AN1739" t="s">
        <v>7138</v>
      </c>
      <c r="AO1739">
        <v>85339.92</v>
      </c>
      <c r="AU1739">
        <v>0</v>
      </c>
      <c r="AW1739" t="s">
        <v>7342</v>
      </c>
    </row>
    <row r="1740" spans="1:49">
      <c r="A1740" s="1">
        <f>HYPERLINK("https://lsnyc.legalserver.org/matter/dynamic-profile/view/1870334","18-1870334")</f>
        <v>0</v>
      </c>
      <c r="B1740" t="s">
        <v>90</v>
      </c>
      <c r="C1740" t="s">
        <v>105</v>
      </c>
      <c r="D1740" t="s">
        <v>234</v>
      </c>
      <c r="F1740" t="s">
        <v>696</v>
      </c>
      <c r="G1740" t="s">
        <v>2440</v>
      </c>
      <c r="H1740" t="s">
        <v>3042</v>
      </c>
      <c r="I1740" t="s">
        <v>3502</v>
      </c>
      <c r="J1740" t="s">
        <v>3604</v>
      </c>
      <c r="K1740">
        <v>10034</v>
      </c>
      <c r="L1740" t="s">
        <v>3610</v>
      </c>
      <c r="M1740" t="s">
        <v>3609</v>
      </c>
      <c r="N1740" t="s">
        <v>4026</v>
      </c>
      <c r="O1740" t="s">
        <v>4220</v>
      </c>
      <c r="P1740" t="s">
        <v>4243</v>
      </c>
      <c r="R1740" t="s">
        <v>4258</v>
      </c>
      <c r="S1740" t="s">
        <v>3610</v>
      </c>
      <c r="U1740" t="s">
        <v>4268</v>
      </c>
      <c r="W1740" t="s">
        <v>443</v>
      </c>
      <c r="X1740">
        <v>1618.37</v>
      </c>
      <c r="Y1740" t="s">
        <v>4351</v>
      </c>
      <c r="Z1740" t="s">
        <v>4359</v>
      </c>
      <c r="AB1740" t="s">
        <v>5754</v>
      </c>
      <c r="AD1740" t="s">
        <v>7082</v>
      </c>
      <c r="AE1740">
        <v>72</v>
      </c>
      <c r="AF1740" t="s">
        <v>7101</v>
      </c>
      <c r="AG1740" t="s">
        <v>3745</v>
      </c>
      <c r="AH1740">
        <v>29</v>
      </c>
      <c r="AI1740">
        <v>1</v>
      </c>
      <c r="AJ1740">
        <v>0</v>
      </c>
      <c r="AK1740">
        <v>702.96</v>
      </c>
      <c r="AN1740" t="s">
        <v>7138</v>
      </c>
      <c r="AO1740">
        <v>85339.92</v>
      </c>
      <c r="AU1740">
        <v>0</v>
      </c>
      <c r="AW1740" t="s">
        <v>7342</v>
      </c>
    </row>
    <row r="1741" spans="1:49">
      <c r="A1741" s="1">
        <f>HYPERLINK("https://lsnyc.legalserver.org/matter/dynamic-profile/view/1874670","18-1874670")</f>
        <v>0</v>
      </c>
      <c r="B1741" t="s">
        <v>56</v>
      </c>
      <c r="C1741" t="s">
        <v>104</v>
      </c>
      <c r="D1741" t="s">
        <v>144</v>
      </c>
      <c r="E1741" t="s">
        <v>204</v>
      </c>
      <c r="F1741" t="s">
        <v>1544</v>
      </c>
      <c r="G1741" t="s">
        <v>2441</v>
      </c>
      <c r="H1741" t="s">
        <v>3266</v>
      </c>
      <c r="I1741" t="s">
        <v>3344</v>
      </c>
      <c r="J1741" t="s">
        <v>3604</v>
      </c>
      <c r="K1741">
        <v>10032</v>
      </c>
      <c r="L1741" t="s">
        <v>3610</v>
      </c>
      <c r="M1741" t="s">
        <v>3610</v>
      </c>
      <c r="O1741" t="s">
        <v>4211</v>
      </c>
      <c r="P1741" t="s">
        <v>4245</v>
      </c>
      <c r="Q1741" t="s">
        <v>4249</v>
      </c>
      <c r="R1741" t="s">
        <v>4258</v>
      </c>
      <c r="S1741" t="s">
        <v>3611</v>
      </c>
      <c r="U1741" t="s">
        <v>4268</v>
      </c>
      <c r="W1741" t="s">
        <v>144</v>
      </c>
      <c r="X1741">
        <v>2861.25</v>
      </c>
      <c r="Y1741" t="s">
        <v>4351</v>
      </c>
      <c r="Z1741" t="s">
        <v>4354</v>
      </c>
      <c r="AA1741" t="s">
        <v>4377</v>
      </c>
      <c r="AB1741" t="s">
        <v>5755</v>
      </c>
      <c r="AD1741" t="s">
        <v>7083</v>
      </c>
      <c r="AE1741">
        <v>38</v>
      </c>
      <c r="AF1741" t="s">
        <v>7101</v>
      </c>
      <c r="AG1741" t="s">
        <v>3745</v>
      </c>
      <c r="AH1741">
        <v>3</v>
      </c>
      <c r="AI1741">
        <v>1</v>
      </c>
      <c r="AJ1741">
        <v>0</v>
      </c>
      <c r="AK1741">
        <v>733.11</v>
      </c>
      <c r="AN1741" t="s">
        <v>7138</v>
      </c>
      <c r="AO1741">
        <v>89000</v>
      </c>
      <c r="AU1741">
        <v>1.5</v>
      </c>
      <c r="AV1741" t="s">
        <v>204</v>
      </c>
      <c r="AW1741" t="s">
        <v>7342</v>
      </c>
    </row>
    <row r="1742" spans="1:49">
      <c r="A1742" s="1">
        <f>HYPERLINK("https://lsnyc.legalserver.org/matter/dynamic-profile/view/1856256","18-1856256")</f>
        <v>0</v>
      </c>
      <c r="B1742" t="s">
        <v>53</v>
      </c>
      <c r="C1742" t="s">
        <v>104</v>
      </c>
      <c r="D1742" t="s">
        <v>368</v>
      </c>
      <c r="E1742" t="s">
        <v>260</v>
      </c>
      <c r="F1742" t="s">
        <v>1545</v>
      </c>
      <c r="G1742" t="s">
        <v>2442</v>
      </c>
      <c r="H1742" t="s">
        <v>3267</v>
      </c>
      <c r="I1742" t="s">
        <v>3304</v>
      </c>
      <c r="J1742" t="s">
        <v>3604</v>
      </c>
      <c r="K1742">
        <v>10033</v>
      </c>
      <c r="L1742" t="s">
        <v>3610</v>
      </c>
      <c r="M1742" t="s">
        <v>3609</v>
      </c>
      <c r="O1742" t="s">
        <v>4211</v>
      </c>
      <c r="P1742" t="s">
        <v>4242</v>
      </c>
      <c r="Q1742" t="s">
        <v>4250</v>
      </c>
      <c r="R1742" t="s">
        <v>4258</v>
      </c>
      <c r="S1742" t="s">
        <v>3611</v>
      </c>
      <c r="U1742" t="s">
        <v>4268</v>
      </c>
      <c r="W1742" t="s">
        <v>368</v>
      </c>
      <c r="X1742">
        <v>0</v>
      </c>
      <c r="Y1742" t="s">
        <v>4351</v>
      </c>
      <c r="Z1742" t="s">
        <v>4352</v>
      </c>
      <c r="AA1742" t="s">
        <v>4373</v>
      </c>
      <c r="AB1742" t="s">
        <v>5756</v>
      </c>
      <c r="AD1742" t="s">
        <v>7084</v>
      </c>
      <c r="AE1742">
        <v>48</v>
      </c>
      <c r="AF1742" t="s">
        <v>7101</v>
      </c>
      <c r="AG1742" t="s">
        <v>3745</v>
      </c>
      <c r="AH1742">
        <v>0</v>
      </c>
      <c r="AI1742">
        <v>2</v>
      </c>
      <c r="AJ1742">
        <v>1</v>
      </c>
      <c r="AK1742">
        <v>734.5700000000001</v>
      </c>
      <c r="AN1742" t="s">
        <v>7139</v>
      </c>
      <c r="AO1742">
        <v>150000</v>
      </c>
      <c r="AU1742">
        <v>0.2</v>
      </c>
      <c r="AV1742" t="s">
        <v>376</v>
      </c>
      <c r="AW1742" t="s">
        <v>7342</v>
      </c>
    </row>
    <row r="1743" spans="1:49">
      <c r="A1743" s="1">
        <f>HYPERLINK("https://lsnyc.legalserver.org/matter/dynamic-profile/view/1869108","18-1869108")</f>
        <v>0</v>
      </c>
      <c r="B1743" t="s">
        <v>90</v>
      </c>
      <c r="C1743" t="s">
        <v>105</v>
      </c>
      <c r="D1743" t="s">
        <v>649</v>
      </c>
      <c r="F1743" t="s">
        <v>1546</v>
      </c>
      <c r="G1743" t="s">
        <v>1749</v>
      </c>
      <c r="H1743" t="s">
        <v>3042</v>
      </c>
      <c r="I1743" t="s">
        <v>3284</v>
      </c>
      <c r="J1743" t="s">
        <v>3604</v>
      </c>
      <c r="K1743">
        <v>10034</v>
      </c>
      <c r="L1743" t="s">
        <v>3610</v>
      </c>
      <c r="M1743" t="s">
        <v>3609</v>
      </c>
      <c r="N1743" t="s">
        <v>4025</v>
      </c>
      <c r="O1743" t="s">
        <v>4220</v>
      </c>
      <c r="P1743" t="s">
        <v>4243</v>
      </c>
      <c r="R1743" t="s">
        <v>4258</v>
      </c>
      <c r="S1743" t="s">
        <v>3610</v>
      </c>
      <c r="U1743" t="s">
        <v>4268</v>
      </c>
      <c r="W1743" t="s">
        <v>649</v>
      </c>
      <c r="X1743">
        <v>1835</v>
      </c>
      <c r="Y1743" t="s">
        <v>4351</v>
      </c>
      <c r="Z1743" t="s">
        <v>4359</v>
      </c>
      <c r="AB1743" t="s">
        <v>5757</v>
      </c>
      <c r="AD1743" t="s">
        <v>7085</v>
      </c>
      <c r="AE1743">
        <v>72</v>
      </c>
      <c r="AF1743" t="s">
        <v>7101</v>
      </c>
      <c r="AG1743" t="s">
        <v>3745</v>
      </c>
      <c r="AH1743">
        <v>4</v>
      </c>
      <c r="AI1743">
        <v>1</v>
      </c>
      <c r="AJ1743">
        <v>0</v>
      </c>
      <c r="AK1743">
        <v>741.35</v>
      </c>
      <c r="AN1743" t="s">
        <v>7138</v>
      </c>
      <c r="AO1743">
        <v>90000</v>
      </c>
      <c r="AU1743">
        <v>0</v>
      </c>
      <c r="AW1743" t="s">
        <v>7342</v>
      </c>
    </row>
    <row r="1744" spans="1:49">
      <c r="A1744" s="1">
        <f>HYPERLINK("https://lsnyc.legalserver.org/matter/dynamic-profile/view/1869110","18-1869110")</f>
        <v>0</v>
      </c>
      <c r="B1744" t="s">
        <v>90</v>
      </c>
      <c r="C1744" t="s">
        <v>105</v>
      </c>
      <c r="D1744" t="s">
        <v>649</v>
      </c>
      <c r="F1744" t="s">
        <v>1546</v>
      </c>
      <c r="G1744" t="s">
        <v>1749</v>
      </c>
      <c r="H1744" t="s">
        <v>3042</v>
      </c>
      <c r="I1744" t="s">
        <v>3284</v>
      </c>
      <c r="J1744" t="s">
        <v>3604</v>
      </c>
      <c r="K1744">
        <v>10034</v>
      </c>
      <c r="L1744" t="s">
        <v>3610</v>
      </c>
      <c r="M1744" t="s">
        <v>3609</v>
      </c>
      <c r="N1744" t="s">
        <v>4026</v>
      </c>
      <c r="O1744" t="s">
        <v>4220</v>
      </c>
      <c r="P1744" t="s">
        <v>4243</v>
      </c>
      <c r="R1744" t="s">
        <v>4258</v>
      </c>
      <c r="S1744" t="s">
        <v>3610</v>
      </c>
      <c r="U1744" t="s">
        <v>4268</v>
      </c>
      <c r="W1744" t="s">
        <v>649</v>
      </c>
      <c r="X1744">
        <v>1835</v>
      </c>
      <c r="Y1744" t="s">
        <v>4351</v>
      </c>
      <c r="Z1744" t="s">
        <v>4359</v>
      </c>
      <c r="AB1744" t="s">
        <v>5757</v>
      </c>
      <c r="AD1744" t="s">
        <v>7085</v>
      </c>
      <c r="AE1744">
        <v>72</v>
      </c>
      <c r="AF1744" t="s">
        <v>7101</v>
      </c>
      <c r="AG1744" t="s">
        <v>3745</v>
      </c>
      <c r="AH1744">
        <v>4</v>
      </c>
      <c r="AI1744">
        <v>1</v>
      </c>
      <c r="AJ1744">
        <v>0</v>
      </c>
      <c r="AK1744">
        <v>741.35</v>
      </c>
      <c r="AN1744" t="s">
        <v>7138</v>
      </c>
      <c r="AO1744">
        <v>90000</v>
      </c>
      <c r="AU1744">
        <v>0.8</v>
      </c>
      <c r="AV1744" t="s">
        <v>149</v>
      </c>
      <c r="AW1744" t="s">
        <v>7342</v>
      </c>
    </row>
    <row r="1745" spans="1:50">
      <c r="A1745" s="1">
        <f>HYPERLINK("https://lsnyc.legalserver.org/matter/dynamic-profile/view/1879901","18-1879901")</f>
        <v>0</v>
      </c>
      <c r="B1745" t="s">
        <v>64</v>
      </c>
      <c r="C1745" t="s">
        <v>104</v>
      </c>
      <c r="D1745" t="s">
        <v>334</v>
      </c>
      <c r="E1745" t="s">
        <v>277</v>
      </c>
      <c r="F1745" t="s">
        <v>1547</v>
      </c>
      <c r="G1745" t="s">
        <v>2443</v>
      </c>
      <c r="H1745" t="s">
        <v>2576</v>
      </c>
      <c r="I1745" t="s">
        <v>3341</v>
      </c>
      <c r="J1745" t="s">
        <v>3604</v>
      </c>
      <c r="K1745">
        <v>10040</v>
      </c>
      <c r="L1745" t="s">
        <v>3610</v>
      </c>
      <c r="M1745" t="s">
        <v>3610</v>
      </c>
      <c r="O1745" t="s">
        <v>4218</v>
      </c>
      <c r="P1745" t="s">
        <v>4241</v>
      </c>
      <c r="Q1745" t="s">
        <v>4248</v>
      </c>
      <c r="R1745" t="s">
        <v>4258</v>
      </c>
      <c r="S1745" t="s">
        <v>3610</v>
      </c>
      <c r="U1745" t="s">
        <v>4268</v>
      </c>
      <c r="W1745" t="s">
        <v>334</v>
      </c>
      <c r="X1745">
        <v>2145</v>
      </c>
      <c r="Y1745" t="s">
        <v>4351</v>
      </c>
      <c r="Z1745" t="s">
        <v>4354</v>
      </c>
      <c r="AA1745" t="s">
        <v>4379</v>
      </c>
      <c r="AB1745" t="s">
        <v>5741</v>
      </c>
      <c r="AD1745" t="s">
        <v>7086</v>
      </c>
      <c r="AE1745">
        <v>88</v>
      </c>
      <c r="AF1745" t="s">
        <v>7101</v>
      </c>
      <c r="AG1745" t="s">
        <v>3745</v>
      </c>
      <c r="AH1745">
        <v>8</v>
      </c>
      <c r="AI1745">
        <v>2</v>
      </c>
      <c r="AJ1745">
        <v>1</v>
      </c>
      <c r="AK1745">
        <v>745.91</v>
      </c>
      <c r="AN1745" t="s">
        <v>7138</v>
      </c>
      <c r="AO1745">
        <v>155000</v>
      </c>
      <c r="AU1745">
        <v>0.1</v>
      </c>
      <c r="AV1745" t="s">
        <v>277</v>
      </c>
      <c r="AW1745" t="s">
        <v>7342</v>
      </c>
    </row>
    <row r="1746" spans="1:50">
      <c r="A1746" s="1">
        <f>HYPERLINK("https://lsnyc.legalserver.org/matter/dynamic-profile/view/1903289","19-1903289")</f>
        <v>0</v>
      </c>
      <c r="B1746" t="s">
        <v>63</v>
      </c>
      <c r="C1746" t="s">
        <v>105</v>
      </c>
      <c r="D1746" t="s">
        <v>396</v>
      </c>
      <c r="F1746" t="s">
        <v>1548</v>
      </c>
      <c r="G1746" t="s">
        <v>2444</v>
      </c>
      <c r="H1746" t="s">
        <v>3268</v>
      </c>
      <c r="I1746" t="s">
        <v>3295</v>
      </c>
      <c r="J1746" t="s">
        <v>3604</v>
      </c>
      <c r="K1746">
        <v>10033</v>
      </c>
      <c r="L1746" t="s">
        <v>3610</v>
      </c>
      <c r="M1746" t="s">
        <v>3609</v>
      </c>
      <c r="O1746" t="s">
        <v>4219</v>
      </c>
      <c r="P1746" t="s">
        <v>4242</v>
      </c>
      <c r="R1746" t="s">
        <v>4258</v>
      </c>
      <c r="S1746" t="s">
        <v>3611</v>
      </c>
      <c r="U1746" t="s">
        <v>4268</v>
      </c>
      <c r="W1746" t="s">
        <v>396</v>
      </c>
      <c r="X1746">
        <v>1800</v>
      </c>
      <c r="Y1746" t="s">
        <v>4351</v>
      </c>
      <c r="Z1746" t="s">
        <v>4354</v>
      </c>
      <c r="AB1746" t="s">
        <v>5758</v>
      </c>
      <c r="AD1746" t="s">
        <v>7087</v>
      </c>
      <c r="AE1746">
        <v>689</v>
      </c>
      <c r="AF1746" t="s">
        <v>7101</v>
      </c>
      <c r="AG1746" t="s">
        <v>3745</v>
      </c>
      <c r="AH1746">
        <v>5</v>
      </c>
      <c r="AI1746">
        <v>1</v>
      </c>
      <c r="AJ1746">
        <v>0</v>
      </c>
      <c r="AK1746">
        <v>760.61</v>
      </c>
      <c r="AN1746" t="s">
        <v>7138</v>
      </c>
      <c r="AO1746">
        <v>95000</v>
      </c>
      <c r="AU1746">
        <v>0</v>
      </c>
      <c r="AW1746" t="s">
        <v>7342</v>
      </c>
      <c r="AX1746" t="s">
        <v>7377</v>
      </c>
    </row>
    <row r="1747" spans="1:50">
      <c r="A1747" s="1">
        <f>HYPERLINK("https://lsnyc.legalserver.org/matter/dynamic-profile/view/1871582","18-1871582")</f>
        <v>0</v>
      </c>
      <c r="B1747" t="s">
        <v>61</v>
      </c>
      <c r="C1747" t="s">
        <v>105</v>
      </c>
      <c r="D1747" t="s">
        <v>119</v>
      </c>
      <c r="F1747" t="s">
        <v>754</v>
      </c>
      <c r="G1747" t="s">
        <v>2445</v>
      </c>
      <c r="H1747" t="s">
        <v>2472</v>
      </c>
      <c r="J1747" t="s">
        <v>3604</v>
      </c>
      <c r="K1747">
        <v>10034</v>
      </c>
      <c r="L1747" t="s">
        <v>3610</v>
      </c>
      <c r="M1747" t="s">
        <v>3610</v>
      </c>
      <c r="N1747" t="s">
        <v>3619</v>
      </c>
      <c r="O1747" t="s">
        <v>4213</v>
      </c>
      <c r="P1747" t="s">
        <v>4241</v>
      </c>
      <c r="R1747" t="s">
        <v>4258</v>
      </c>
      <c r="S1747" t="s">
        <v>3610</v>
      </c>
      <c r="U1747" t="s">
        <v>4268</v>
      </c>
      <c r="W1747" t="s">
        <v>119</v>
      </c>
      <c r="X1747">
        <v>1920</v>
      </c>
      <c r="Y1747" t="s">
        <v>4351</v>
      </c>
      <c r="Z1747" t="s">
        <v>4354</v>
      </c>
      <c r="AB1747" t="s">
        <v>5759</v>
      </c>
      <c r="AD1747" t="s">
        <v>7088</v>
      </c>
      <c r="AE1747">
        <v>67</v>
      </c>
      <c r="AF1747" t="s">
        <v>7101</v>
      </c>
      <c r="AG1747" t="s">
        <v>3745</v>
      </c>
      <c r="AH1747">
        <v>1</v>
      </c>
      <c r="AI1747">
        <v>1</v>
      </c>
      <c r="AJ1747">
        <v>0</v>
      </c>
      <c r="AK1747">
        <v>766.0599999999999</v>
      </c>
      <c r="AN1747" t="s">
        <v>7138</v>
      </c>
      <c r="AO1747">
        <v>93000</v>
      </c>
      <c r="AU1747">
        <v>1.4</v>
      </c>
      <c r="AV1747" t="s">
        <v>512</v>
      </c>
      <c r="AW1747" t="s">
        <v>7342</v>
      </c>
      <c r="AX1747" t="s">
        <v>7377</v>
      </c>
    </row>
    <row r="1748" spans="1:50">
      <c r="A1748" s="1">
        <f>HYPERLINK("https://lsnyc.legalserver.org/matter/dynamic-profile/view/1869919","18-1869919")</f>
        <v>0</v>
      </c>
      <c r="B1748" t="s">
        <v>56</v>
      </c>
      <c r="C1748" t="s">
        <v>104</v>
      </c>
      <c r="D1748" t="s">
        <v>128</v>
      </c>
      <c r="E1748" t="s">
        <v>665</v>
      </c>
      <c r="F1748" t="s">
        <v>1135</v>
      </c>
      <c r="G1748" t="s">
        <v>2446</v>
      </c>
      <c r="H1748" t="s">
        <v>2482</v>
      </c>
      <c r="I1748" t="s">
        <v>3598</v>
      </c>
      <c r="J1748" t="s">
        <v>3604</v>
      </c>
      <c r="K1748">
        <v>10034</v>
      </c>
      <c r="L1748" t="s">
        <v>3610</v>
      </c>
      <c r="M1748" t="s">
        <v>3610</v>
      </c>
      <c r="O1748" t="s">
        <v>4218</v>
      </c>
      <c r="P1748" t="s">
        <v>4245</v>
      </c>
      <c r="Q1748" t="s">
        <v>4250</v>
      </c>
      <c r="R1748" t="s">
        <v>4258</v>
      </c>
      <c r="S1748" t="s">
        <v>3610</v>
      </c>
      <c r="U1748" t="s">
        <v>4268</v>
      </c>
      <c r="W1748" t="s">
        <v>128</v>
      </c>
      <c r="X1748">
        <v>2150</v>
      </c>
      <c r="Y1748" t="s">
        <v>4351</v>
      </c>
      <c r="Z1748" t="s">
        <v>4354</v>
      </c>
      <c r="AA1748" t="s">
        <v>4373</v>
      </c>
      <c r="AB1748" t="s">
        <v>5760</v>
      </c>
      <c r="AE1748">
        <v>228</v>
      </c>
      <c r="AF1748" t="s">
        <v>7101</v>
      </c>
      <c r="AG1748" t="s">
        <v>3745</v>
      </c>
      <c r="AH1748">
        <v>2</v>
      </c>
      <c r="AI1748">
        <v>2</v>
      </c>
      <c r="AJ1748">
        <v>1</v>
      </c>
      <c r="AK1748">
        <v>794.03</v>
      </c>
      <c r="AN1748" t="s">
        <v>7138</v>
      </c>
      <c r="AO1748">
        <v>165000</v>
      </c>
      <c r="AU1748">
        <v>0.2</v>
      </c>
      <c r="AV1748" t="s">
        <v>665</v>
      </c>
      <c r="AW1748" t="s">
        <v>7342</v>
      </c>
    </row>
    <row r="1749" spans="1:50">
      <c r="A1749" s="1">
        <f>HYPERLINK("https://lsnyc.legalserver.org/matter/dynamic-profile/view/0831069","17-0831069")</f>
        <v>0</v>
      </c>
      <c r="B1749" t="s">
        <v>64</v>
      </c>
      <c r="C1749" t="s">
        <v>105</v>
      </c>
      <c r="D1749" t="s">
        <v>638</v>
      </c>
      <c r="F1749" t="s">
        <v>1549</v>
      </c>
      <c r="G1749" t="s">
        <v>1981</v>
      </c>
      <c r="H1749" t="s">
        <v>2576</v>
      </c>
      <c r="I1749" t="s">
        <v>3331</v>
      </c>
      <c r="J1749" t="s">
        <v>3604</v>
      </c>
      <c r="K1749">
        <v>10040</v>
      </c>
      <c r="L1749" t="s">
        <v>3609</v>
      </c>
      <c r="M1749" t="s">
        <v>3609</v>
      </c>
      <c r="N1749" t="s">
        <v>3780</v>
      </c>
      <c r="O1749" t="s">
        <v>4213</v>
      </c>
      <c r="P1749" t="s">
        <v>4241</v>
      </c>
      <c r="R1749" t="s">
        <v>4258</v>
      </c>
      <c r="S1749" t="s">
        <v>3611</v>
      </c>
      <c r="U1749" t="s">
        <v>4268</v>
      </c>
      <c r="W1749" t="s">
        <v>332</v>
      </c>
      <c r="X1749">
        <v>1651.64</v>
      </c>
      <c r="Y1749" t="s">
        <v>4351</v>
      </c>
      <c r="AB1749" t="s">
        <v>5761</v>
      </c>
      <c r="AE1749">
        <v>83</v>
      </c>
      <c r="AF1749" t="s">
        <v>7101</v>
      </c>
      <c r="AG1749" t="s">
        <v>3745</v>
      </c>
      <c r="AH1749">
        <v>16</v>
      </c>
      <c r="AI1749">
        <v>1</v>
      </c>
      <c r="AJ1749">
        <v>0</v>
      </c>
      <c r="AK1749">
        <v>796.02</v>
      </c>
      <c r="AL1749" t="s">
        <v>518</v>
      </c>
      <c r="AN1749" t="s">
        <v>7138</v>
      </c>
      <c r="AO1749">
        <v>96000</v>
      </c>
      <c r="AU1749">
        <v>0</v>
      </c>
      <c r="AV1749" t="s">
        <v>191</v>
      </c>
      <c r="AW1749" t="s">
        <v>7341</v>
      </c>
    </row>
    <row r="1750" spans="1:50">
      <c r="A1750" s="1">
        <f>HYPERLINK("https://lsnyc.legalserver.org/matter/dynamic-profile/view/0831075","17-0831075")</f>
        <v>0</v>
      </c>
      <c r="B1750" t="s">
        <v>64</v>
      </c>
      <c r="C1750" t="s">
        <v>105</v>
      </c>
      <c r="D1750" t="s">
        <v>638</v>
      </c>
      <c r="F1750" t="s">
        <v>1549</v>
      </c>
      <c r="G1750" t="s">
        <v>1981</v>
      </c>
      <c r="H1750" t="s">
        <v>2576</v>
      </c>
      <c r="I1750" t="s">
        <v>3331</v>
      </c>
      <c r="J1750" t="s">
        <v>3604</v>
      </c>
      <c r="K1750">
        <v>10040</v>
      </c>
      <c r="L1750" t="s">
        <v>3609</v>
      </c>
      <c r="M1750" t="s">
        <v>3609</v>
      </c>
      <c r="N1750" t="s">
        <v>3780</v>
      </c>
      <c r="O1750" t="s">
        <v>4211</v>
      </c>
      <c r="P1750" t="s">
        <v>4244</v>
      </c>
      <c r="R1750" t="s">
        <v>4258</v>
      </c>
      <c r="S1750" t="s">
        <v>3610</v>
      </c>
      <c r="U1750" t="s">
        <v>4268</v>
      </c>
      <c r="W1750" t="s">
        <v>332</v>
      </c>
      <c r="X1750">
        <v>1651.64</v>
      </c>
      <c r="Y1750" t="s">
        <v>4351</v>
      </c>
      <c r="Z1750" t="s">
        <v>4352</v>
      </c>
      <c r="AB1750" t="s">
        <v>5761</v>
      </c>
      <c r="AE1750">
        <v>83</v>
      </c>
      <c r="AF1750" t="s">
        <v>7101</v>
      </c>
      <c r="AG1750" t="s">
        <v>3745</v>
      </c>
      <c r="AH1750">
        <v>16</v>
      </c>
      <c r="AI1750">
        <v>1</v>
      </c>
      <c r="AJ1750">
        <v>0</v>
      </c>
      <c r="AK1750">
        <v>796.02</v>
      </c>
      <c r="AL1750" t="s">
        <v>518</v>
      </c>
      <c r="AN1750" t="s">
        <v>7138</v>
      </c>
      <c r="AO1750">
        <v>96000</v>
      </c>
      <c r="AU1750">
        <v>0</v>
      </c>
      <c r="AW1750" t="s">
        <v>7341</v>
      </c>
    </row>
    <row r="1751" spans="1:50">
      <c r="A1751" s="1">
        <f>HYPERLINK("https://lsnyc.legalserver.org/matter/dynamic-profile/view/1901452","19-1901452")</f>
        <v>0</v>
      </c>
      <c r="B1751" t="s">
        <v>72</v>
      </c>
      <c r="C1751" t="s">
        <v>104</v>
      </c>
      <c r="D1751" t="s">
        <v>371</v>
      </c>
      <c r="E1751" t="s">
        <v>477</v>
      </c>
      <c r="F1751" t="s">
        <v>1377</v>
      </c>
      <c r="G1751" t="s">
        <v>2447</v>
      </c>
      <c r="H1751" t="s">
        <v>2472</v>
      </c>
      <c r="I1751" t="s">
        <v>3335</v>
      </c>
      <c r="J1751" t="s">
        <v>3604</v>
      </c>
      <c r="K1751">
        <v>10034</v>
      </c>
      <c r="L1751" t="s">
        <v>3610</v>
      </c>
      <c r="M1751" t="s">
        <v>3609</v>
      </c>
      <c r="O1751" t="s">
        <v>4219</v>
      </c>
      <c r="P1751" t="s">
        <v>4245</v>
      </c>
      <c r="Q1751" t="s">
        <v>4249</v>
      </c>
      <c r="R1751" t="s">
        <v>4258</v>
      </c>
      <c r="S1751" t="s">
        <v>3611</v>
      </c>
      <c r="U1751" t="s">
        <v>4268</v>
      </c>
      <c r="W1751" t="s">
        <v>371</v>
      </c>
      <c r="X1751">
        <v>2300</v>
      </c>
      <c r="Y1751" t="s">
        <v>4351</v>
      </c>
      <c r="Z1751" t="s">
        <v>4354</v>
      </c>
      <c r="AA1751" t="s">
        <v>4377</v>
      </c>
      <c r="AB1751" t="s">
        <v>5762</v>
      </c>
      <c r="AD1751" t="s">
        <v>7089</v>
      </c>
      <c r="AE1751">
        <v>67</v>
      </c>
      <c r="AF1751" t="s">
        <v>7101</v>
      </c>
      <c r="AG1751" t="s">
        <v>3745</v>
      </c>
      <c r="AH1751">
        <v>1</v>
      </c>
      <c r="AI1751">
        <v>2</v>
      </c>
      <c r="AJ1751">
        <v>0</v>
      </c>
      <c r="AK1751">
        <v>810.17</v>
      </c>
      <c r="AN1751" t="s">
        <v>7138</v>
      </c>
      <c r="AO1751">
        <v>137000</v>
      </c>
      <c r="AU1751">
        <v>0.25</v>
      </c>
      <c r="AV1751" t="s">
        <v>612</v>
      </c>
      <c r="AW1751" t="s">
        <v>7342</v>
      </c>
      <c r="AX1751" t="s">
        <v>7377</v>
      </c>
    </row>
    <row r="1752" spans="1:50">
      <c r="A1752" s="1">
        <f>HYPERLINK("https://lsnyc.legalserver.org/matter/dynamic-profile/view/1841930","17-1841930")</f>
        <v>0</v>
      </c>
      <c r="B1752" t="s">
        <v>53</v>
      </c>
      <c r="C1752" t="s">
        <v>104</v>
      </c>
      <c r="D1752" t="s">
        <v>312</v>
      </c>
      <c r="E1752" t="s">
        <v>335</v>
      </c>
      <c r="F1752" t="s">
        <v>750</v>
      </c>
      <c r="G1752" t="s">
        <v>2448</v>
      </c>
      <c r="H1752" t="s">
        <v>2828</v>
      </c>
      <c r="I1752" t="s">
        <v>3599</v>
      </c>
      <c r="J1752" t="s">
        <v>3604</v>
      </c>
      <c r="K1752">
        <v>10034</v>
      </c>
      <c r="L1752" t="s">
        <v>3610</v>
      </c>
      <c r="M1752" t="s">
        <v>3610</v>
      </c>
      <c r="O1752" t="s">
        <v>4213</v>
      </c>
      <c r="P1752" t="s">
        <v>4245</v>
      </c>
      <c r="Q1752" t="s">
        <v>4249</v>
      </c>
      <c r="R1752" t="s">
        <v>4258</v>
      </c>
      <c r="S1752" t="s">
        <v>3610</v>
      </c>
      <c r="U1752" t="s">
        <v>4268</v>
      </c>
      <c r="W1752" t="s">
        <v>133</v>
      </c>
      <c r="X1752">
        <v>2750</v>
      </c>
      <c r="Y1752" t="s">
        <v>4351</v>
      </c>
      <c r="Z1752" t="s">
        <v>4354</v>
      </c>
      <c r="AA1752" t="s">
        <v>4373</v>
      </c>
      <c r="AB1752" t="s">
        <v>5763</v>
      </c>
      <c r="AD1752" t="s">
        <v>7090</v>
      </c>
      <c r="AE1752">
        <v>65</v>
      </c>
      <c r="AF1752" t="s">
        <v>7101</v>
      </c>
      <c r="AG1752" t="s">
        <v>3745</v>
      </c>
      <c r="AH1752">
        <v>2</v>
      </c>
      <c r="AI1752">
        <v>3</v>
      </c>
      <c r="AJ1752">
        <v>0</v>
      </c>
      <c r="AK1752">
        <v>817.83</v>
      </c>
      <c r="AN1752" t="s">
        <v>7138</v>
      </c>
      <c r="AO1752">
        <v>167000</v>
      </c>
      <c r="AU1752">
        <v>0.5</v>
      </c>
      <c r="AV1752" t="s">
        <v>335</v>
      </c>
      <c r="AW1752" t="s">
        <v>7342</v>
      </c>
    </row>
    <row r="1753" spans="1:50">
      <c r="A1753" s="1">
        <f>HYPERLINK("https://lsnyc.legalserver.org/matter/dynamic-profile/view/1883950","18-1883950")</f>
        <v>0</v>
      </c>
      <c r="B1753" t="s">
        <v>61</v>
      </c>
      <c r="C1753" t="s">
        <v>104</v>
      </c>
      <c r="D1753" t="s">
        <v>213</v>
      </c>
      <c r="E1753" t="s">
        <v>201</v>
      </c>
      <c r="F1753" t="s">
        <v>1550</v>
      </c>
      <c r="G1753" t="s">
        <v>2449</v>
      </c>
      <c r="H1753" t="s">
        <v>3269</v>
      </c>
      <c r="I1753">
        <v>68</v>
      </c>
      <c r="J1753" t="s">
        <v>3604</v>
      </c>
      <c r="K1753">
        <v>10033</v>
      </c>
      <c r="L1753" t="s">
        <v>3610</v>
      </c>
      <c r="M1753" t="s">
        <v>3611</v>
      </c>
      <c r="O1753" t="s">
        <v>4211</v>
      </c>
      <c r="P1753" t="s">
        <v>4242</v>
      </c>
      <c r="Q1753" t="s">
        <v>4250</v>
      </c>
      <c r="R1753" t="s">
        <v>4258</v>
      </c>
      <c r="S1753" t="s">
        <v>3611</v>
      </c>
      <c r="U1753" t="s">
        <v>4268</v>
      </c>
      <c r="W1753" t="s">
        <v>165</v>
      </c>
      <c r="X1753">
        <v>1190</v>
      </c>
      <c r="Y1753" t="s">
        <v>4351</v>
      </c>
      <c r="Z1753" t="s">
        <v>4354</v>
      </c>
      <c r="AA1753" t="s">
        <v>4373</v>
      </c>
      <c r="AB1753" t="s">
        <v>5764</v>
      </c>
      <c r="AD1753" t="s">
        <v>7091</v>
      </c>
      <c r="AE1753">
        <v>67</v>
      </c>
      <c r="AF1753" t="s">
        <v>7101</v>
      </c>
      <c r="AG1753" t="s">
        <v>3745</v>
      </c>
      <c r="AH1753">
        <v>30</v>
      </c>
      <c r="AI1753">
        <v>1</v>
      </c>
      <c r="AJ1753">
        <v>0</v>
      </c>
      <c r="AK1753">
        <v>823.72</v>
      </c>
      <c r="AN1753" t="s">
        <v>7138</v>
      </c>
      <c r="AO1753">
        <v>100000</v>
      </c>
      <c r="AU1753">
        <v>1.5</v>
      </c>
      <c r="AV1753" t="s">
        <v>582</v>
      </c>
      <c r="AW1753" t="s">
        <v>7342</v>
      </c>
      <c r="AX1753" t="s">
        <v>7377</v>
      </c>
    </row>
    <row r="1754" spans="1:50">
      <c r="A1754" s="1">
        <f>HYPERLINK("https://lsnyc.legalserver.org/matter/dynamic-profile/view/1841939","17-1841939")</f>
        <v>0</v>
      </c>
      <c r="B1754" t="s">
        <v>53</v>
      </c>
      <c r="C1754" t="s">
        <v>104</v>
      </c>
      <c r="D1754" t="s">
        <v>312</v>
      </c>
      <c r="E1754" t="s">
        <v>335</v>
      </c>
      <c r="F1754" t="s">
        <v>844</v>
      </c>
      <c r="G1754" t="s">
        <v>2450</v>
      </c>
      <c r="H1754" t="s">
        <v>2828</v>
      </c>
      <c r="I1754" t="s">
        <v>3600</v>
      </c>
      <c r="J1754" t="s">
        <v>3604</v>
      </c>
      <c r="K1754">
        <v>10034</v>
      </c>
      <c r="L1754" t="s">
        <v>3610</v>
      </c>
      <c r="M1754" t="s">
        <v>3610</v>
      </c>
      <c r="O1754" t="s">
        <v>4213</v>
      </c>
      <c r="P1754" t="s">
        <v>4245</v>
      </c>
      <c r="Q1754" t="s">
        <v>4249</v>
      </c>
      <c r="R1754" t="s">
        <v>4258</v>
      </c>
      <c r="S1754" t="s">
        <v>3610</v>
      </c>
      <c r="U1754" t="s">
        <v>4268</v>
      </c>
      <c r="W1754" t="s">
        <v>133</v>
      </c>
      <c r="X1754">
        <v>1650</v>
      </c>
      <c r="Y1754" t="s">
        <v>4351</v>
      </c>
      <c r="Z1754" t="s">
        <v>4354</v>
      </c>
      <c r="AA1754" t="s">
        <v>4373</v>
      </c>
      <c r="AB1754" t="s">
        <v>5765</v>
      </c>
      <c r="AD1754" t="s">
        <v>7092</v>
      </c>
      <c r="AE1754">
        <v>65</v>
      </c>
      <c r="AF1754" t="s">
        <v>7101</v>
      </c>
      <c r="AG1754" t="s">
        <v>3745</v>
      </c>
      <c r="AH1754">
        <v>5</v>
      </c>
      <c r="AI1754">
        <v>1</v>
      </c>
      <c r="AJ1754">
        <v>0</v>
      </c>
      <c r="AK1754">
        <v>829.1900000000001</v>
      </c>
      <c r="AN1754" t="s">
        <v>7138</v>
      </c>
      <c r="AO1754">
        <v>100000</v>
      </c>
      <c r="AU1754">
        <v>0.5</v>
      </c>
      <c r="AV1754" t="s">
        <v>335</v>
      </c>
      <c r="AW1754" t="s">
        <v>7342</v>
      </c>
    </row>
    <row r="1755" spans="1:50">
      <c r="A1755" s="1">
        <f>HYPERLINK("https://lsnyc.legalserver.org/matter/dynamic-profile/view/1903635","19-1903635")</f>
        <v>0</v>
      </c>
      <c r="B1755" t="s">
        <v>52</v>
      </c>
      <c r="C1755" t="s">
        <v>105</v>
      </c>
      <c r="D1755" t="s">
        <v>325</v>
      </c>
      <c r="F1755" t="s">
        <v>1551</v>
      </c>
      <c r="G1755" t="s">
        <v>1796</v>
      </c>
      <c r="H1755" t="s">
        <v>2478</v>
      </c>
      <c r="I1755" t="s">
        <v>3274</v>
      </c>
      <c r="J1755" t="s">
        <v>3604</v>
      </c>
      <c r="K1755">
        <v>10034</v>
      </c>
      <c r="L1755" t="s">
        <v>3610</v>
      </c>
      <c r="M1755" t="s">
        <v>3609</v>
      </c>
      <c r="O1755" t="s">
        <v>4213</v>
      </c>
      <c r="P1755" t="s">
        <v>4246</v>
      </c>
      <c r="R1755" t="s">
        <v>4258</v>
      </c>
      <c r="S1755" t="s">
        <v>3611</v>
      </c>
      <c r="U1755" t="s">
        <v>4268</v>
      </c>
      <c r="W1755" t="s">
        <v>325</v>
      </c>
      <c r="X1755">
        <v>2450</v>
      </c>
      <c r="Y1755" t="s">
        <v>4351</v>
      </c>
      <c r="Z1755" t="s">
        <v>4354</v>
      </c>
      <c r="AB1755" t="s">
        <v>5766</v>
      </c>
      <c r="AD1755" t="s">
        <v>7093</v>
      </c>
      <c r="AE1755">
        <v>47</v>
      </c>
      <c r="AF1755" t="s">
        <v>7101</v>
      </c>
      <c r="AG1755" t="s">
        <v>3745</v>
      </c>
      <c r="AH1755">
        <v>3</v>
      </c>
      <c r="AI1755">
        <v>2</v>
      </c>
      <c r="AJ1755">
        <v>1</v>
      </c>
      <c r="AK1755">
        <v>839.1900000000001</v>
      </c>
      <c r="AN1755" t="s">
        <v>7138</v>
      </c>
      <c r="AO1755">
        <v>179000</v>
      </c>
      <c r="AU1755">
        <v>1.1</v>
      </c>
      <c r="AV1755" t="s">
        <v>325</v>
      </c>
      <c r="AW1755" t="s">
        <v>7342</v>
      </c>
      <c r="AX1755" t="s">
        <v>7377</v>
      </c>
    </row>
    <row r="1756" spans="1:50">
      <c r="A1756" s="1">
        <f>HYPERLINK("https://lsnyc.legalserver.org/matter/dynamic-profile/view/1871568","18-1871568")</f>
        <v>0</v>
      </c>
      <c r="B1756" t="s">
        <v>61</v>
      </c>
      <c r="C1756" t="s">
        <v>105</v>
      </c>
      <c r="D1756" t="s">
        <v>119</v>
      </c>
      <c r="F1756" t="s">
        <v>1552</v>
      </c>
      <c r="G1756" t="s">
        <v>2451</v>
      </c>
      <c r="H1756" t="s">
        <v>2472</v>
      </c>
      <c r="I1756" t="s">
        <v>3287</v>
      </c>
      <c r="J1756" t="s">
        <v>3604</v>
      </c>
      <c r="K1756">
        <v>10034</v>
      </c>
      <c r="L1756" t="s">
        <v>3610</v>
      </c>
      <c r="M1756" t="s">
        <v>3610</v>
      </c>
      <c r="N1756" t="s">
        <v>3619</v>
      </c>
      <c r="O1756" t="s">
        <v>4213</v>
      </c>
      <c r="P1756" t="s">
        <v>4241</v>
      </c>
      <c r="R1756" t="s">
        <v>4258</v>
      </c>
      <c r="S1756" t="s">
        <v>3610</v>
      </c>
      <c r="U1756" t="s">
        <v>4268</v>
      </c>
      <c r="W1756" t="s">
        <v>119</v>
      </c>
      <c r="X1756">
        <v>1589.4</v>
      </c>
      <c r="Y1756" t="s">
        <v>4351</v>
      </c>
      <c r="Z1756" t="s">
        <v>4354</v>
      </c>
      <c r="AB1756" t="s">
        <v>5767</v>
      </c>
      <c r="AD1756" t="s">
        <v>7094</v>
      </c>
      <c r="AE1756">
        <v>67</v>
      </c>
      <c r="AF1756" t="s">
        <v>7101</v>
      </c>
      <c r="AG1756" t="s">
        <v>3745</v>
      </c>
      <c r="AH1756">
        <v>4</v>
      </c>
      <c r="AI1756">
        <v>1</v>
      </c>
      <c r="AJ1756">
        <v>0</v>
      </c>
      <c r="AK1756">
        <v>864.91</v>
      </c>
      <c r="AN1756" t="s">
        <v>7138</v>
      </c>
      <c r="AO1756">
        <v>105000</v>
      </c>
      <c r="AU1756">
        <v>0.4</v>
      </c>
      <c r="AV1756" t="s">
        <v>4293</v>
      </c>
      <c r="AW1756" t="s">
        <v>7342</v>
      </c>
      <c r="AX1756" t="s">
        <v>7377</v>
      </c>
    </row>
    <row r="1757" spans="1:50">
      <c r="A1757" s="1">
        <f>HYPERLINK("https://lsnyc.legalserver.org/matter/dynamic-profile/view/1882803","18-1882803")</f>
        <v>0</v>
      </c>
      <c r="B1757" t="s">
        <v>62</v>
      </c>
      <c r="C1757" t="s">
        <v>104</v>
      </c>
      <c r="D1757" t="s">
        <v>474</v>
      </c>
      <c r="E1757" t="s">
        <v>447</v>
      </c>
      <c r="F1757" t="s">
        <v>1553</v>
      </c>
      <c r="G1757" t="s">
        <v>2452</v>
      </c>
      <c r="H1757" t="s">
        <v>3270</v>
      </c>
      <c r="I1757" t="s">
        <v>3294</v>
      </c>
      <c r="J1757" t="s">
        <v>3604</v>
      </c>
      <c r="K1757">
        <v>10040</v>
      </c>
      <c r="L1757" t="s">
        <v>3610</v>
      </c>
      <c r="M1757" t="s">
        <v>3610</v>
      </c>
      <c r="O1757" t="s">
        <v>4210</v>
      </c>
      <c r="P1757" t="s">
        <v>4242</v>
      </c>
      <c r="Q1757" t="s">
        <v>4250</v>
      </c>
      <c r="R1757" t="s">
        <v>4258</v>
      </c>
      <c r="S1757" t="s">
        <v>3611</v>
      </c>
      <c r="U1757" t="s">
        <v>4268</v>
      </c>
      <c r="W1757" t="s">
        <v>192</v>
      </c>
      <c r="X1757">
        <v>250</v>
      </c>
      <c r="Y1757" t="s">
        <v>4351</v>
      </c>
      <c r="Z1757" t="s">
        <v>4354</v>
      </c>
      <c r="AA1757" t="s">
        <v>4373</v>
      </c>
      <c r="AB1757" t="s">
        <v>5768</v>
      </c>
      <c r="AD1757" t="s">
        <v>7095</v>
      </c>
      <c r="AE1757">
        <v>85</v>
      </c>
      <c r="AF1757" t="s">
        <v>7101</v>
      </c>
      <c r="AG1757" t="s">
        <v>3745</v>
      </c>
      <c r="AH1757">
        <v>1</v>
      </c>
      <c r="AI1757">
        <v>2</v>
      </c>
      <c r="AJ1757">
        <v>0</v>
      </c>
      <c r="AK1757">
        <v>880.92</v>
      </c>
      <c r="AN1757" t="s">
        <v>7138</v>
      </c>
      <c r="AO1757">
        <v>145000</v>
      </c>
      <c r="AU1757">
        <v>1.1</v>
      </c>
      <c r="AV1757" t="s">
        <v>447</v>
      </c>
      <c r="AW1757" t="s">
        <v>7342</v>
      </c>
    </row>
    <row r="1758" spans="1:50">
      <c r="A1758" s="1">
        <f>HYPERLINK("https://lsnyc.legalserver.org/matter/dynamic-profile/view/1901164","19-1901164")</f>
        <v>0</v>
      </c>
      <c r="B1758" t="s">
        <v>63</v>
      </c>
      <c r="C1758" t="s">
        <v>104</v>
      </c>
      <c r="D1758" t="s">
        <v>637</v>
      </c>
      <c r="E1758" t="s">
        <v>512</v>
      </c>
      <c r="F1758" t="s">
        <v>1554</v>
      </c>
      <c r="G1758" t="s">
        <v>1636</v>
      </c>
      <c r="H1758" t="s">
        <v>3271</v>
      </c>
      <c r="I1758" t="s">
        <v>3335</v>
      </c>
      <c r="J1758" t="s">
        <v>3604</v>
      </c>
      <c r="K1758">
        <v>10034</v>
      </c>
      <c r="L1758" t="s">
        <v>3610</v>
      </c>
      <c r="M1758" t="s">
        <v>3609</v>
      </c>
      <c r="O1758" t="s">
        <v>4218</v>
      </c>
      <c r="P1758" t="s">
        <v>4246</v>
      </c>
      <c r="Q1758" t="s">
        <v>4249</v>
      </c>
      <c r="R1758" t="s">
        <v>4258</v>
      </c>
      <c r="S1758" t="s">
        <v>3611</v>
      </c>
      <c r="U1758" t="s">
        <v>4268</v>
      </c>
      <c r="W1758" t="s">
        <v>637</v>
      </c>
      <c r="X1758">
        <v>1670</v>
      </c>
      <c r="Y1758" t="s">
        <v>4351</v>
      </c>
      <c r="Z1758" t="s">
        <v>4354</v>
      </c>
      <c r="AA1758" t="s">
        <v>4384</v>
      </c>
      <c r="AB1758" t="s">
        <v>5769</v>
      </c>
      <c r="AD1758" t="s">
        <v>7096</v>
      </c>
      <c r="AE1758">
        <v>60</v>
      </c>
      <c r="AF1758" t="s">
        <v>7101</v>
      </c>
      <c r="AG1758" t="s">
        <v>3745</v>
      </c>
      <c r="AH1758">
        <v>6</v>
      </c>
      <c r="AI1758">
        <v>1</v>
      </c>
      <c r="AJ1758">
        <v>0</v>
      </c>
      <c r="AK1758">
        <v>960.77</v>
      </c>
      <c r="AN1758" t="s">
        <v>7138</v>
      </c>
      <c r="AO1758">
        <v>120000</v>
      </c>
      <c r="AU1758">
        <v>0.1</v>
      </c>
      <c r="AV1758" t="s">
        <v>512</v>
      </c>
      <c r="AW1758" t="s">
        <v>7342</v>
      </c>
      <c r="AX1758" t="s">
        <v>7377</v>
      </c>
    </row>
    <row r="1759" spans="1:50">
      <c r="A1759" s="1">
        <f>HYPERLINK("https://lsnyc.legalserver.org/matter/dynamic-profile/view/1869913","18-1869913")</f>
        <v>0</v>
      </c>
      <c r="B1759" t="s">
        <v>56</v>
      </c>
      <c r="C1759" t="s">
        <v>104</v>
      </c>
      <c r="D1759" t="s">
        <v>128</v>
      </c>
      <c r="E1759" t="s">
        <v>665</v>
      </c>
      <c r="F1759" t="s">
        <v>814</v>
      </c>
      <c r="G1759" t="s">
        <v>1751</v>
      </c>
      <c r="H1759" t="s">
        <v>2757</v>
      </c>
      <c r="I1759" t="s">
        <v>3601</v>
      </c>
      <c r="J1759" t="s">
        <v>3604</v>
      </c>
      <c r="K1759">
        <v>10034</v>
      </c>
      <c r="L1759" t="s">
        <v>3610</v>
      </c>
      <c r="M1759" t="s">
        <v>3610</v>
      </c>
      <c r="O1759" t="s">
        <v>4218</v>
      </c>
      <c r="P1759" t="s">
        <v>4245</v>
      </c>
      <c r="Q1759" t="s">
        <v>4250</v>
      </c>
      <c r="R1759" t="s">
        <v>4258</v>
      </c>
      <c r="S1759" t="s">
        <v>3610</v>
      </c>
      <c r="U1759" t="s">
        <v>4268</v>
      </c>
      <c r="W1759" t="s">
        <v>128</v>
      </c>
      <c r="X1759">
        <v>0</v>
      </c>
      <c r="Y1759" t="s">
        <v>4351</v>
      </c>
      <c r="Z1759" t="s">
        <v>4354</v>
      </c>
      <c r="AA1759" t="s">
        <v>4373</v>
      </c>
      <c r="AB1759" t="s">
        <v>5770</v>
      </c>
      <c r="AE1759">
        <v>228</v>
      </c>
      <c r="AF1759" t="s">
        <v>7101</v>
      </c>
      <c r="AG1759" t="s">
        <v>3745</v>
      </c>
      <c r="AH1759">
        <v>0</v>
      </c>
      <c r="AI1759">
        <v>2</v>
      </c>
      <c r="AJ1759">
        <v>0</v>
      </c>
      <c r="AK1759">
        <v>972.05</v>
      </c>
      <c r="AN1759" t="s">
        <v>7138</v>
      </c>
      <c r="AO1759">
        <v>160000</v>
      </c>
      <c r="AU1759">
        <v>0.2</v>
      </c>
      <c r="AV1759" t="s">
        <v>665</v>
      </c>
      <c r="AW1759" t="s">
        <v>7342</v>
      </c>
    </row>
    <row r="1760" spans="1:50">
      <c r="A1760" s="1">
        <f>HYPERLINK("https://lsnyc.legalserver.org/matter/dynamic-profile/view/0826989","17-0826989")</f>
        <v>0</v>
      </c>
      <c r="B1760" t="s">
        <v>64</v>
      </c>
      <c r="C1760" t="s">
        <v>105</v>
      </c>
      <c r="D1760" t="s">
        <v>382</v>
      </c>
      <c r="F1760" t="s">
        <v>977</v>
      </c>
      <c r="G1760" t="s">
        <v>1848</v>
      </c>
      <c r="H1760" t="s">
        <v>2819</v>
      </c>
      <c r="I1760" t="s">
        <v>3319</v>
      </c>
      <c r="J1760" t="s">
        <v>3604</v>
      </c>
      <c r="K1760">
        <v>10040</v>
      </c>
      <c r="L1760" t="s">
        <v>3610</v>
      </c>
      <c r="M1760" t="s">
        <v>3609</v>
      </c>
      <c r="N1760" t="s">
        <v>3780</v>
      </c>
      <c r="O1760" t="s">
        <v>4213</v>
      </c>
      <c r="P1760" t="s">
        <v>4241</v>
      </c>
      <c r="R1760" t="s">
        <v>4258</v>
      </c>
      <c r="S1760" t="s">
        <v>3610</v>
      </c>
      <c r="U1760" t="s">
        <v>4268</v>
      </c>
      <c r="W1760" t="s">
        <v>4301</v>
      </c>
      <c r="X1760">
        <v>1056.82</v>
      </c>
      <c r="Y1760" t="s">
        <v>4351</v>
      </c>
      <c r="Z1760" t="s">
        <v>4352</v>
      </c>
      <c r="AB1760" t="s">
        <v>5771</v>
      </c>
      <c r="AD1760" t="s">
        <v>7097</v>
      </c>
      <c r="AE1760">
        <v>83</v>
      </c>
      <c r="AF1760" t="s">
        <v>7101</v>
      </c>
      <c r="AG1760" t="s">
        <v>3745</v>
      </c>
      <c r="AH1760">
        <v>0</v>
      </c>
      <c r="AI1760">
        <v>1</v>
      </c>
      <c r="AJ1760">
        <v>0</v>
      </c>
      <c r="AK1760">
        <v>995.02</v>
      </c>
      <c r="AL1760" t="s">
        <v>518</v>
      </c>
      <c r="AN1760" t="s">
        <v>7138</v>
      </c>
      <c r="AO1760">
        <v>120000</v>
      </c>
      <c r="AU1760">
        <v>0.7</v>
      </c>
      <c r="AV1760" t="s">
        <v>403</v>
      </c>
      <c r="AW1760" t="s">
        <v>7341</v>
      </c>
    </row>
    <row r="1761" spans="1:50">
      <c r="A1761" s="1">
        <f>HYPERLINK("https://lsnyc.legalserver.org/matter/dynamic-profile/view/1901975","19-1901975")</f>
        <v>0</v>
      </c>
      <c r="B1761" t="s">
        <v>72</v>
      </c>
      <c r="C1761" t="s">
        <v>104</v>
      </c>
      <c r="D1761" t="s">
        <v>122</v>
      </c>
      <c r="E1761" t="s">
        <v>612</v>
      </c>
      <c r="F1761" t="s">
        <v>1555</v>
      </c>
      <c r="G1761" t="s">
        <v>1024</v>
      </c>
      <c r="H1761" t="s">
        <v>3272</v>
      </c>
      <c r="I1761" t="s">
        <v>3289</v>
      </c>
      <c r="J1761" t="s">
        <v>3604</v>
      </c>
      <c r="K1761">
        <v>10034</v>
      </c>
      <c r="L1761" t="s">
        <v>3610</v>
      </c>
      <c r="M1761" t="s">
        <v>3609</v>
      </c>
      <c r="O1761" t="s">
        <v>4211</v>
      </c>
      <c r="P1761" t="s">
        <v>4245</v>
      </c>
      <c r="Q1761" t="s">
        <v>4249</v>
      </c>
      <c r="R1761" t="s">
        <v>4258</v>
      </c>
      <c r="S1761" t="s">
        <v>3611</v>
      </c>
      <c r="U1761" t="s">
        <v>4268</v>
      </c>
      <c r="W1761" t="s">
        <v>122</v>
      </c>
      <c r="X1761">
        <v>2768.63</v>
      </c>
      <c r="Y1761" t="s">
        <v>4351</v>
      </c>
      <c r="Z1761" t="s">
        <v>4354</v>
      </c>
      <c r="AA1761" t="s">
        <v>4377</v>
      </c>
      <c r="AB1761" t="s">
        <v>5772</v>
      </c>
      <c r="AE1761">
        <v>74</v>
      </c>
      <c r="AF1761" t="s">
        <v>7101</v>
      </c>
      <c r="AG1761" t="s">
        <v>3745</v>
      </c>
      <c r="AH1761">
        <v>15</v>
      </c>
      <c r="AI1761">
        <v>2</v>
      </c>
      <c r="AJ1761">
        <v>0</v>
      </c>
      <c r="AK1761">
        <v>1005.32</v>
      </c>
      <c r="AN1761" t="s">
        <v>7138</v>
      </c>
      <c r="AO1761">
        <v>170000</v>
      </c>
      <c r="AU1761">
        <v>0.25</v>
      </c>
      <c r="AV1761" t="s">
        <v>612</v>
      </c>
      <c r="AW1761" t="s">
        <v>7342</v>
      </c>
      <c r="AX1761" t="s">
        <v>7377</v>
      </c>
    </row>
    <row r="1762" spans="1:50">
      <c r="A1762" s="1">
        <f>HYPERLINK("https://lsnyc.legalserver.org/matter/dynamic-profile/view/1841899","17-1841899")</f>
        <v>0</v>
      </c>
      <c r="B1762" t="s">
        <v>53</v>
      </c>
      <c r="C1762" t="s">
        <v>104</v>
      </c>
      <c r="D1762" t="s">
        <v>312</v>
      </c>
      <c r="E1762" t="s">
        <v>335</v>
      </c>
      <c r="F1762" t="s">
        <v>1556</v>
      </c>
      <c r="G1762" t="s">
        <v>2453</v>
      </c>
      <c r="H1762" t="s">
        <v>2828</v>
      </c>
      <c r="I1762" t="s">
        <v>3602</v>
      </c>
      <c r="J1762" t="s">
        <v>3604</v>
      </c>
      <c r="K1762">
        <v>10034</v>
      </c>
      <c r="L1762" t="s">
        <v>3610</v>
      </c>
      <c r="M1762" t="s">
        <v>3610</v>
      </c>
      <c r="O1762" t="s">
        <v>4213</v>
      </c>
      <c r="P1762" t="s">
        <v>4245</v>
      </c>
      <c r="Q1762" t="s">
        <v>4249</v>
      </c>
      <c r="R1762" t="s">
        <v>4258</v>
      </c>
      <c r="S1762" t="s">
        <v>3610</v>
      </c>
      <c r="U1762" t="s">
        <v>4268</v>
      </c>
      <c r="W1762" t="s">
        <v>133</v>
      </c>
      <c r="X1762">
        <v>1680</v>
      </c>
      <c r="Y1762" t="s">
        <v>4351</v>
      </c>
      <c r="Z1762" t="s">
        <v>4354</v>
      </c>
      <c r="AA1762" t="s">
        <v>4373</v>
      </c>
      <c r="AB1762" t="s">
        <v>5773</v>
      </c>
      <c r="AE1762">
        <v>65</v>
      </c>
      <c r="AF1762" t="s">
        <v>7101</v>
      </c>
      <c r="AG1762" t="s">
        <v>3745</v>
      </c>
      <c r="AH1762">
        <v>2</v>
      </c>
      <c r="AI1762">
        <v>2</v>
      </c>
      <c r="AJ1762">
        <v>0</v>
      </c>
      <c r="AK1762">
        <v>1022.17</v>
      </c>
      <c r="AN1762" t="s">
        <v>7138</v>
      </c>
      <c r="AO1762">
        <v>166000</v>
      </c>
      <c r="AP1762" t="s">
        <v>7195</v>
      </c>
      <c r="AU1762">
        <v>0.3</v>
      </c>
      <c r="AV1762" t="s">
        <v>335</v>
      </c>
      <c r="AW1762" t="s">
        <v>7342</v>
      </c>
    </row>
    <row r="1763" spans="1:50">
      <c r="A1763" s="1">
        <f>HYPERLINK("https://lsnyc.legalserver.org/matter/dynamic-profile/view/1871586","18-1871586")</f>
        <v>0</v>
      </c>
      <c r="B1763" t="s">
        <v>61</v>
      </c>
      <c r="C1763" t="s">
        <v>105</v>
      </c>
      <c r="D1763" t="s">
        <v>119</v>
      </c>
      <c r="F1763" t="s">
        <v>700</v>
      </c>
      <c r="G1763" t="s">
        <v>2454</v>
      </c>
      <c r="H1763" t="s">
        <v>2472</v>
      </c>
      <c r="I1763" t="s">
        <v>3293</v>
      </c>
      <c r="J1763" t="s">
        <v>3604</v>
      </c>
      <c r="K1763">
        <v>10034</v>
      </c>
      <c r="L1763" t="s">
        <v>3610</v>
      </c>
      <c r="M1763" t="s">
        <v>3609</v>
      </c>
      <c r="N1763" t="s">
        <v>3619</v>
      </c>
      <c r="O1763" t="s">
        <v>4213</v>
      </c>
      <c r="P1763" t="s">
        <v>4241</v>
      </c>
      <c r="R1763" t="s">
        <v>4258</v>
      </c>
      <c r="S1763" t="s">
        <v>3610</v>
      </c>
      <c r="U1763" t="s">
        <v>4268</v>
      </c>
      <c r="W1763" t="s">
        <v>119</v>
      </c>
      <c r="X1763">
        <v>1800</v>
      </c>
      <c r="Y1763" t="s">
        <v>4351</v>
      </c>
      <c r="Z1763" t="s">
        <v>4354</v>
      </c>
      <c r="AB1763" t="s">
        <v>5774</v>
      </c>
      <c r="AE1763">
        <v>67</v>
      </c>
      <c r="AF1763" t="s">
        <v>7101</v>
      </c>
      <c r="AG1763" t="s">
        <v>3745</v>
      </c>
      <c r="AH1763">
        <v>1</v>
      </c>
      <c r="AI1763">
        <v>1</v>
      </c>
      <c r="AJ1763">
        <v>0</v>
      </c>
      <c r="AK1763">
        <v>1029.65</v>
      </c>
      <c r="AN1763" t="s">
        <v>7138</v>
      </c>
      <c r="AO1763">
        <v>125000</v>
      </c>
      <c r="AU1763">
        <v>0.4</v>
      </c>
      <c r="AV1763" t="s">
        <v>4293</v>
      </c>
      <c r="AW1763" t="s">
        <v>7342</v>
      </c>
      <c r="AX1763" t="s">
        <v>7377</v>
      </c>
    </row>
    <row r="1764" spans="1:50">
      <c r="A1764" s="1">
        <f>HYPERLINK("https://lsnyc.legalserver.org/matter/dynamic-profile/view/0831104","17-0831104")</f>
        <v>0</v>
      </c>
      <c r="B1764" t="s">
        <v>64</v>
      </c>
      <c r="C1764" t="s">
        <v>105</v>
      </c>
      <c r="D1764" t="s">
        <v>638</v>
      </c>
      <c r="F1764" t="s">
        <v>1557</v>
      </c>
      <c r="G1764" t="s">
        <v>2455</v>
      </c>
      <c r="H1764" t="s">
        <v>2819</v>
      </c>
      <c r="I1764" t="s">
        <v>3368</v>
      </c>
      <c r="J1764" t="s">
        <v>3604</v>
      </c>
      <c r="K1764">
        <v>10040</v>
      </c>
      <c r="L1764" t="s">
        <v>3609</v>
      </c>
      <c r="M1764" t="s">
        <v>3609</v>
      </c>
      <c r="N1764" t="s">
        <v>3780</v>
      </c>
      <c r="O1764" t="s">
        <v>4213</v>
      </c>
      <c r="P1764" t="s">
        <v>4241</v>
      </c>
      <c r="R1764" t="s">
        <v>4258</v>
      </c>
      <c r="S1764" t="s">
        <v>3610</v>
      </c>
      <c r="U1764" t="s">
        <v>4268</v>
      </c>
      <c r="W1764" t="s">
        <v>4301</v>
      </c>
      <c r="X1764">
        <v>2500</v>
      </c>
      <c r="Y1764" t="s">
        <v>4351</v>
      </c>
      <c r="Z1764" t="s">
        <v>4352</v>
      </c>
      <c r="AB1764" t="s">
        <v>5775</v>
      </c>
      <c r="AE1764">
        <v>83</v>
      </c>
      <c r="AF1764" t="s">
        <v>7101</v>
      </c>
      <c r="AG1764" t="s">
        <v>3745</v>
      </c>
      <c r="AH1764">
        <v>0</v>
      </c>
      <c r="AI1764">
        <v>2</v>
      </c>
      <c r="AJ1764">
        <v>0</v>
      </c>
      <c r="AK1764">
        <v>1035.71</v>
      </c>
      <c r="AL1764" t="s">
        <v>518</v>
      </c>
      <c r="AN1764" t="s">
        <v>7138</v>
      </c>
      <c r="AO1764">
        <v>168200</v>
      </c>
      <c r="AU1764">
        <v>0</v>
      </c>
      <c r="AV1764" t="s">
        <v>191</v>
      </c>
      <c r="AW1764" t="s">
        <v>7341</v>
      </c>
    </row>
    <row r="1765" spans="1:50">
      <c r="A1765" s="1">
        <f>HYPERLINK("https://lsnyc.legalserver.org/matter/dynamic-profile/view/0831108","17-0831108")</f>
        <v>0</v>
      </c>
      <c r="B1765" t="s">
        <v>64</v>
      </c>
      <c r="C1765" t="s">
        <v>105</v>
      </c>
      <c r="D1765" t="s">
        <v>638</v>
      </c>
      <c r="F1765" t="s">
        <v>1557</v>
      </c>
      <c r="G1765" t="s">
        <v>2455</v>
      </c>
      <c r="H1765" t="s">
        <v>2819</v>
      </c>
      <c r="I1765" t="s">
        <v>3368</v>
      </c>
      <c r="J1765" t="s">
        <v>3604</v>
      </c>
      <c r="K1765">
        <v>10040</v>
      </c>
      <c r="L1765" t="s">
        <v>3609</v>
      </c>
      <c r="M1765" t="s">
        <v>3609</v>
      </c>
      <c r="N1765" t="s">
        <v>3780</v>
      </c>
      <c r="O1765" t="s">
        <v>4211</v>
      </c>
      <c r="P1765" t="s">
        <v>4244</v>
      </c>
      <c r="R1765" t="s">
        <v>4258</v>
      </c>
      <c r="S1765" t="s">
        <v>3610</v>
      </c>
      <c r="U1765" t="s">
        <v>4268</v>
      </c>
      <c r="W1765" t="s">
        <v>4301</v>
      </c>
      <c r="X1765">
        <v>2500</v>
      </c>
      <c r="Y1765" t="s">
        <v>4351</v>
      </c>
      <c r="Z1765" t="s">
        <v>4352</v>
      </c>
      <c r="AB1765" t="s">
        <v>5775</v>
      </c>
      <c r="AE1765">
        <v>83</v>
      </c>
      <c r="AF1765" t="s">
        <v>7101</v>
      </c>
      <c r="AG1765" t="s">
        <v>3745</v>
      </c>
      <c r="AH1765">
        <v>0</v>
      </c>
      <c r="AI1765">
        <v>2</v>
      </c>
      <c r="AJ1765">
        <v>0</v>
      </c>
      <c r="AK1765">
        <v>1035.71</v>
      </c>
      <c r="AL1765" t="s">
        <v>518</v>
      </c>
      <c r="AN1765" t="s">
        <v>7138</v>
      </c>
      <c r="AO1765">
        <v>253200</v>
      </c>
      <c r="AU1765">
        <v>0</v>
      </c>
      <c r="AW1765" t="s">
        <v>7341</v>
      </c>
    </row>
    <row r="1766" spans="1:50">
      <c r="A1766" s="1">
        <f>HYPERLINK("https://lsnyc.legalserver.org/matter/dynamic-profile/view/1870571","18-1870571")</f>
        <v>0</v>
      </c>
      <c r="B1766" t="s">
        <v>63</v>
      </c>
      <c r="C1766" t="s">
        <v>104</v>
      </c>
      <c r="D1766" t="s">
        <v>566</v>
      </c>
      <c r="E1766" t="s">
        <v>377</v>
      </c>
      <c r="F1766" t="s">
        <v>1010</v>
      </c>
      <c r="G1766" t="s">
        <v>1622</v>
      </c>
      <c r="H1766" t="s">
        <v>2494</v>
      </c>
      <c r="I1766" t="s">
        <v>3406</v>
      </c>
      <c r="J1766" t="s">
        <v>3604</v>
      </c>
      <c r="K1766">
        <v>10032</v>
      </c>
      <c r="L1766" t="s">
        <v>3610</v>
      </c>
      <c r="M1766" t="s">
        <v>3609</v>
      </c>
      <c r="O1766" t="s">
        <v>4220</v>
      </c>
      <c r="P1766" t="s">
        <v>4245</v>
      </c>
      <c r="Q1766" t="s">
        <v>4250</v>
      </c>
      <c r="R1766" t="s">
        <v>4258</v>
      </c>
      <c r="S1766" t="s">
        <v>3610</v>
      </c>
      <c r="U1766" t="s">
        <v>4268</v>
      </c>
      <c r="W1766" t="s">
        <v>4284</v>
      </c>
      <c r="X1766">
        <v>837.88</v>
      </c>
      <c r="Y1766" t="s">
        <v>4351</v>
      </c>
      <c r="Z1766" t="s">
        <v>4354</v>
      </c>
      <c r="AA1766" t="s">
        <v>4378</v>
      </c>
      <c r="AB1766" t="s">
        <v>5776</v>
      </c>
      <c r="AD1766" t="s">
        <v>7098</v>
      </c>
      <c r="AE1766">
        <v>49</v>
      </c>
      <c r="AF1766" t="s">
        <v>7101</v>
      </c>
      <c r="AG1766" t="s">
        <v>3745</v>
      </c>
      <c r="AH1766">
        <v>40</v>
      </c>
      <c r="AI1766">
        <v>1</v>
      </c>
      <c r="AJ1766">
        <v>0</v>
      </c>
      <c r="AK1766">
        <v>1075.16</v>
      </c>
      <c r="AN1766" t="s">
        <v>7139</v>
      </c>
      <c r="AO1766">
        <v>130524</v>
      </c>
      <c r="AU1766">
        <v>0</v>
      </c>
      <c r="AV1766" t="s">
        <v>552</v>
      </c>
      <c r="AW1766" t="s">
        <v>7342</v>
      </c>
    </row>
    <row r="1767" spans="1:50">
      <c r="A1767" s="1">
        <f>HYPERLINK("https://lsnyc.legalserver.org/matter/dynamic-profile/view/1870545","18-1870545")</f>
        <v>0</v>
      </c>
      <c r="B1767" t="s">
        <v>63</v>
      </c>
      <c r="C1767" t="s">
        <v>104</v>
      </c>
      <c r="D1767" t="s">
        <v>141</v>
      </c>
      <c r="E1767" t="s">
        <v>377</v>
      </c>
      <c r="F1767" t="s">
        <v>1010</v>
      </c>
      <c r="G1767" t="s">
        <v>1622</v>
      </c>
      <c r="H1767" t="s">
        <v>2494</v>
      </c>
      <c r="I1767" t="s">
        <v>3406</v>
      </c>
      <c r="J1767" t="s">
        <v>3604</v>
      </c>
      <c r="K1767">
        <v>10032</v>
      </c>
      <c r="L1767" t="s">
        <v>3610</v>
      </c>
      <c r="M1767" t="s">
        <v>3609</v>
      </c>
      <c r="O1767" t="s">
        <v>4219</v>
      </c>
      <c r="P1767" t="s">
        <v>4242</v>
      </c>
      <c r="Q1767" t="s">
        <v>4250</v>
      </c>
      <c r="R1767" t="s">
        <v>4258</v>
      </c>
      <c r="S1767" t="s">
        <v>3610</v>
      </c>
      <c r="U1767" t="s">
        <v>4268</v>
      </c>
      <c r="W1767" t="s">
        <v>4284</v>
      </c>
      <c r="X1767">
        <v>837.88</v>
      </c>
      <c r="Y1767" t="s">
        <v>4351</v>
      </c>
      <c r="Z1767" t="s">
        <v>4354</v>
      </c>
      <c r="AA1767" t="s">
        <v>4379</v>
      </c>
      <c r="AB1767" t="s">
        <v>5776</v>
      </c>
      <c r="AD1767" t="s">
        <v>7098</v>
      </c>
      <c r="AE1767">
        <v>49</v>
      </c>
      <c r="AF1767" t="s">
        <v>7101</v>
      </c>
      <c r="AG1767" t="s">
        <v>3745</v>
      </c>
      <c r="AH1767">
        <v>40</v>
      </c>
      <c r="AI1767">
        <v>1</v>
      </c>
      <c r="AJ1767">
        <v>0</v>
      </c>
      <c r="AK1767">
        <v>1075.16</v>
      </c>
      <c r="AN1767" t="s">
        <v>7139</v>
      </c>
      <c r="AO1767">
        <v>130524</v>
      </c>
      <c r="AU1767">
        <v>0</v>
      </c>
      <c r="AV1767" t="s">
        <v>552</v>
      </c>
      <c r="AW1767" t="s">
        <v>7342</v>
      </c>
    </row>
    <row r="1768" spans="1:50">
      <c r="A1768" s="1">
        <f>HYPERLINK("https://lsnyc.legalserver.org/matter/dynamic-profile/view/1901178","19-1901178")</f>
        <v>0</v>
      </c>
      <c r="B1768" t="s">
        <v>63</v>
      </c>
      <c r="C1768" t="s">
        <v>104</v>
      </c>
      <c r="D1768" t="s">
        <v>637</v>
      </c>
      <c r="E1768" t="s">
        <v>512</v>
      </c>
      <c r="F1768" t="s">
        <v>818</v>
      </c>
      <c r="G1768" t="s">
        <v>2456</v>
      </c>
      <c r="H1768" t="s">
        <v>3197</v>
      </c>
      <c r="I1768" t="s">
        <v>3543</v>
      </c>
      <c r="J1768" t="s">
        <v>3604</v>
      </c>
      <c r="K1768">
        <v>10033</v>
      </c>
      <c r="L1768" t="s">
        <v>3610</v>
      </c>
      <c r="M1768" t="s">
        <v>3609</v>
      </c>
      <c r="O1768" t="s">
        <v>4219</v>
      </c>
      <c r="P1768" t="s">
        <v>4245</v>
      </c>
      <c r="Q1768" t="s">
        <v>4249</v>
      </c>
      <c r="R1768" t="s">
        <v>4258</v>
      </c>
      <c r="S1768" t="s">
        <v>3611</v>
      </c>
      <c r="U1768" t="s">
        <v>4268</v>
      </c>
      <c r="W1768" t="s">
        <v>637</v>
      </c>
      <c r="X1768">
        <v>1900</v>
      </c>
      <c r="Y1768" t="s">
        <v>4351</v>
      </c>
      <c r="Z1768" t="s">
        <v>4354</v>
      </c>
      <c r="AA1768" t="s">
        <v>4384</v>
      </c>
      <c r="AB1768" t="s">
        <v>5777</v>
      </c>
      <c r="AD1768" t="s">
        <v>7099</v>
      </c>
      <c r="AE1768">
        <v>95</v>
      </c>
      <c r="AF1768" t="s">
        <v>7101</v>
      </c>
      <c r="AG1768" t="s">
        <v>3745</v>
      </c>
      <c r="AH1768">
        <v>2</v>
      </c>
      <c r="AI1768">
        <v>2</v>
      </c>
      <c r="AJ1768">
        <v>0</v>
      </c>
      <c r="AK1768">
        <v>1094.03</v>
      </c>
      <c r="AN1768" t="s">
        <v>7138</v>
      </c>
      <c r="AO1768">
        <v>185000</v>
      </c>
      <c r="AU1768">
        <v>0.1</v>
      </c>
      <c r="AV1768" t="s">
        <v>512</v>
      </c>
      <c r="AW1768" t="s">
        <v>7342</v>
      </c>
      <c r="AX1768" t="s">
        <v>7377</v>
      </c>
    </row>
    <row r="1769" spans="1:50">
      <c r="A1769" s="1">
        <f>HYPERLINK("https://lsnyc.legalserver.org/matter/dynamic-profile/view/0831126","17-0831126")</f>
        <v>0</v>
      </c>
      <c r="B1769" t="s">
        <v>64</v>
      </c>
      <c r="C1769" t="s">
        <v>104</v>
      </c>
      <c r="D1769" t="s">
        <v>638</v>
      </c>
      <c r="E1769" t="s">
        <v>277</v>
      </c>
      <c r="F1769" t="s">
        <v>1558</v>
      </c>
      <c r="G1769" t="s">
        <v>2457</v>
      </c>
      <c r="H1769" t="s">
        <v>2576</v>
      </c>
      <c r="I1769" t="s">
        <v>3522</v>
      </c>
      <c r="J1769" t="s">
        <v>3604</v>
      </c>
      <c r="K1769">
        <v>10040</v>
      </c>
      <c r="L1769" t="s">
        <v>3609</v>
      </c>
      <c r="M1769" t="s">
        <v>3609</v>
      </c>
      <c r="N1769" t="s">
        <v>3780</v>
      </c>
      <c r="O1769" t="s">
        <v>4213</v>
      </c>
      <c r="P1769" t="s">
        <v>4241</v>
      </c>
      <c r="Q1769" t="s">
        <v>4248</v>
      </c>
      <c r="R1769" t="s">
        <v>4258</v>
      </c>
      <c r="S1769" t="s">
        <v>3610</v>
      </c>
      <c r="U1769" t="s">
        <v>4268</v>
      </c>
      <c r="W1769" t="s">
        <v>332</v>
      </c>
      <c r="X1769">
        <v>1480</v>
      </c>
      <c r="Y1769" t="s">
        <v>4351</v>
      </c>
      <c r="Z1769" t="s">
        <v>4352</v>
      </c>
      <c r="AA1769" t="s">
        <v>4379</v>
      </c>
      <c r="AB1769" t="s">
        <v>5778</v>
      </c>
      <c r="AE1769">
        <v>83</v>
      </c>
      <c r="AF1769" t="s">
        <v>7101</v>
      </c>
      <c r="AG1769" t="s">
        <v>3745</v>
      </c>
      <c r="AH1769">
        <v>10</v>
      </c>
      <c r="AI1769">
        <v>2</v>
      </c>
      <c r="AJ1769">
        <v>0</v>
      </c>
      <c r="AK1769">
        <v>1169.95</v>
      </c>
      <c r="AL1769" t="s">
        <v>518</v>
      </c>
      <c r="AN1769" t="s">
        <v>7138</v>
      </c>
      <c r="AO1769">
        <v>190000</v>
      </c>
      <c r="AU1769">
        <v>0</v>
      </c>
      <c r="AV1769" t="s">
        <v>191</v>
      </c>
      <c r="AW1769" t="s">
        <v>7341</v>
      </c>
    </row>
    <row r="1770" spans="1:50">
      <c r="A1770" s="1">
        <f>HYPERLINK("https://lsnyc.legalserver.org/matter/dynamic-profile/view/0831141","17-0831141")</f>
        <v>0</v>
      </c>
      <c r="B1770" t="s">
        <v>64</v>
      </c>
      <c r="C1770" t="s">
        <v>105</v>
      </c>
      <c r="D1770" t="s">
        <v>638</v>
      </c>
      <c r="F1770" t="s">
        <v>1558</v>
      </c>
      <c r="G1770" t="s">
        <v>2457</v>
      </c>
      <c r="H1770" t="s">
        <v>2576</v>
      </c>
      <c r="I1770" t="s">
        <v>3522</v>
      </c>
      <c r="J1770" t="s">
        <v>3604</v>
      </c>
      <c r="K1770">
        <v>10040</v>
      </c>
      <c r="L1770" t="s">
        <v>3609</v>
      </c>
      <c r="M1770" t="s">
        <v>3609</v>
      </c>
      <c r="N1770" t="s">
        <v>3780</v>
      </c>
      <c r="O1770" t="s">
        <v>4211</v>
      </c>
      <c r="P1770" t="s">
        <v>4244</v>
      </c>
      <c r="R1770" t="s">
        <v>4258</v>
      </c>
      <c r="S1770" t="s">
        <v>3610</v>
      </c>
      <c r="U1770" t="s">
        <v>4268</v>
      </c>
      <c r="W1770" t="s">
        <v>332</v>
      </c>
      <c r="X1770">
        <v>1480</v>
      </c>
      <c r="Y1770" t="s">
        <v>4351</v>
      </c>
      <c r="Z1770" t="s">
        <v>4352</v>
      </c>
      <c r="AB1770" t="s">
        <v>5778</v>
      </c>
      <c r="AE1770">
        <v>83</v>
      </c>
      <c r="AF1770" t="s">
        <v>7101</v>
      </c>
      <c r="AG1770" t="s">
        <v>3745</v>
      </c>
      <c r="AH1770">
        <v>10</v>
      </c>
      <c r="AI1770">
        <v>2</v>
      </c>
      <c r="AJ1770">
        <v>0</v>
      </c>
      <c r="AK1770">
        <v>1169.95</v>
      </c>
      <c r="AL1770" t="s">
        <v>518</v>
      </c>
      <c r="AN1770" t="s">
        <v>7138</v>
      </c>
      <c r="AO1770">
        <v>310000</v>
      </c>
      <c r="AU1770">
        <v>0.1</v>
      </c>
      <c r="AV1770" t="s">
        <v>277</v>
      </c>
      <c r="AW1770" t="s">
        <v>7341</v>
      </c>
    </row>
    <row r="1771" spans="1:50">
      <c r="A1771" s="1">
        <f>HYPERLINK("https://lsnyc.legalserver.org/matter/dynamic-profile/view/1891049","19-1891049")</f>
        <v>0</v>
      </c>
      <c r="B1771" t="s">
        <v>64</v>
      </c>
      <c r="C1771" t="s">
        <v>104</v>
      </c>
      <c r="D1771" t="s">
        <v>305</v>
      </c>
      <c r="E1771" t="s">
        <v>131</v>
      </c>
      <c r="F1771" t="s">
        <v>1418</v>
      </c>
      <c r="G1771" t="s">
        <v>2458</v>
      </c>
      <c r="H1771" t="s">
        <v>2983</v>
      </c>
      <c r="I1771" t="s">
        <v>3316</v>
      </c>
      <c r="J1771" t="s">
        <v>3604</v>
      </c>
      <c r="K1771">
        <v>10033</v>
      </c>
      <c r="L1771" t="s">
        <v>3610</v>
      </c>
      <c r="M1771" t="s">
        <v>3610</v>
      </c>
      <c r="O1771" t="s">
        <v>4219</v>
      </c>
      <c r="P1771" t="s">
        <v>4242</v>
      </c>
      <c r="Q1771" t="s">
        <v>4250</v>
      </c>
      <c r="R1771" t="s">
        <v>4258</v>
      </c>
      <c r="S1771" t="s">
        <v>3610</v>
      </c>
      <c r="U1771" t="s">
        <v>4268</v>
      </c>
      <c r="W1771" t="s">
        <v>305</v>
      </c>
      <c r="X1771">
        <v>1680</v>
      </c>
      <c r="Y1771" t="s">
        <v>4351</v>
      </c>
      <c r="Z1771" t="s">
        <v>4359</v>
      </c>
      <c r="AA1771" t="s">
        <v>4373</v>
      </c>
      <c r="AB1771" t="s">
        <v>5779</v>
      </c>
      <c r="AE1771">
        <v>60</v>
      </c>
      <c r="AF1771" t="s">
        <v>7101</v>
      </c>
      <c r="AG1771" t="s">
        <v>3745</v>
      </c>
      <c r="AH1771">
        <v>11</v>
      </c>
      <c r="AI1771">
        <v>1</v>
      </c>
      <c r="AJ1771">
        <v>0</v>
      </c>
      <c r="AK1771">
        <v>1200.96</v>
      </c>
      <c r="AN1771" t="s">
        <v>7138</v>
      </c>
      <c r="AO1771">
        <v>150000</v>
      </c>
      <c r="AU1771">
        <v>0.01</v>
      </c>
      <c r="AV1771" t="s">
        <v>131</v>
      </c>
      <c r="AW1771" t="s">
        <v>7342</v>
      </c>
      <c r="AX1771" t="s">
        <v>7377</v>
      </c>
    </row>
    <row r="1772" spans="1:50">
      <c r="A1772" s="1">
        <f>HYPERLINK("https://lsnyc.legalserver.org/matter/dynamic-profile/view/0827033","17-0827033")</f>
        <v>0</v>
      </c>
      <c r="B1772" t="s">
        <v>64</v>
      </c>
      <c r="C1772" t="s">
        <v>105</v>
      </c>
      <c r="D1772" t="s">
        <v>382</v>
      </c>
      <c r="F1772" t="s">
        <v>1559</v>
      </c>
      <c r="G1772" t="s">
        <v>1723</v>
      </c>
      <c r="H1772" t="s">
        <v>2576</v>
      </c>
      <c r="I1772" t="s">
        <v>3396</v>
      </c>
      <c r="J1772" t="s">
        <v>3604</v>
      </c>
      <c r="K1772">
        <v>10040</v>
      </c>
      <c r="L1772" t="s">
        <v>3610</v>
      </c>
      <c r="M1772" t="s">
        <v>3609</v>
      </c>
      <c r="N1772" t="s">
        <v>3780</v>
      </c>
      <c r="O1772" t="s">
        <v>4213</v>
      </c>
      <c r="P1772" t="s">
        <v>4241</v>
      </c>
      <c r="R1772" t="s">
        <v>4258</v>
      </c>
      <c r="S1772" t="s">
        <v>3610</v>
      </c>
      <c r="U1772" t="s">
        <v>4268</v>
      </c>
      <c r="W1772" t="s">
        <v>4301</v>
      </c>
      <c r="X1772">
        <v>1194.29</v>
      </c>
      <c r="Y1772" t="s">
        <v>4351</v>
      </c>
      <c r="Z1772" t="s">
        <v>4352</v>
      </c>
      <c r="AB1772" t="s">
        <v>5780</v>
      </c>
      <c r="AD1772" t="s">
        <v>7100</v>
      </c>
      <c r="AE1772">
        <v>83</v>
      </c>
      <c r="AF1772" t="s">
        <v>7101</v>
      </c>
      <c r="AG1772" t="s">
        <v>3745</v>
      </c>
      <c r="AH1772">
        <v>8</v>
      </c>
      <c r="AI1772">
        <v>2</v>
      </c>
      <c r="AJ1772">
        <v>0</v>
      </c>
      <c r="AK1772">
        <v>1434.73</v>
      </c>
      <c r="AL1772" t="s">
        <v>518</v>
      </c>
      <c r="AN1772" t="s">
        <v>7138</v>
      </c>
      <c r="AO1772">
        <v>233000</v>
      </c>
      <c r="AU1772">
        <v>0</v>
      </c>
      <c r="AV1772" t="s">
        <v>191</v>
      </c>
      <c r="AW1772" t="s">
        <v>7341</v>
      </c>
    </row>
    <row r="1773" spans="1:50">
      <c r="A1773" s="1">
        <f>HYPERLINK("https://lsnyc.legalserver.org/matter/dynamic-profile/view/0806528","16-0806528")</f>
        <v>0</v>
      </c>
      <c r="B1773" t="s">
        <v>68</v>
      </c>
      <c r="C1773" t="s">
        <v>104</v>
      </c>
      <c r="D1773" t="s">
        <v>652</v>
      </c>
      <c r="E1773" t="s">
        <v>689</v>
      </c>
      <c r="H1773" t="s">
        <v>2595</v>
      </c>
      <c r="J1773" t="s">
        <v>3604</v>
      </c>
      <c r="K1773">
        <v>10035</v>
      </c>
      <c r="L1773" t="s">
        <v>3609</v>
      </c>
      <c r="M1773" t="s">
        <v>3609</v>
      </c>
      <c r="Q1773" t="s">
        <v>4248</v>
      </c>
      <c r="R1773" t="s">
        <v>4258</v>
      </c>
      <c r="U1773" t="s">
        <v>4268</v>
      </c>
      <c r="X1773">
        <v>0</v>
      </c>
      <c r="Y1773" t="s">
        <v>4351</v>
      </c>
      <c r="AA1773" t="s">
        <v>4379</v>
      </c>
      <c r="AE1773">
        <v>0</v>
      </c>
      <c r="AH1773">
        <v>0</v>
      </c>
      <c r="AI1773">
        <v>0</v>
      </c>
      <c r="AJ1773">
        <v>0</v>
      </c>
      <c r="AK1773">
        <v>0</v>
      </c>
      <c r="AO1773">
        <v>0</v>
      </c>
      <c r="AU1773">
        <v>128.43</v>
      </c>
      <c r="AV1773" t="s">
        <v>7339</v>
      </c>
      <c r="AW1773" t="s">
        <v>7376</v>
      </c>
    </row>
    <row r="1774" spans="1:50">
      <c r="A1774" s="1">
        <f>HYPERLINK("https://lsnyc.legalserver.org/matter/dynamic-profile/view/1848326","17-1848326")</f>
        <v>0</v>
      </c>
      <c r="B1774" t="s">
        <v>56</v>
      </c>
      <c r="C1774" t="s">
        <v>104</v>
      </c>
      <c r="D1774" t="s">
        <v>623</v>
      </c>
      <c r="E1774" t="s">
        <v>131</v>
      </c>
      <c r="F1774" t="s">
        <v>714</v>
      </c>
      <c r="G1774" t="s">
        <v>1585</v>
      </c>
      <c r="H1774" t="s">
        <v>2485</v>
      </c>
      <c r="I1774">
        <v>201</v>
      </c>
      <c r="J1774" t="s">
        <v>3604</v>
      </c>
      <c r="K1774">
        <v>10034</v>
      </c>
      <c r="L1774" t="s">
        <v>3610</v>
      </c>
      <c r="M1774" t="s">
        <v>3609</v>
      </c>
      <c r="N1774" t="s">
        <v>4208</v>
      </c>
      <c r="O1774" t="s">
        <v>4209</v>
      </c>
      <c r="P1774" t="s">
        <v>4241</v>
      </c>
      <c r="Q1774" t="s">
        <v>4248</v>
      </c>
      <c r="R1774" t="s">
        <v>4258</v>
      </c>
      <c r="S1774" t="s">
        <v>3611</v>
      </c>
      <c r="U1774" t="s">
        <v>4268</v>
      </c>
      <c r="W1774" t="s">
        <v>349</v>
      </c>
      <c r="X1774">
        <v>1374</v>
      </c>
      <c r="Y1774" t="s">
        <v>4351</v>
      </c>
      <c r="Z1774" t="s">
        <v>4354</v>
      </c>
      <c r="AA1774" t="s">
        <v>4374</v>
      </c>
      <c r="AB1774" t="s">
        <v>4425</v>
      </c>
      <c r="AD1774" t="s">
        <v>5869</v>
      </c>
      <c r="AE1774">
        <v>72</v>
      </c>
      <c r="AF1774" t="s">
        <v>7101</v>
      </c>
      <c r="AG1774" t="s">
        <v>3745</v>
      </c>
      <c r="AH1774">
        <v>9</v>
      </c>
      <c r="AI1774">
        <v>1</v>
      </c>
      <c r="AJ1774">
        <v>1</v>
      </c>
      <c r="AK1774">
        <v>0</v>
      </c>
      <c r="AN1774" t="s">
        <v>7139</v>
      </c>
      <c r="AO1774">
        <v>0</v>
      </c>
      <c r="AU1774">
        <v>82.90000000000001</v>
      </c>
      <c r="AV1774" t="s">
        <v>612</v>
      </c>
      <c r="AW1774" t="s">
        <v>7342</v>
      </c>
      <c r="AX1774" t="s">
        <v>7377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2019-07-10T16:02:24Z</dcterms:created>
  <dcterms:modified xsi:type="dcterms:W3CDTF">2019-07-10T16:02:24Z</dcterms:modified>
</cp:coreProperties>
</file>